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pivotTables/pivotTable2.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omments3.xml" ContentType="application/vnd.openxmlformats-officedocument.spreadsheetml.comments+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mc:AlternateContent xmlns:mc="http://schemas.openxmlformats.org/markup-compatibility/2006">
    <mc:Choice Requires="x15">
      <x15ac:absPath xmlns:x15ac="http://schemas.microsoft.com/office/spreadsheetml/2010/11/ac" url="C:\Users\Paulo\Documents\Qlik\Sense\Apps\CEMIG\IRD\ODS\"/>
    </mc:Choice>
  </mc:AlternateContent>
  <bookViews>
    <workbookView xWindow="0" yWindow="0" windowWidth="20490" windowHeight="8445" tabRatio="791" activeTab="1"/>
  </bookViews>
  <sheets>
    <sheet name="Resumo" sheetId="9" r:id="rId1"/>
    <sheet name="Projetos ciclo 2018-2022" sheetId="1" r:id="rId2"/>
    <sheet name="2018 e 2019" sheetId="32" r:id="rId3"/>
    <sheet name="2018 e 2019 TD" sheetId="31" state="hidden" r:id="rId4"/>
    <sheet name="Quadros resumo" sheetId="22" r:id="rId5"/>
    <sheet name="Gráfico - Curva de Desembolsos" sheetId="12" state="hidden" r:id="rId6"/>
    <sheet name="CEI_032018" sheetId="19" state="hidden" r:id="rId7"/>
    <sheet name="CEI_042018" sheetId="21" state="hidden" r:id="rId8"/>
    <sheet name="CEI_052018" sheetId="24" state="hidden" r:id="rId9"/>
    <sheet name="DDC" sheetId="33" r:id="rId10"/>
    <sheet name="PD" sheetId="37" state="hidden" r:id="rId11"/>
    <sheet name="CEI_062018" sheetId="26" state="hidden" r:id="rId12"/>
    <sheet name="CEI_072018" sheetId="34" state="hidden" r:id="rId13"/>
    <sheet name="CEI_022018" sheetId="28" state="hidden" r:id="rId14"/>
    <sheet name="CEI_012018" sheetId="27" state="hidden" r:id="rId15"/>
    <sheet name="CEI_082018" sheetId="36" state="hidden" r:id="rId16"/>
    <sheet name="CEI_092018" sheetId="38" state="hidden" r:id="rId17"/>
    <sheet name="Junção de Projetos" sheetId="23" r:id="rId18"/>
    <sheet name="Plan1" sheetId="25" state="hidden" r:id="rId19"/>
    <sheet name="Macroprojetos" sheetId="20" state="hidden" r:id="rId20"/>
    <sheet name="Resultado do Seminário-D" sheetId="10" state="hidden" r:id="rId21"/>
    <sheet name="Linha do Tempo" sheetId="18" state="hidden" r:id="rId22"/>
    <sheet name="Projetos x Riscos Não Execução" sheetId="11" state="hidden" r:id="rId23"/>
    <sheet name="Gráfico Tendência 2018-2022" sheetId="14" state="hidden" r:id="rId24"/>
  </sheets>
  <externalReferences>
    <externalReference r:id="rId25"/>
    <externalReference r:id="rId26"/>
    <externalReference r:id="rId27"/>
  </externalReferences>
  <definedNames>
    <definedName name="_xlnm._FilterDatabase" localSheetId="2" hidden="1">'2018 e 2019'!$A$6:$AI$333</definedName>
    <definedName name="_xlnm._FilterDatabase" localSheetId="14" hidden="1">CEI_012018!$A$2:$V$126</definedName>
    <definedName name="_xlnm._FilterDatabase" localSheetId="13" hidden="1">CEI_022018!$A$2:$V$138</definedName>
    <definedName name="_xlnm._FilterDatabase" localSheetId="6" hidden="1">CEI_032018!$A$3:$U$178</definedName>
    <definedName name="_xlnm._FilterDatabase" localSheetId="7" hidden="1">CEI_042018!$A$2:$V$199</definedName>
    <definedName name="_xlnm._FilterDatabase" localSheetId="8" hidden="1">CEI_052018!$A$2:$V$198</definedName>
    <definedName name="_xlnm._FilterDatabase" localSheetId="11" hidden="1">CEI_062018!$A$2:$V$206</definedName>
    <definedName name="_xlnm._FilterDatabase" localSheetId="12" hidden="1">CEI_072018!$A$2:$V$219</definedName>
    <definedName name="_xlnm._FilterDatabase" localSheetId="15" hidden="1">CEI_082018!$A$2:$V$225</definedName>
    <definedName name="_xlnm._FilterDatabase" localSheetId="16" hidden="1">CEI_092018!$A$2:$V$225</definedName>
    <definedName name="_xlnm._FilterDatabase" localSheetId="17" hidden="1">'Junção de Projetos'!$A$3:$XAQ$3</definedName>
    <definedName name="_xlnm._FilterDatabase" localSheetId="10" hidden="1">PD!$B$3:$W$28</definedName>
    <definedName name="_xlnm._FilterDatabase" localSheetId="1" hidden="1">'Projetos ciclo 2018-2022'!$B$6:$FE$318</definedName>
    <definedName name="_xlnm.Print_Area" localSheetId="2">'2018 e 2019'!$B$2:$AH$330</definedName>
    <definedName name="_xlnm.Print_Area" localSheetId="1">'Projetos ciclo 2018-2022'!$B$2:$BU$319</definedName>
    <definedName name="_xlnm.Print_Area" localSheetId="0">Resumo!$B$1:$I$28</definedName>
    <definedName name="_xlnm.Print_Titles" localSheetId="2">'2018 e 2019'!$2:$6</definedName>
    <definedName name="_xlnm.Print_Titles" localSheetId="1">'Projetos ciclo 2018-2022'!$2:$6</definedName>
    <definedName name="SegmentaçãodeDados_Empresa">#N/A</definedName>
    <definedName name="SegmentaçãodeDados_Macroprojeto">#N/A</definedName>
  </definedNames>
  <calcPr calcId="152511"/>
  <pivotCaches>
    <pivotCache cacheId="6" r:id="rId28"/>
    <pivotCache cacheId="7" r:id="rId29"/>
  </pivotCaches>
  <extLst>
    <ext xmlns:x14="http://schemas.microsoft.com/office/spreadsheetml/2009/9/main" uri="{BBE1A952-AA13-448e-AADC-164F8A28A991}">
      <x14:slicerCaches>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C8" i="1" l="1"/>
  <c r="FC9" i="1"/>
  <c r="FC10" i="1"/>
  <c r="FC11" i="1"/>
  <c r="FC12" i="1"/>
  <c r="FC13" i="1"/>
  <c r="FC14" i="1"/>
  <c r="FC15" i="1"/>
  <c r="FC16" i="1"/>
  <c r="FC17" i="1"/>
  <c r="FC18" i="1"/>
  <c r="FC19" i="1"/>
  <c r="FC20" i="1"/>
  <c r="FC21" i="1"/>
  <c r="FC22" i="1"/>
  <c r="FC23" i="1"/>
  <c r="FC24" i="1"/>
  <c r="FC25" i="1"/>
  <c r="FC26" i="1"/>
  <c r="FC27" i="1"/>
  <c r="FC28" i="1"/>
  <c r="FC29" i="1"/>
  <c r="FC30" i="1"/>
  <c r="FC31" i="1"/>
  <c r="FC32" i="1"/>
  <c r="FC33" i="1"/>
  <c r="FC34" i="1"/>
  <c r="FC35" i="1"/>
  <c r="FC36" i="1"/>
  <c r="FC37" i="1"/>
  <c r="FC38" i="1"/>
  <c r="FC39" i="1"/>
  <c r="FC40" i="1"/>
  <c r="FC41" i="1"/>
  <c r="FC42" i="1"/>
  <c r="FC43" i="1"/>
  <c r="FC44" i="1"/>
  <c r="FC45" i="1"/>
  <c r="FC46" i="1"/>
  <c r="FC47" i="1"/>
  <c r="FC48" i="1"/>
  <c r="FC49" i="1"/>
  <c r="FC50" i="1"/>
  <c r="FC51" i="1"/>
  <c r="FC52" i="1"/>
  <c r="FC53" i="1"/>
  <c r="FC54" i="1"/>
  <c r="FC55" i="1"/>
  <c r="FC56" i="1"/>
  <c r="FC57" i="1"/>
  <c r="FC58" i="1"/>
  <c r="FC59" i="1"/>
  <c r="FC60" i="1"/>
  <c r="FC61" i="1"/>
  <c r="FC62" i="1"/>
  <c r="FC63" i="1"/>
  <c r="FC64" i="1"/>
  <c r="FC65" i="1"/>
  <c r="FC66" i="1"/>
  <c r="FC67" i="1"/>
  <c r="FC68" i="1"/>
  <c r="FC69" i="1"/>
  <c r="FC70" i="1"/>
  <c r="FC71" i="1"/>
  <c r="FC72" i="1"/>
  <c r="FC73" i="1"/>
  <c r="FC74" i="1"/>
  <c r="FC75" i="1"/>
  <c r="FC76" i="1"/>
  <c r="FC77" i="1"/>
  <c r="FC78" i="1"/>
  <c r="FC79" i="1"/>
  <c r="FC80" i="1"/>
  <c r="FC81" i="1"/>
  <c r="FC82" i="1"/>
  <c r="FC83" i="1"/>
  <c r="FC84" i="1"/>
  <c r="FC85" i="1"/>
  <c r="FC86" i="1"/>
  <c r="FC87" i="1"/>
  <c r="FC88" i="1"/>
  <c r="FC89" i="1"/>
  <c r="FC90" i="1"/>
  <c r="FC91" i="1"/>
  <c r="FC92" i="1"/>
  <c r="FC93" i="1"/>
  <c r="FC94" i="1"/>
  <c r="FC95" i="1"/>
  <c r="FC96" i="1"/>
  <c r="FC97" i="1"/>
  <c r="FC98" i="1"/>
  <c r="FC99" i="1"/>
  <c r="FC100" i="1"/>
  <c r="FC101" i="1"/>
  <c r="FC102" i="1"/>
  <c r="FC103" i="1"/>
  <c r="FC104" i="1"/>
  <c r="FC105" i="1"/>
  <c r="FC106" i="1"/>
  <c r="FC107" i="1"/>
  <c r="FC108" i="1"/>
  <c r="FC109" i="1"/>
  <c r="FC110" i="1"/>
  <c r="FC111" i="1"/>
  <c r="FC112" i="1"/>
  <c r="FC113" i="1"/>
  <c r="FC114" i="1"/>
  <c r="FC115" i="1"/>
  <c r="FC116" i="1"/>
  <c r="FC117" i="1"/>
  <c r="FC118" i="1"/>
  <c r="FC119" i="1"/>
  <c r="FC120" i="1"/>
  <c r="FC121" i="1"/>
  <c r="FC122" i="1"/>
  <c r="FC123" i="1"/>
  <c r="FC124" i="1"/>
  <c r="FC125" i="1"/>
  <c r="FC126" i="1"/>
  <c r="FC127" i="1"/>
  <c r="FC128" i="1"/>
  <c r="FC129" i="1"/>
  <c r="FC130" i="1"/>
  <c r="FC131" i="1"/>
  <c r="FC132" i="1"/>
  <c r="FC133" i="1"/>
  <c r="FC134" i="1"/>
  <c r="FC135" i="1"/>
  <c r="FC136" i="1"/>
  <c r="FC137" i="1"/>
  <c r="FC138" i="1"/>
  <c r="FC139" i="1"/>
  <c r="FC140" i="1"/>
  <c r="FC141" i="1"/>
  <c r="FC142" i="1"/>
  <c r="FC143" i="1"/>
  <c r="FC144" i="1"/>
  <c r="FC145" i="1"/>
  <c r="FC146" i="1"/>
  <c r="FC147" i="1"/>
  <c r="FC148" i="1"/>
  <c r="FC149" i="1"/>
  <c r="FC150" i="1"/>
  <c r="FC151" i="1"/>
  <c r="FC152" i="1"/>
  <c r="FC153" i="1"/>
  <c r="FC154" i="1"/>
  <c r="FC155" i="1"/>
  <c r="FC156" i="1"/>
  <c r="FC157" i="1"/>
  <c r="FC158" i="1"/>
  <c r="FC159" i="1"/>
  <c r="FC160" i="1"/>
  <c r="FC161" i="1"/>
  <c r="FC162" i="1"/>
  <c r="FC163" i="1"/>
  <c r="FC164" i="1"/>
  <c r="FC165" i="1"/>
  <c r="FC166" i="1"/>
  <c r="FC167" i="1"/>
  <c r="FC168" i="1"/>
  <c r="FC169" i="1"/>
  <c r="FC170" i="1"/>
  <c r="FC171" i="1"/>
  <c r="FC172" i="1"/>
  <c r="FC173" i="1"/>
  <c r="FC174" i="1"/>
  <c r="FC175" i="1"/>
  <c r="FC176" i="1"/>
  <c r="FC177" i="1"/>
  <c r="FC178" i="1"/>
  <c r="FC179" i="1"/>
  <c r="FC180" i="1"/>
  <c r="FC181" i="1"/>
  <c r="FC182" i="1"/>
  <c r="FC183" i="1"/>
  <c r="FC184" i="1"/>
  <c r="FC185" i="1"/>
  <c r="FC186" i="1"/>
  <c r="FC187" i="1"/>
  <c r="FC188" i="1"/>
  <c r="FC189" i="1"/>
  <c r="FC190" i="1"/>
  <c r="FC191" i="1"/>
  <c r="FC192" i="1"/>
  <c r="FC193" i="1"/>
  <c r="FC194" i="1"/>
  <c r="FC195" i="1"/>
  <c r="FC196" i="1"/>
  <c r="FC197" i="1"/>
  <c r="FC198" i="1"/>
  <c r="FC199" i="1"/>
  <c r="FC200" i="1"/>
  <c r="FC201" i="1"/>
  <c r="FC202" i="1"/>
  <c r="FC203" i="1"/>
  <c r="FC204" i="1"/>
  <c r="FC205" i="1"/>
  <c r="FC206" i="1"/>
  <c r="FC207" i="1"/>
  <c r="FC208" i="1"/>
  <c r="FC209" i="1"/>
  <c r="FC210" i="1"/>
  <c r="FC211" i="1"/>
  <c r="FC212" i="1"/>
  <c r="FC213" i="1"/>
  <c r="FC214" i="1"/>
  <c r="FC215" i="1"/>
  <c r="FC216" i="1"/>
  <c r="FC217" i="1"/>
  <c r="FC218" i="1"/>
  <c r="FC219" i="1"/>
  <c r="FC220" i="1"/>
  <c r="FC221" i="1"/>
  <c r="FC222" i="1"/>
  <c r="FC223" i="1"/>
  <c r="FC224" i="1"/>
  <c r="FC225" i="1"/>
  <c r="FC226" i="1"/>
  <c r="FC227" i="1"/>
  <c r="FC228" i="1"/>
  <c r="FC229" i="1"/>
  <c r="FC230" i="1"/>
  <c r="FC231" i="1"/>
  <c r="FC232" i="1"/>
  <c r="FC233" i="1"/>
  <c r="FC234" i="1"/>
  <c r="FC235" i="1"/>
  <c r="FC236" i="1"/>
  <c r="FC237" i="1"/>
  <c r="FC238" i="1"/>
  <c r="FC239" i="1"/>
  <c r="FC240" i="1"/>
  <c r="FC241" i="1"/>
  <c r="FC242" i="1"/>
  <c r="FC243" i="1"/>
  <c r="FC244" i="1"/>
  <c r="FC245" i="1"/>
  <c r="FC246" i="1"/>
  <c r="FC247" i="1"/>
  <c r="FC248" i="1"/>
  <c r="FC249" i="1"/>
  <c r="FC250" i="1"/>
  <c r="FC251" i="1"/>
  <c r="FC252" i="1"/>
  <c r="FC253" i="1"/>
  <c r="FC254" i="1"/>
  <c r="FC255" i="1"/>
  <c r="FC256" i="1"/>
  <c r="FC257" i="1"/>
  <c r="FC258" i="1"/>
  <c r="FC259" i="1"/>
  <c r="FC260" i="1"/>
  <c r="FC261" i="1"/>
  <c r="FC262" i="1"/>
  <c r="FC263" i="1"/>
  <c r="FC264" i="1"/>
  <c r="FC265" i="1"/>
  <c r="FC266" i="1"/>
  <c r="FC267" i="1"/>
  <c r="FC268" i="1"/>
  <c r="FC269" i="1"/>
  <c r="FC270" i="1"/>
  <c r="FC271" i="1"/>
  <c r="FC272" i="1"/>
  <c r="FC273" i="1"/>
  <c r="FC274" i="1"/>
  <c r="FC275" i="1"/>
  <c r="FC276" i="1"/>
  <c r="FC277" i="1"/>
  <c r="FC278" i="1"/>
  <c r="FC279" i="1"/>
  <c r="FC280" i="1"/>
  <c r="FC281" i="1"/>
  <c r="FC282" i="1"/>
  <c r="FC283" i="1"/>
  <c r="FC284" i="1"/>
  <c r="FC285" i="1"/>
  <c r="FC286" i="1"/>
  <c r="FC287" i="1"/>
  <c r="FC288" i="1"/>
  <c r="FC289" i="1"/>
  <c r="FC290" i="1"/>
  <c r="FC291" i="1"/>
  <c r="FC292" i="1"/>
  <c r="FC293" i="1"/>
  <c r="FC294" i="1"/>
  <c r="FC295" i="1"/>
  <c r="FC296" i="1"/>
  <c r="FC297" i="1"/>
  <c r="FC298" i="1"/>
  <c r="FC299" i="1"/>
  <c r="FC300" i="1"/>
  <c r="FC301" i="1"/>
  <c r="FC302" i="1"/>
  <c r="FC303" i="1"/>
  <c r="FC304" i="1"/>
  <c r="FC305" i="1"/>
  <c r="FC306" i="1"/>
  <c r="FC307" i="1"/>
  <c r="FC308" i="1"/>
  <c r="FC309" i="1"/>
  <c r="FC310" i="1"/>
  <c r="FC311" i="1"/>
  <c r="FC312" i="1"/>
  <c r="FC313" i="1"/>
  <c r="FC314" i="1"/>
  <c r="FC315" i="1"/>
  <c r="FC316" i="1"/>
  <c r="FC317" i="1"/>
  <c r="FC318" i="1"/>
  <c r="FC7" i="1"/>
  <c r="E235" i="38"/>
  <c r="F235" i="38"/>
  <c r="G235" i="38"/>
  <c r="H235" i="38"/>
  <c r="I235" i="38"/>
  <c r="J235" i="38"/>
  <c r="K235" i="38"/>
  <c r="L235" i="38"/>
  <c r="M235" i="38"/>
  <c r="N235" i="38"/>
  <c r="O235" i="38"/>
  <c r="P235" i="38"/>
  <c r="Q235" i="38"/>
  <c r="R235" i="38"/>
  <c r="S235" i="38"/>
  <c r="T235" i="38"/>
  <c r="U235" i="38"/>
  <c r="D235" i="38"/>
  <c r="E233" i="36"/>
  <c r="F233" i="36"/>
  <c r="G233" i="36"/>
  <c r="H233" i="36"/>
  <c r="I233" i="36"/>
  <c r="J233" i="36"/>
  <c r="K233" i="36"/>
  <c r="L233" i="36"/>
  <c r="M233" i="36"/>
  <c r="N233" i="36"/>
  <c r="O233" i="36"/>
  <c r="P233" i="36"/>
  <c r="Q233" i="36"/>
  <c r="R233" i="36"/>
  <c r="S233" i="36"/>
  <c r="T233" i="36"/>
  <c r="U233" i="36"/>
  <c r="D233" i="36"/>
  <c r="AA321" i="1" l="1"/>
  <c r="AA107" i="1"/>
  <c r="S323" i="1"/>
  <c r="S139" i="1"/>
  <c r="T121" i="1" l="1"/>
  <c r="EY121" i="1"/>
  <c r="EX121" i="1"/>
  <c r="EW121" i="1"/>
  <c r="EV121" i="1"/>
  <c r="EU121" i="1"/>
  <c r="ET121" i="1"/>
  <c r="ES121" i="1"/>
  <c r="ER121" i="1"/>
  <c r="EQ121" i="1"/>
  <c r="EO121" i="1"/>
  <c r="EO120" i="1"/>
  <c r="EB121" i="1"/>
  <c r="EB120" i="1"/>
  <c r="DO121" i="1"/>
  <c r="DO120" i="1"/>
  <c r="DB121" i="1"/>
  <c r="DB120" i="1"/>
  <c r="CO121" i="1"/>
  <c r="CO120" i="1"/>
  <c r="BT121" i="1"/>
  <c r="BG121" i="1"/>
  <c r="AT121" i="1"/>
  <c r="AG121" i="1"/>
  <c r="EP121" i="1" l="1"/>
  <c r="EP120" i="1"/>
  <c r="BU121" i="1"/>
  <c r="FD121" i="1"/>
  <c r="CA121" i="1" s="1"/>
  <c r="BZ121" i="1"/>
  <c r="AO134" i="1"/>
  <c r="AP111" i="1"/>
  <c r="AO11" i="1"/>
  <c r="FE121" i="1" l="1"/>
  <c r="AS106" i="1"/>
  <c r="AO112" i="1"/>
  <c r="S146" i="1" l="1"/>
  <c r="EY8" i="1"/>
  <c r="EY9" i="1"/>
  <c r="EY10" i="1"/>
  <c r="EY11" i="1"/>
  <c r="EY12" i="1"/>
  <c r="EY13" i="1"/>
  <c r="EY14" i="1"/>
  <c r="EY15" i="1"/>
  <c r="EY16" i="1"/>
  <c r="EY17" i="1"/>
  <c r="EY18" i="1"/>
  <c r="EY19"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67" i="1"/>
  <c r="EY68" i="1"/>
  <c r="EY69" i="1"/>
  <c r="EY70" i="1"/>
  <c r="EY71" i="1"/>
  <c r="EY72" i="1"/>
  <c r="EY73" i="1"/>
  <c r="EY74" i="1"/>
  <c r="EY75" i="1"/>
  <c r="EY76" i="1"/>
  <c r="EY77" i="1"/>
  <c r="EY78" i="1"/>
  <c r="EY79" i="1"/>
  <c r="EY80" i="1"/>
  <c r="EY81" i="1"/>
  <c r="EY82" i="1"/>
  <c r="EY83" i="1"/>
  <c r="EY84" i="1"/>
  <c r="EY85" i="1"/>
  <c r="EY86" i="1"/>
  <c r="EY87" i="1"/>
  <c r="EY88" i="1"/>
  <c r="EY89" i="1"/>
  <c r="EY90" i="1"/>
  <c r="EY91" i="1"/>
  <c r="EY92" i="1"/>
  <c r="EY93" i="1"/>
  <c r="EY94" i="1"/>
  <c r="EY95" i="1"/>
  <c r="EY96" i="1"/>
  <c r="EY97" i="1"/>
  <c r="EY98" i="1"/>
  <c r="EY99" i="1"/>
  <c r="EY100" i="1"/>
  <c r="EY101" i="1"/>
  <c r="EY102" i="1"/>
  <c r="EY103" i="1"/>
  <c r="EY104" i="1"/>
  <c r="EY105" i="1"/>
  <c r="EY106" i="1"/>
  <c r="EY107" i="1"/>
  <c r="EY108" i="1"/>
  <c r="EY109" i="1"/>
  <c r="EY110" i="1"/>
  <c r="EY111" i="1"/>
  <c r="EY112" i="1"/>
  <c r="EY113" i="1"/>
  <c r="EY114" i="1"/>
  <c r="EY115" i="1"/>
  <c r="EY116" i="1"/>
  <c r="EY117" i="1"/>
  <c r="EY118" i="1"/>
  <c r="EY119" i="1"/>
  <c r="EY12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53" i="1"/>
  <c r="EY154" i="1"/>
  <c r="EY155"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86"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Y272" i="1"/>
  <c r="EY273" i="1"/>
  <c r="EY274" i="1"/>
  <c r="EY275" i="1"/>
  <c r="EY276" i="1"/>
  <c r="EY277" i="1"/>
  <c r="EY278" i="1"/>
  <c r="EY279" i="1"/>
  <c r="EY280" i="1"/>
  <c r="EY281" i="1"/>
  <c r="EY282" i="1"/>
  <c r="EY283" i="1"/>
  <c r="EY284" i="1"/>
  <c r="EY285" i="1"/>
  <c r="EY286" i="1"/>
  <c r="EY287" i="1"/>
  <c r="EY288" i="1"/>
  <c r="EY289" i="1"/>
  <c r="EY290" i="1"/>
  <c r="EY291" i="1"/>
  <c r="EY292" i="1"/>
  <c r="EY293" i="1"/>
  <c r="EY294" i="1"/>
  <c r="EY295" i="1"/>
  <c r="EY296" i="1"/>
  <c r="EY297" i="1"/>
  <c r="EY298" i="1"/>
  <c r="EY299" i="1"/>
  <c r="EY300" i="1"/>
  <c r="EY301" i="1"/>
  <c r="EY302" i="1"/>
  <c r="EY303" i="1"/>
  <c r="EY304" i="1"/>
  <c r="EY305" i="1"/>
  <c r="EY306" i="1"/>
  <c r="EY307" i="1"/>
  <c r="EY308" i="1"/>
  <c r="EY309" i="1"/>
  <c r="EY310" i="1"/>
  <c r="EY311" i="1"/>
  <c r="EY312" i="1"/>
  <c r="EY313" i="1"/>
  <c r="EY314" i="1"/>
  <c r="EY315" i="1"/>
  <c r="EY316" i="1"/>
  <c r="EY317" i="1"/>
  <c r="EY318" i="1"/>
  <c r="EY7" i="1"/>
  <c r="V224" i="38"/>
  <c r="V223" i="38"/>
  <c r="V222" i="38"/>
  <c r="V221" i="38"/>
  <c r="V220" i="38"/>
  <c r="V219" i="38"/>
  <c r="V218" i="38"/>
  <c r="V217" i="38"/>
  <c r="V216" i="38"/>
  <c r="V215" i="38"/>
  <c r="V214" i="38"/>
  <c r="V213" i="38"/>
  <c r="V212" i="38"/>
  <c r="V211" i="38"/>
  <c r="V210" i="38"/>
  <c r="V209" i="38"/>
  <c r="V208" i="38"/>
  <c r="V207" i="38"/>
  <c r="V206" i="38"/>
  <c r="V205" i="38"/>
  <c r="V204" i="38"/>
  <c r="V203" i="38"/>
  <c r="V202" i="38"/>
  <c r="V201" i="38"/>
  <c r="V200" i="38"/>
  <c r="V199" i="38"/>
  <c r="V198" i="38"/>
  <c r="V197" i="38"/>
  <c r="V196" i="38"/>
  <c r="V195" i="38"/>
  <c r="V194" i="38"/>
  <c r="V193" i="38"/>
  <c r="V192" i="38"/>
  <c r="V191" i="38"/>
  <c r="V190" i="38"/>
  <c r="V189" i="38"/>
  <c r="V188" i="38"/>
  <c r="V187" i="38"/>
  <c r="V186" i="38"/>
  <c r="V185" i="38"/>
  <c r="V184" i="38"/>
  <c r="V183" i="38"/>
  <c r="V182" i="38"/>
  <c r="V181" i="38"/>
  <c r="V180" i="38"/>
  <c r="V179" i="38"/>
  <c r="V178" i="38"/>
  <c r="V177" i="38"/>
  <c r="V176" i="38"/>
  <c r="V175" i="38"/>
  <c r="V174" i="38"/>
  <c r="V173" i="38"/>
  <c r="V172" i="38"/>
  <c r="V171" i="38"/>
  <c r="V170" i="38"/>
  <c r="V169" i="38"/>
  <c r="V168" i="38"/>
  <c r="V167" i="38"/>
  <c r="V166" i="38"/>
  <c r="V165" i="38"/>
  <c r="V164" i="38"/>
  <c r="V163" i="38"/>
  <c r="V162" i="38"/>
  <c r="V161" i="38"/>
  <c r="V160" i="38"/>
  <c r="V159" i="38"/>
  <c r="V158" i="38"/>
  <c r="V157" i="38"/>
  <c r="V156" i="38"/>
  <c r="V155" i="38"/>
  <c r="V154" i="38"/>
  <c r="V153" i="38"/>
  <c r="V152" i="38"/>
  <c r="V151" i="38"/>
  <c r="V150" i="38"/>
  <c r="V149" i="38"/>
  <c r="V148" i="38"/>
  <c r="V147" i="38"/>
  <c r="V146" i="38"/>
  <c r="V145" i="38"/>
  <c r="V144" i="38"/>
  <c r="V143" i="38"/>
  <c r="V142" i="38"/>
  <c r="V141" i="38"/>
  <c r="V140" i="38"/>
  <c r="V139" i="38"/>
  <c r="V138" i="38"/>
  <c r="V137" i="38"/>
  <c r="V136" i="38"/>
  <c r="V135" i="38"/>
  <c r="V134" i="38"/>
  <c r="V133" i="38"/>
  <c r="V132" i="38"/>
  <c r="V131" i="38"/>
  <c r="V130" i="38"/>
  <c r="V129" i="38"/>
  <c r="V128" i="38"/>
  <c r="V127" i="38"/>
  <c r="V126" i="38"/>
  <c r="V125" i="38"/>
  <c r="V124" i="38"/>
  <c r="V123" i="38"/>
  <c r="V122" i="38"/>
  <c r="V121" i="38"/>
  <c r="V120" i="38"/>
  <c r="V119" i="38"/>
  <c r="V118" i="38"/>
  <c r="V117" i="38"/>
  <c r="V116" i="38"/>
  <c r="V115" i="38"/>
  <c r="V114" i="38"/>
  <c r="V113" i="38"/>
  <c r="V112" i="38"/>
  <c r="V111" i="38"/>
  <c r="V110" i="38"/>
  <c r="V109" i="38"/>
  <c r="V108" i="38"/>
  <c r="V107" i="38"/>
  <c r="V106" i="38"/>
  <c r="V105" i="38"/>
  <c r="V104" i="38"/>
  <c r="V103" i="38"/>
  <c r="V102" i="38"/>
  <c r="V101" i="38"/>
  <c r="V100" i="38"/>
  <c r="V99" i="38"/>
  <c r="V98" i="38"/>
  <c r="V97" i="38"/>
  <c r="V96" i="38"/>
  <c r="V95" i="38"/>
  <c r="V94" i="38"/>
  <c r="V93" i="38"/>
  <c r="V92" i="38"/>
  <c r="V91" i="38"/>
  <c r="V90" i="38"/>
  <c r="V89" i="38"/>
  <c r="V88" i="38"/>
  <c r="V87" i="38"/>
  <c r="V86" i="38"/>
  <c r="V85" i="38"/>
  <c r="V84" i="38"/>
  <c r="V83" i="38"/>
  <c r="V82" i="38"/>
  <c r="V81" i="38"/>
  <c r="V80" i="38"/>
  <c r="V79" i="38"/>
  <c r="V78" i="38"/>
  <c r="V77" i="38"/>
  <c r="V76" i="38"/>
  <c r="V75" i="38"/>
  <c r="V74" i="38"/>
  <c r="V73" i="38"/>
  <c r="V72" i="38"/>
  <c r="V71" i="38"/>
  <c r="V70" i="38"/>
  <c r="V69" i="38"/>
  <c r="V68" i="38"/>
  <c r="V67" i="38"/>
  <c r="V66" i="38"/>
  <c r="V65" i="38"/>
  <c r="V64" i="38"/>
  <c r="V63" i="38"/>
  <c r="V62" i="38"/>
  <c r="V61" i="38"/>
  <c r="V60" i="38"/>
  <c r="V59" i="38"/>
  <c r="V58" i="38"/>
  <c r="V57" i="38"/>
  <c r="V56" i="38"/>
  <c r="V55" i="38"/>
  <c r="V54" i="38"/>
  <c r="V53" i="38"/>
  <c r="V52" i="38"/>
  <c r="V51" i="38"/>
  <c r="V50" i="38"/>
  <c r="V49" i="38"/>
  <c r="V48" i="38"/>
  <c r="V47" i="38"/>
  <c r="V46" i="38"/>
  <c r="V45" i="38"/>
  <c r="V44" i="38"/>
  <c r="V43" i="38"/>
  <c r="V42" i="38"/>
  <c r="V41" i="38"/>
  <c r="V40" i="38"/>
  <c r="V39" i="38"/>
  <c r="V38" i="38"/>
  <c r="V37" i="38"/>
  <c r="V36" i="38"/>
  <c r="V35" i="38"/>
  <c r="V34" i="38"/>
  <c r="V33" i="38"/>
  <c r="V32" i="38"/>
  <c r="V31" i="38"/>
  <c r="V30" i="38"/>
  <c r="V29" i="38"/>
  <c r="V28" i="38"/>
  <c r="V27" i="38"/>
  <c r="V26" i="38"/>
  <c r="V25" i="38"/>
  <c r="V24" i="38"/>
  <c r="V23" i="38"/>
  <c r="V22" i="38"/>
  <c r="V21" i="38"/>
  <c r="V20" i="38"/>
  <c r="V19" i="38"/>
  <c r="V18" i="38"/>
  <c r="V17" i="38"/>
  <c r="V16" i="38"/>
  <c r="V15" i="38"/>
  <c r="V14" i="38"/>
  <c r="V13" i="38"/>
  <c r="V12" i="38"/>
  <c r="V11" i="38"/>
  <c r="V10" i="38"/>
  <c r="V9" i="38"/>
  <c r="V8" i="38"/>
  <c r="V7" i="38"/>
  <c r="V6" i="38"/>
  <c r="V5" i="38"/>
  <c r="V4" i="38"/>
  <c r="S287" i="1" l="1"/>
  <c r="S34" i="1"/>
  <c r="BF133" i="1" l="1"/>
  <c r="AA58" i="1" l="1"/>
  <c r="EQ90" i="1"/>
  <c r="ER90" i="1"/>
  <c r="ES90" i="1"/>
  <c r="ET90" i="1"/>
  <c r="EU90" i="1"/>
  <c r="EV90" i="1"/>
  <c r="EW90" i="1"/>
  <c r="EX90" i="1"/>
  <c r="EO90" i="1"/>
  <c r="EB90" i="1"/>
  <c r="DO90" i="1"/>
  <c r="DB90" i="1"/>
  <c r="CO90" i="1"/>
  <c r="BT90" i="1"/>
  <c r="BG90" i="1"/>
  <c r="AT90" i="1"/>
  <c r="AG90" i="1"/>
  <c r="T90" i="1"/>
  <c r="BU90" i="1" l="1"/>
  <c r="EP90" i="1"/>
  <c r="FD90" i="1"/>
  <c r="FE90" i="1" s="1"/>
  <c r="EQ46" i="1" l="1"/>
  <c r="ER46" i="1"/>
  <c r="ES46" i="1"/>
  <c r="ET46" i="1"/>
  <c r="EU46" i="1"/>
  <c r="EV46" i="1"/>
  <c r="EW46" i="1"/>
  <c r="EX46" i="1"/>
  <c r="EO46" i="1"/>
  <c r="EB46" i="1"/>
  <c r="DO46" i="1"/>
  <c r="CO46" i="1"/>
  <c r="BT46" i="1"/>
  <c r="BT47" i="1"/>
  <c r="BG46" i="1"/>
  <c r="AT46" i="1"/>
  <c r="AG46" i="1"/>
  <c r="T46" i="1"/>
  <c r="FD46" i="1" l="1"/>
  <c r="FE46" i="1" s="1"/>
  <c r="EP46" i="1"/>
  <c r="BU46" i="1"/>
  <c r="BT9" i="1" l="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1" i="1"/>
  <c r="BT92" i="1"/>
  <c r="BT93" i="1"/>
  <c r="BT94" i="1"/>
  <c r="BT95" i="1"/>
  <c r="BT96" i="1"/>
  <c r="BT97" i="1"/>
  <c r="BT98" i="1"/>
  <c r="BT99" i="1"/>
  <c r="BT100" i="1"/>
  <c r="BT101" i="1"/>
  <c r="BT102" i="1"/>
  <c r="BT103" i="1"/>
  <c r="BT104" i="1"/>
  <c r="BT105" i="1"/>
  <c r="BT106" i="1"/>
  <c r="BT107" i="1"/>
  <c r="BT108" i="1"/>
  <c r="BT109" i="1"/>
  <c r="BT110" i="1"/>
  <c r="BT111" i="1"/>
  <c r="BT112" i="1"/>
  <c r="BT113" i="1"/>
  <c r="BT114" i="1"/>
  <c r="BT115" i="1"/>
  <c r="BT116" i="1"/>
  <c r="BT117" i="1"/>
  <c r="BT118" i="1"/>
  <c r="BT119" i="1"/>
  <c r="BT120" i="1"/>
  <c r="BT122" i="1"/>
  <c r="BT123" i="1"/>
  <c r="BT124" i="1"/>
  <c r="BT125" i="1"/>
  <c r="BT126" i="1"/>
  <c r="BT127" i="1"/>
  <c r="BT128" i="1"/>
  <c r="BT129" i="1"/>
  <c r="BT130" i="1"/>
  <c r="BT131" i="1"/>
  <c r="BT132" i="1"/>
  <c r="BT133" i="1"/>
  <c r="BT134" i="1"/>
  <c r="BT135" i="1"/>
  <c r="BT136" i="1"/>
  <c r="BT137" i="1"/>
  <c r="BT138" i="1"/>
  <c r="BT139" i="1"/>
  <c r="BT140" i="1"/>
  <c r="BT141" i="1"/>
  <c r="BT142" i="1"/>
  <c r="BT143" i="1"/>
  <c r="BT144" i="1"/>
  <c r="BT145" i="1"/>
  <c r="BT146" i="1"/>
  <c r="BT147" i="1"/>
  <c r="BT148" i="1"/>
  <c r="BT149" i="1"/>
  <c r="BT150" i="1"/>
  <c r="BT151" i="1"/>
  <c r="BT152" i="1"/>
  <c r="BT153" i="1"/>
  <c r="BT154" i="1"/>
  <c r="BT155" i="1"/>
  <c r="BT156" i="1"/>
  <c r="BT157" i="1"/>
  <c r="BT158" i="1"/>
  <c r="BT159" i="1"/>
  <c r="BT160" i="1"/>
  <c r="BT161" i="1"/>
  <c r="BT162" i="1"/>
  <c r="BT163" i="1"/>
  <c r="BT164" i="1"/>
  <c r="BT165" i="1"/>
  <c r="BT166" i="1"/>
  <c r="BT167" i="1"/>
  <c r="BT168" i="1"/>
  <c r="BT169" i="1"/>
  <c r="BT170" i="1"/>
  <c r="BT171" i="1"/>
  <c r="BT172" i="1"/>
  <c r="BT173" i="1"/>
  <c r="BT174" i="1"/>
  <c r="BT175" i="1"/>
  <c r="BT176" i="1"/>
  <c r="BT177" i="1"/>
  <c r="BT178" i="1"/>
  <c r="BT179" i="1"/>
  <c r="BT180" i="1"/>
  <c r="BT181" i="1"/>
  <c r="BT182" i="1"/>
  <c r="BT183" i="1"/>
  <c r="BT184" i="1"/>
  <c r="BT185" i="1"/>
  <c r="BT186" i="1"/>
  <c r="BT187" i="1"/>
  <c r="BT188" i="1"/>
  <c r="BT189" i="1"/>
  <c r="BT190" i="1"/>
  <c r="BT191" i="1"/>
  <c r="BT192" i="1"/>
  <c r="BT193" i="1"/>
  <c r="BT194" i="1"/>
  <c r="BT195" i="1"/>
  <c r="BT196" i="1"/>
  <c r="BT197" i="1"/>
  <c r="BT198" i="1"/>
  <c r="BT199" i="1"/>
  <c r="BT200" i="1"/>
  <c r="BT201" i="1"/>
  <c r="BT202" i="1"/>
  <c r="BT203" i="1"/>
  <c r="BT204" i="1"/>
  <c r="BT205" i="1"/>
  <c r="BT206" i="1"/>
  <c r="BT207" i="1"/>
  <c r="BT208" i="1"/>
  <c r="BT209" i="1"/>
  <c r="BT210" i="1"/>
  <c r="BT211" i="1"/>
  <c r="BT212" i="1"/>
  <c r="BT213" i="1"/>
  <c r="BT214" i="1"/>
  <c r="BT215" i="1"/>
  <c r="BT216" i="1"/>
  <c r="BT217" i="1"/>
  <c r="BT218" i="1"/>
  <c r="BT219" i="1"/>
  <c r="BT220" i="1"/>
  <c r="BT221" i="1"/>
  <c r="BT222" i="1"/>
  <c r="BT223" i="1"/>
  <c r="BT224" i="1"/>
  <c r="BT225" i="1"/>
  <c r="BT226" i="1"/>
  <c r="BT227" i="1"/>
  <c r="BT228" i="1"/>
  <c r="BT229" i="1"/>
  <c r="BT230" i="1"/>
  <c r="BT231" i="1"/>
  <c r="BT232" i="1"/>
  <c r="BT233" i="1"/>
  <c r="BT234" i="1"/>
  <c r="BT235" i="1"/>
  <c r="BT236" i="1"/>
  <c r="BT237" i="1"/>
  <c r="BT238" i="1"/>
  <c r="BT239" i="1"/>
  <c r="BT240" i="1"/>
  <c r="BT241" i="1"/>
  <c r="BT242" i="1"/>
  <c r="BT243" i="1"/>
  <c r="BT244" i="1"/>
  <c r="BT245" i="1"/>
  <c r="BT246" i="1"/>
  <c r="BT247" i="1"/>
  <c r="BT248" i="1"/>
  <c r="BT249" i="1"/>
  <c r="BT250" i="1"/>
  <c r="BT251" i="1"/>
  <c r="BT252" i="1"/>
  <c r="BT253" i="1"/>
  <c r="BT254" i="1"/>
  <c r="BT255" i="1"/>
  <c r="BT256" i="1"/>
  <c r="BT257" i="1"/>
  <c r="BT258" i="1"/>
  <c r="BT259" i="1"/>
  <c r="BT260" i="1"/>
  <c r="BT261" i="1"/>
  <c r="BT262" i="1"/>
  <c r="BT263" i="1"/>
  <c r="BT264" i="1"/>
  <c r="BT265" i="1"/>
  <c r="BT266" i="1"/>
  <c r="BT267" i="1"/>
  <c r="BT268" i="1"/>
  <c r="BT269" i="1"/>
  <c r="BT270" i="1"/>
  <c r="BT271" i="1"/>
  <c r="BT272" i="1"/>
  <c r="BT273" i="1"/>
  <c r="BT274" i="1"/>
  <c r="BT275" i="1"/>
  <c r="BT276" i="1"/>
  <c r="BT277" i="1"/>
  <c r="BT278" i="1"/>
  <c r="BT279" i="1"/>
  <c r="BT280" i="1"/>
  <c r="BT281" i="1"/>
  <c r="BT282" i="1"/>
  <c r="BT283" i="1"/>
  <c r="BT284" i="1"/>
  <c r="BT285" i="1"/>
  <c r="BT286" i="1"/>
  <c r="BT287" i="1"/>
  <c r="BT288" i="1"/>
  <c r="BT289" i="1"/>
  <c r="BT290" i="1"/>
  <c r="BT291" i="1"/>
  <c r="BT292" i="1"/>
  <c r="BT293" i="1"/>
  <c r="BT294" i="1"/>
  <c r="BT295" i="1"/>
  <c r="BT296" i="1"/>
  <c r="BT297" i="1"/>
  <c r="BT298" i="1"/>
  <c r="BT299" i="1"/>
  <c r="BT300" i="1"/>
  <c r="BT301" i="1"/>
  <c r="BT302" i="1"/>
  <c r="BT303" i="1"/>
  <c r="BT304" i="1"/>
  <c r="BT305" i="1"/>
  <c r="BT306" i="1"/>
  <c r="BT307" i="1"/>
  <c r="BT308" i="1"/>
  <c r="BT309" i="1"/>
  <c r="BT310" i="1"/>
  <c r="BT311" i="1"/>
  <c r="BT312" i="1"/>
  <c r="BT313" i="1"/>
  <c r="BT314" i="1"/>
  <c r="BT315" i="1"/>
  <c r="BT316" i="1"/>
  <c r="BT317" i="1"/>
  <c r="BT318"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1" i="1"/>
  <c r="BG92" i="1"/>
  <c r="BG93" i="1"/>
  <c r="BG94" i="1"/>
  <c r="BG95" i="1"/>
  <c r="BG96" i="1"/>
  <c r="BG97" i="1"/>
  <c r="BG98" i="1"/>
  <c r="BG99" i="1"/>
  <c r="BG100" i="1"/>
  <c r="BG101" i="1"/>
  <c r="BG102" i="1"/>
  <c r="BG103" i="1"/>
  <c r="BG104" i="1"/>
  <c r="BG106" i="1"/>
  <c r="BG107" i="1"/>
  <c r="BG108" i="1"/>
  <c r="BG109" i="1"/>
  <c r="BG111" i="1"/>
  <c r="BG112" i="1"/>
  <c r="BG113" i="1"/>
  <c r="BG114" i="1"/>
  <c r="BG115" i="1"/>
  <c r="BG116" i="1"/>
  <c r="BG117" i="1"/>
  <c r="BG118" i="1"/>
  <c r="BG119" i="1"/>
  <c r="BG120"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1" i="1"/>
  <c r="AT92" i="1"/>
  <c r="AT93" i="1"/>
  <c r="AT94" i="1"/>
  <c r="AT95" i="1"/>
  <c r="AT96" i="1"/>
  <c r="AT97" i="1"/>
  <c r="AT98" i="1"/>
  <c r="AT99" i="1"/>
  <c r="AT100" i="1"/>
  <c r="AT101" i="1"/>
  <c r="AT102" i="1"/>
  <c r="AT103" i="1"/>
  <c r="AT104" i="1"/>
  <c r="AT105" i="1"/>
  <c r="AT106" i="1"/>
  <c r="AT107" i="1"/>
  <c r="AT108" i="1"/>
  <c r="AT109" i="1"/>
  <c r="AT110" i="1"/>
  <c r="AT111" i="1"/>
  <c r="AT113" i="1"/>
  <c r="AT116" i="1"/>
  <c r="AT117" i="1"/>
  <c r="AT118" i="1"/>
  <c r="AT119" i="1"/>
  <c r="AT122" i="1"/>
  <c r="AT123" i="1"/>
  <c r="AT124" i="1"/>
  <c r="AT125" i="1"/>
  <c r="AT126" i="1"/>
  <c r="AT127" i="1"/>
  <c r="AT128" i="1"/>
  <c r="AT129" i="1"/>
  <c r="AT130" i="1"/>
  <c r="AT131" i="1"/>
  <c r="AT132"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T303" i="1"/>
  <c r="AT304" i="1"/>
  <c r="AT305" i="1"/>
  <c r="AT306" i="1"/>
  <c r="AT307" i="1"/>
  <c r="AT308" i="1"/>
  <c r="AT309" i="1"/>
  <c r="AT310" i="1"/>
  <c r="AT311" i="1"/>
  <c r="AT312" i="1"/>
  <c r="AT313" i="1"/>
  <c r="AT314" i="1"/>
  <c r="AT315" i="1"/>
  <c r="AT316" i="1"/>
  <c r="AT31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6" i="1"/>
  <c r="AG77" i="1"/>
  <c r="AG78" i="1"/>
  <c r="AG79" i="1"/>
  <c r="AG80" i="1"/>
  <c r="AG81" i="1"/>
  <c r="AG82" i="1"/>
  <c r="AG84" i="1"/>
  <c r="AG85" i="1"/>
  <c r="AG86" i="1"/>
  <c r="AG87" i="1"/>
  <c r="AG88" i="1"/>
  <c r="AG89" i="1"/>
  <c r="AG91" i="1"/>
  <c r="AG92" i="1"/>
  <c r="AG93" i="1"/>
  <c r="AG94" i="1"/>
  <c r="AG95" i="1"/>
  <c r="AG97" i="1"/>
  <c r="AG98" i="1"/>
  <c r="AG99" i="1"/>
  <c r="AG100" i="1"/>
  <c r="AG101" i="1"/>
  <c r="AG102" i="1"/>
  <c r="AG103" i="1"/>
  <c r="AG104" i="1"/>
  <c r="AG105" i="1"/>
  <c r="AG106" i="1"/>
  <c r="AG108" i="1"/>
  <c r="AG109" i="1"/>
  <c r="AG110" i="1"/>
  <c r="AG111" i="1"/>
  <c r="AG113" i="1"/>
  <c r="AG114" i="1"/>
  <c r="AG115" i="1"/>
  <c r="AG116" i="1"/>
  <c r="AG117" i="1"/>
  <c r="AG118" i="1"/>
  <c r="AG119" i="1"/>
  <c r="AG120" i="1"/>
  <c r="AG122" i="1"/>
  <c r="AG123" i="1"/>
  <c r="AG124" i="1"/>
  <c r="AG126" i="1"/>
  <c r="AG127" i="1"/>
  <c r="AG129" i="1"/>
  <c r="AG130" i="1"/>
  <c r="AG131" i="1"/>
  <c r="AG132"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T19" i="1"/>
  <c r="T82" i="1"/>
  <c r="T85" i="1"/>
  <c r="T87" i="1"/>
  <c r="T103" i="1"/>
  <c r="T104" i="1"/>
  <c r="T107" i="1"/>
  <c r="T143" i="1"/>
  <c r="T260" i="1"/>
  <c r="T289" i="1"/>
  <c r="BU87" i="1" l="1"/>
  <c r="BU289" i="1"/>
  <c r="BU104" i="1"/>
  <c r="BU85" i="1"/>
  <c r="BU19" i="1"/>
  <c r="BU143" i="1"/>
  <c r="BU260" i="1"/>
  <c r="BU103" i="1"/>
  <c r="BU82" i="1"/>
  <c r="CC69" i="23"/>
  <c r="CC68" i="23"/>
  <c r="CC67" i="23"/>
  <c r="CC66" i="23"/>
  <c r="CC65" i="23"/>
  <c r="CC64" i="23"/>
  <c r="CC63" i="23"/>
  <c r="CC62" i="23"/>
  <c r="CC61" i="23"/>
  <c r="CC60" i="23"/>
  <c r="CC59" i="23"/>
  <c r="CC58" i="23"/>
  <c r="CC57" i="23"/>
  <c r="CC56" i="23"/>
  <c r="CC55" i="23"/>
  <c r="CC54" i="23"/>
  <c r="AO69" i="23"/>
  <c r="AO68" i="23"/>
  <c r="AO67" i="23"/>
  <c r="AO66" i="23"/>
  <c r="AO65" i="23"/>
  <c r="AO64" i="23"/>
  <c r="AO63" i="23"/>
  <c r="AO62" i="23"/>
  <c r="AO61" i="23"/>
  <c r="AO60" i="23"/>
  <c r="AO59" i="23"/>
  <c r="AO58" i="23"/>
  <c r="AO57" i="23"/>
  <c r="AO56" i="23"/>
  <c r="AO55" i="23"/>
  <c r="AO54" i="23"/>
  <c r="AO52" i="23"/>
  <c r="AT112" i="1" l="1"/>
  <c r="AG112" i="1"/>
  <c r="AS133" i="1" l="1"/>
  <c r="AT133" i="1" s="1"/>
  <c r="AT120" i="1"/>
  <c r="AT115" i="1"/>
  <c r="AR114" i="1"/>
  <c r="AT114" i="1" s="1"/>
  <c r="EW8" i="1" l="1"/>
  <c r="EW9" i="1"/>
  <c r="EW10" i="1"/>
  <c r="EW11" i="1"/>
  <c r="EW12" i="1"/>
  <c r="EW13" i="1"/>
  <c r="EW14" i="1"/>
  <c r="EW15" i="1"/>
  <c r="EW16" i="1"/>
  <c r="EW17" i="1"/>
  <c r="EW18" i="1"/>
  <c r="EW19"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7" i="1"/>
  <c r="EW48" i="1"/>
  <c r="EW49" i="1"/>
  <c r="EW50" i="1"/>
  <c r="EW51" i="1"/>
  <c r="EW52" i="1"/>
  <c r="EW53" i="1"/>
  <c r="EW54" i="1"/>
  <c r="EW55" i="1"/>
  <c r="EW56" i="1"/>
  <c r="EW57" i="1"/>
  <c r="EW58" i="1"/>
  <c r="EW59" i="1"/>
  <c r="EW60" i="1"/>
  <c r="EW61" i="1"/>
  <c r="EW62" i="1"/>
  <c r="EW63" i="1"/>
  <c r="EW64" i="1"/>
  <c r="EW65" i="1"/>
  <c r="EW66" i="1"/>
  <c r="EW67" i="1"/>
  <c r="EW68" i="1"/>
  <c r="EW69" i="1"/>
  <c r="EW70" i="1"/>
  <c r="EW71" i="1"/>
  <c r="EW72" i="1"/>
  <c r="EW73" i="1"/>
  <c r="EW74" i="1"/>
  <c r="EW75" i="1"/>
  <c r="EW76" i="1"/>
  <c r="EW77" i="1"/>
  <c r="EW78" i="1"/>
  <c r="EW79" i="1"/>
  <c r="EW80" i="1"/>
  <c r="EW81" i="1"/>
  <c r="EW82" i="1"/>
  <c r="EW83" i="1"/>
  <c r="EW84" i="1"/>
  <c r="EW85" i="1"/>
  <c r="EW86" i="1"/>
  <c r="EW87" i="1"/>
  <c r="EW88" i="1"/>
  <c r="EW89" i="1"/>
  <c r="EW91" i="1"/>
  <c r="EW92" i="1"/>
  <c r="EW93" i="1"/>
  <c r="EW94" i="1"/>
  <c r="EW95" i="1"/>
  <c r="EW96" i="1"/>
  <c r="EW97" i="1"/>
  <c r="EW98" i="1"/>
  <c r="EW99" i="1"/>
  <c r="EW100" i="1"/>
  <c r="EW101" i="1"/>
  <c r="EW102" i="1"/>
  <c r="EW103" i="1"/>
  <c r="EW104" i="1"/>
  <c r="EW105" i="1"/>
  <c r="EW106" i="1"/>
  <c r="EW107" i="1"/>
  <c r="EW108" i="1"/>
  <c r="EW109" i="1"/>
  <c r="EW110" i="1"/>
  <c r="EW111" i="1"/>
  <c r="EW112" i="1"/>
  <c r="EW113" i="1"/>
  <c r="EW114" i="1"/>
  <c r="EW115" i="1"/>
  <c r="EW116" i="1"/>
  <c r="EW117" i="1"/>
  <c r="EW118" i="1"/>
  <c r="EW119" i="1"/>
  <c r="EW12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53" i="1"/>
  <c r="EW154" i="1"/>
  <c r="EW155"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86"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W272" i="1"/>
  <c r="EW273" i="1"/>
  <c r="EW274" i="1"/>
  <c r="EW275" i="1"/>
  <c r="EW276" i="1"/>
  <c r="EW277" i="1"/>
  <c r="EW278" i="1"/>
  <c r="EW279" i="1"/>
  <c r="EW280" i="1"/>
  <c r="EW281" i="1"/>
  <c r="EW282" i="1"/>
  <c r="EW283" i="1"/>
  <c r="EW284" i="1"/>
  <c r="EW285" i="1"/>
  <c r="EW286" i="1"/>
  <c r="EW287" i="1"/>
  <c r="EW288" i="1"/>
  <c r="EW289" i="1"/>
  <c r="EW290" i="1"/>
  <c r="EW291" i="1"/>
  <c r="EW292" i="1"/>
  <c r="EW293" i="1"/>
  <c r="EW294" i="1"/>
  <c r="EW295" i="1"/>
  <c r="EW296" i="1"/>
  <c r="EW297" i="1"/>
  <c r="EW298" i="1"/>
  <c r="EW299" i="1"/>
  <c r="EW300" i="1"/>
  <c r="EW301" i="1"/>
  <c r="EW302" i="1"/>
  <c r="EW303" i="1"/>
  <c r="EW304" i="1"/>
  <c r="EW305" i="1"/>
  <c r="EW306" i="1"/>
  <c r="EW307" i="1"/>
  <c r="EW308" i="1"/>
  <c r="EW309" i="1"/>
  <c r="EW310" i="1"/>
  <c r="EW311" i="1"/>
  <c r="EW312" i="1"/>
  <c r="EW313" i="1"/>
  <c r="EW314" i="1"/>
  <c r="EW315" i="1"/>
  <c r="EW316" i="1"/>
  <c r="EW317" i="1"/>
  <c r="EW318" i="1"/>
  <c r="AB128" i="1" l="1"/>
  <c r="AG128" i="1" s="1"/>
  <c r="C173" i="22" l="1"/>
  <c r="C172" i="22"/>
  <c r="C167" i="22"/>
  <c r="C168" i="22"/>
  <c r="C169" i="22"/>
  <c r="C170" i="22"/>
  <c r="C171" i="22"/>
  <c r="C166" i="22"/>
  <c r="C161" i="22"/>
  <c r="C162" i="22"/>
  <c r="C163" i="22"/>
  <c r="C164" i="22"/>
  <c r="C165" i="22"/>
  <c r="C160" i="22"/>
  <c r="C155" i="22"/>
  <c r="C156" i="22"/>
  <c r="C157" i="22"/>
  <c r="C158" i="22"/>
  <c r="C159" i="22"/>
  <c r="C154" i="22"/>
  <c r="C146" i="22"/>
  <c r="C145" i="22"/>
  <c r="C140" i="22"/>
  <c r="C141" i="22"/>
  <c r="C142" i="22"/>
  <c r="C143" i="22"/>
  <c r="C144" i="22"/>
  <c r="C139" i="22"/>
  <c r="C134" i="22"/>
  <c r="C135" i="22"/>
  <c r="C136" i="22"/>
  <c r="C137" i="22"/>
  <c r="C138" i="22"/>
  <c r="C133" i="22"/>
  <c r="C128" i="22"/>
  <c r="C129" i="22"/>
  <c r="C130" i="22"/>
  <c r="C131" i="22"/>
  <c r="C132" i="22"/>
  <c r="C127" i="22"/>
  <c r="C114" i="22"/>
  <c r="C115" i="22" s="1"/>
  <c r="C113" i="22"/>
  <c r="C105" i="22"/>
  <c r="C106" i="22" s="1"/>
  <c r="C104" i="22"/>
  <c r="C87" i="22"/>
  <c r="C88" i="22"/>
  <c r="C89" i="22"/>
  <c r="C90" i="22"/>
  <c r="C91" i="22"/>
  <c r="C86" i="22"/>
  <c r="C74" i="22"/>
  <c r="C75" i="22"/>
  <c r="C76" i="22"/>
  <c r="C77" i="22"/>
  <c r="C78" i="22"/>
  <c r="C73" i="22"/>
  <c r="C56" i="22"/>
  <c r="C57" i="22"/>
  <c r="C58" i="22"/>
  <c r="C59" i="22"/>
  <c r="C60" i="22"/>
  <c r="C55" i="22"/>
  <c r="C61" i="22" s="1"/>
  <c r="C43" i="22"/>
  <c r="C44" i="22"/>
  <c r="C45" i="22"/>
  <c r="C46" i="22"/>
  <c r="C47" i="22"/>
  <c r="C42" i="22"/>
  <c r="C25" i="22"/>
  <c r="C26" i="22"/>
  <c r="C27" i="22"/>
  <c r="C28" i="22"/>
  <c r="C29" i="22"/>
  <c r="C24" i="22"/>
  <c r="C30" i="22" s="1"/>
  <c r="C12" i="22"/>
  <c r="C13" i="22"/>
  <c r="C14" i="22"/>
  <c r="C15" i="22"/>
  <c r="C16" i="22"/>
  <c r="C11" i="22"/>
  <c r="C17" i="22" s="1"/>
  <c r="C48" i="22"/>
  <c r="H152" i="22"/>
  <c r="E152" i="22"/>
  <c r="H125" i="22"/>
  <c r="E125" i="22"/>
  <c r="H111" i="22"/>
  <c r="E111" i="22"/>
  <c r="H102" i="22"/>
  <c r="E102" i="22"/>
  <c r="H84" i="22"/>
  <c r="E84" i="22"/>
  <c r="H71" i="22"/>
  <c r="E71" i="22"/>
  <c r="H53" i="22"/>
  <c r="E53" i="22"/>
  <c r="H40" i="22"/>
  <c r="E40" i="22"/>
  <c r="H22" i="22"/>
  <c r="E22" i="22"/>
  <c r="J27" i="37"/>
  <c r="H27" i="37"/>
  <c r="G27" i="37"/>
  <c r="F27" i="37"/>
  <c r="E27" i="37"/>
  <c r="D27" i="37"/>
  <c r="O26" i="37"/>
  <c r="V26" i="37" s="1"/>
  <c r="N26" i="37"/>
  <c r="U26" i="37" s="1"/>
  <c r="M26" i="37"/>
  <c r="T26" i="37" s="1"/>
  <c r="L26" i="37"/>
  <c r="S26" i="37" s="1"/>
  <c r="K26" i="37"/>
  <c r="R26" i="37" s="1"/>
  <c r="I26" i="37"/>
  <c r="O25" i="37"/>
  <c r="N25" i="37"/>
  <c r="U25" i="37" s="1"/>
  <c r="M25" i="37"/>
  <c r="L25" i="37"/>
  <c r="S25" i="37" s="1"/>
  <c r="K25" i="37"/>
  <c r="R25" i="37" s="1"/>
  <c r="I25" i="37"/>
  <c r="I27" i="37" s="1"/>
  <c r="J24" i="37"/>
  <c r="H24" i="37"/>
  <c r="G24" i="37"/>
  <c r="F24" i="37"/>
  <c r="E24" i="37"/>
  <c r="D24" i="37"/>
  <c r="O23" i="37"/>
  <c r="V23" i="37" s="1"/>
  <c r="N23" i="37"/>
  <c r="U23" i="37" s="1"/>
  <c r="M23" i="37"/>
  <c r="T23" i="37" s="1"/>
  <c r="L23" i="37"/>
  <c r="S23" i="37" s="1"/>
  <c r="K23" i="37"/>
  <c r="R23" i="37" s="1"/>
  <c r="I23" i="37"/>
  <c r="O22" i="37"/>
  <c r="V22" i="37" s="1"/>
  <c r="N22" i="37"/>
  <c r="U22" i="37" s="1"/>
  <c r="M22" i="37"/>
  <c r="T22" i="37" s="1"/>
  <c r="L22" i="37"/>
  <c r="S22" i="37" s="1"/>
  <c r="K22" i="37"/>
  <c r="R22" i="37" s="1"/>
  <c r="I22" i="37"/>
  <c r="O21" i="37"/>
  <c r="V21" i="37" s="1"/>
  <c r="N21" i="37"/>
  <c r="U21" i="37" s="1"/>
  <c r="M21" i="37"/>
  <c r="T21" i="37" s="1"/>
  <c r="L21" i="37"/>
  <c r="S21" i="37" s="1"/>
  <c r="K21" i="37"/>
  <c r="R21" i="37" s="1"/>
  <c r="I21" i="37"/>
  <c r="O20" i="37"/>
  <c r="V20" i="37" s="1"/>
  <c r="N20" i="37"/>
  <c r="U20" i="37" s="1"/>
  <c r="M20" i="37"/>
  <c r="T20" i="37" s="1"/>
  <c r="L20" i="37"/>
  <c r="S20" i="37" s="1"/>
  <c r="K20" i="37"/>
  <c r="R20" i="37" s="1"/>
  <c r="I20" i="37"/>
  <c r="O19" i="37"/>
  <c r="V19" i="37" s="1"/>
  <c r="N19" i="37"/>
  <c r="U19" i="37" s="1"/>
  <c r="M19" i="37"/>
  <c r="T19" i="37" s="1"/>
  <c r="L19" i="37"/>
  <c r="S19" i="37" s="1"/>
  <c r="K19" i="37"/>
  <c r="R19" i="37" s="1"/>
  <c r="I19" i="37"/>
  <c r="O18" i="37"/>
  <c r="N18" i="37"/>
  <c r="N24" i="37" s="1"/>
  <c r="U24" i="37" s="1"/>
  <c r="M18" i="37"/>
  <c r="L18" i="37"/>
  <c r="S18" i="37" s="1"/>
  <c r="K18" i="37"/>
  <c r="I18" i="37"/>
  <c r="I24" i="37" s="1"/>
  <c r="J17" i="37"/>
  <c r="H17" i="37"/>
  <c r="G17" i="37"/>
  <c r="F17" i="37"/>
  <c r="E17" i="37"/>
  <c r="D17" i="37"/>
  <c r="O16" i="37"/>
  <c r="V16" i="37" s="1"/>
  <c r="N16" i="37"/>
  <c r="U16" i="37" s="1"/>
  <c r="M16" i="37"/>
  <c r="T16" i="37" s="1"/>
  <c r="L16" i="37"/>
  <c r="S16" i="37" s="1"/>
  <c r="K16" i="37"/>
  <c r="R16" i="37" s="1"/>
  <c r="O15" i="37"/>
  <c r="V15" i="37" s="1"/>
  <c r="N15" i="37"/>
  <c r="U15" i="37" s="1"/>
  <c r="M15" i="37"/>
  <c r="T15" i="37" s="1"/>
  <c r="L15" i="37"/>
  <c r="S15" i="37" s="1"/>
  <c r="K15" i="37"/>
  <c r="R15" i="37" s="1"/>
  <c r="O14" i="37"/>
  <c r="V14" i="37" s="1"/>
  <c r="N14" i="37"/>
  <c r="U14" i="37" s="1"/>
  <c r="M14" i="37"/>
  <c r="T14" i="37" s="1"/>
  <c r="L14" i="37"/>
  <c r="S14" i="37" s="1"/>
  <c r="K14" i="37"/>
  <c r="R14" i="37" s="1"/>
  <c r="I14" i="37"/>
  <c r="O13" i="37"/>
  <c r="V13" i="37" s="1"/>
  <c r="N13" i="37"/>
  <c r="U13" i="37" s="1"/>
  <c r="M13" i="37"/>
  <c r="T13" i="37" s="1"/>
  <c r="L13" i="37"/>
  <c r="S13" i="37" s="1"/>
  <c r="K13" i="37"/>
  <c r="R13" i="37" s="1"/>
  <c r="I13" i="37"/>
  <c r="O12" i="37"/>
  <c r="V12" i="37" s="1"/>
  <c r="N12" i="37"/>
  <c r="U12" i="37" s="1"/>
  <c r="M12" i="37"/>
  <c r="T12" i="37" s="1"/>
  <c r="L12" i="37"/>
  <c r="S12" i="37" s="1"/>
  <c r="K12" i="37"/>
  <c r="R12" i="37" s="1"/>
  <c r="I12" i="37"/>
  <c r="O11" i="37"/>
  <c r="N11" i="37"/>
  <c r="M11" i="37"/>
  <c r="L11" i="37"/>
  <c r="S11" i="37" s="1"/>
  <c r="K11" i="37"/>
  <c r="I11" i="37"/>
  <c r="I17" i="37" s="1"/>
  <c r="J10" i="37"/>
  <c r="J28" i="37" s="1"/>
  <c r="H10" i="37"/>
  <c r="H28" i="37" s="1"/>
  <c r="G10" i="37"/>
  <c r="G28" i="37" s="1"/>
  <c r="F10" i="37"/>
  <c r="F28" i="37" s="1"/>
  <c r="E10" i="37"/>
  <c r="E28" i="37" s="1"/>
  <c r="D10" i="37"/>
  <c r="D28" i="37" s="1"/>
  <c r="O9" i="37"/>
  <c r="V9" i="37" s="1"/>
  <c r="N9" i="37"/>
  <c r="U9" i="37" s="1"/>
  <c r="M9" i="37"/>
  <c r="T9" i="37" s="1"/>
  <c r="L9" i="37"/>
  <c r="S9" i="37" s="1"/>
  <c r="K9" i="37"/>
  <c r="R9" i="37" s="1"/>
  <c r="O8" i="37"/>
  <c r="V8" i="37" s="1"/>
  <c r="N8" i="37"/>
  <c r="U8" i="37" s="1"/>
  <c r="M8" i="37"/>
  <c r="T8" i="37" s="1"/>
  <c r="L8" i="37"/>
  <c r="S8" i="37" s="1"/>
  <c r="K8" i="37"/>
  <c r="R8" i="37" s="1"/>
  <c r="O7" i="37"/>
  <c r="V7" i="37" s="1"/>
  <c r="N7" i="37"/>
  <c r="U7" i="37" s="1"/>
  <c r="M7" i="37"/>
  <c r="T7" i="37" s="1"/>
  <c r="L7" i="37"/>
  <c r="S7" i="37" s="1"/>
  <c r="K7" i="37"/>
  <c r="R7" i="37" s="1"/>
  <c r="I7" i="37"/>
  <c r="O6" i="37"/>
  <c r="N6" i="37"/>
  <c r="U6" i="37" s="1"/>
  <c r="M6" i="37"/>
  <c r="T6" i="37" s="1"/>
  <c r="L6" i="37"/>
  <c r="S6" i="37" s="1"/>
  <c r="K6" i="37"/>
  <c r="R6" i="37" s="1"/>
  <c r="I6" i="37"/>
  <c r="O5" i="37"/>
  <c r="V5" i="37" s="1"/>
  <c r="N5" i="37"/>
  <c r="U5" i="37" s="1"/>
  <c r="M5" i="37"/>
  <c r="T5" i="37" s="1"/>
  <c r="L5" i="37"/>
  <c r="K5" i="37"/>
  <c r="R5" i="37" s="1"/>
  <c r="I5" i="37"/>
  <c r="O4" i="37"/>
  <c r="V4" i="37" s="1"/>
  <c r="N4" i="37"/>
  <c r="M4" i="37"/>
  <c r="L4" i="37"/>
  <c r="K4" i="37"/>
  <c r="R4" i="37" s="1"/>
  <c r="I4" i="37"/>
  <c r="I10" i="37" s="1"/>
  <c r="I28" i="37" s="1"/>
  <c r="O27" i="37" l="1"/>
  <c r="V27" i="37" s="1"/>
  <c r="M17" i="37"/>
  <c r="T17" i="37" s="1"/>
  <c r="M27" i="37"/>
  <c r="T27" i="37" s="1"/>
  <c r="L10" i="37"/>
  <c r="M10" i="37"/>
  <c r="S4" i="37"/>
  <c r="P4" i="37"/>
  <c r="W4" i="37" s="1"/>
  <c r="M24" i="37"/>
  <c r="T24" i="37" s="1"/>
  <c r="P20" i="37"/>
  <c r="W20" i="37" s="1"/>
  <c r="L27" i="37"/>
  <c r="S27" i="37" s="1"/>
  <c r="P26" i="37"/>
  <c r="W26" i="37" s="1"/>
  <c r="P5" i="37"/>
  <c r="W5" i="37" s="1"/>
  <c r="O10" i="37"/>
  <c r="V10" i="37" s="1"/>
  <c r="N17" i="37"/>
  <c r="U17" i="37" s="1"/>
  <c r="P12" i="37"/>
  <c r="W12" i="37" s="1"/>
  <c r="K24" i="37"/>
  <c r="R24" i="37" s="1"/>
  <c r="O24" i="37"/>
  <c r="V24" i="37" s="1"/>
  <c r="V25" i="37"/>
  <c r="N10" i="37"/>
  <c r="U10" i="37" s="1"/>
  <c r="K17" i="37"/>
  <c r="R17" i="37" s="1"/>
  <c r="O17" i="37"/>
  <c r="V17" i="37" s="1"/>
  <c r="T18" i="37"/>
  <c r="P25" i="37"/>
  <c r="W25" i="37" s="1"/>
  <c r="C174" i="22"/>
  <c r="C147" i="22"/>
  <c r="C92" i="22"/>
  <c r="C79" i="22"/>
  <c r="S10" i="37"/>
  <c r="T10" i="37"/>
  <c r="P21" i="37"/>
  <c r="W21" i="37" s="1"/>
  <c r="N27" i="37"/>
  <c r="U27" i="37" s="1"/>
  <c r="P6" i="37"/>
  <c r="W6" i="37" s="1"/>
  <c r="T11" i="37"/>
  <c r="P14" i="37"/>
  <c r="W14" i="37" s="1"/>
  <c r="P15" i="37"/>
  <c r="W15" i="37" s="1"/>
  <c r="P16" i="37"/>
  <c r="W16" i="37" s="1"/>
  <c r="P18" i="37"/>
  <c r="W18" i="37" s="1"/>
  <c r="U18" i="37"/>
  <c r="P22" i="37"/>
  <c r="W22" i="37" s="1"/>
  <c r="L24" i="37"/>
  <c r="S24" i="37" s="1"/>
  <c r="T25" i="37"/>
  <c r="K27" i="37"/>
  <c r="K10" i="37"/>
  <c r="P13" i="37"/>
  <c r="W13" i="37" s="1"/>
  <c r="L17" i="37"/>
  <c r="S17" i="37" s="1"/>
  <c r="T4" i="37"/>
  <c r="S5" i="37"/>
  <c r="V6" i="37"/>
  <c r="P7" i="37"/>
  <c r="W7" i="37" s="1"/>
  <c r="P8" i="37"/>
  <c r="W8" i="37" s="1"/>
  <c r="P9" i="37"/>
  <c r="W9" i="37" s="1"/>
  <c r="P11" i="37"/>
  <c r="W11" i="37" s="1"/>
  <c r="U11" i="37"/>
  <c r="R18" i="37"/>
  <c r="V18" i="37"/>
  <c r="P19" i="37"/>
  <c r="W19" i="37" s="1"/>
  <c r="P23" i="37"/>
  <c r="W23" i="37" s="1"/>
  <c r="U4" i="37"/>
  <c r="R11" i="37"/>
  <c r="V11" i="37"/>
  <c r="EQ87" i="1"/>
  <c r="ER87" i="1"/>
  <c r="ES87" i="1"/>
  <c r="ET87" i="1"/>
  <c r="EU87" i="1"/>
  <c r="EV87" i="1"/>
  <c r="EX87" i="1"/>
  <c r="CO87" i="1"/>
  <c r="EO87" i="1"/>
  <c r="EB87" i="1"/>
  <c r="DO87" i="1"/>
  <c r="DB87" i="1"/>
  <c r="CK88" i="1"/>
  <c r="M28" i="37" l="1"/>
  <c r="T28" i="37" s="1"/>
  <c r="O28" i="37"/>
  <c r="V28" i="37" s="1"/>
  <c r="P24" i="37"/>
  <c r="W24" i="37" s="1"/>
  <c r="P17" i="37"/>
  <c r="W17" i="37" s="1"/>
  <c r="L28" i="37"/>
  <c r="S28" i="37" s="1"/>
  <c r="K28" i="37"/>
  <c r="R10" i="37"/>
  <c r="P10" i="37"/>
  <c r="W10" i="37" s="1"/>
  <c r="R27" i="37"/>
  <c r="P27" i="37"/>
  <c r="W27" i="37" s="1"/>
  <c r="N28" i="37"/>
  <c r="U28" i="37" s="1"/>
  <c r="FD87" i="1"/>
  <c r="FE87" i="1" s="1"/>
  <c r="EP87" i="1"/>
  <c r="R28" i="37" l="1"/>
  <c r="P28" i="37"/>
  <c r="W28" i="37" s="1"/>
  <c r="V5" i="36"/>
  <c r="V6" i="36"/>
  <c r="V7" i="36"/>
  <c r="V8" i="36"/>
  <c r="V9" i="36"/>
  <c r="V10" i="36"/>
  <c r="V11" i="36"/>
  <c r="V12" i="36"/>
  <c r="V13" i="36"/>
  <c r="V14" i="36"/>
  <c r="V15" i="36"/>
  <c r="V16" i="36"/>
  <c r="V17" i="36"/>
  <c r="V18" i="36"/>
  <c r="V19" i="36"/>
  <c r="V20" i="36"/>
  <c r="V21" i="36"/>
  <c r="V22" i="36"/>
  <c r="V23" i="36"/>
  <c r="V24" i="36"/>
  <c r="V25" i="36"/>
  <c r="V26" i="36"/>
  <c r="V27" i="36"/>
  <c r="V28" i="36"/>
  <c r="V29" i="36"/>
  <c r="V30" i="36"/>
  <c r="V31" i="36"/>
  <c r="V32" i="36"/>
  <c r="V33" i="36"/>
  <c r="V34" i="36"/>
  <c r="V35" i="36"/>
  <c r="V36" i="36"/>
  <c r="V37" i="36"/>
  <c r="V38" i="36"/>
  <c r="V39" i="36"/>
  <c r="V40" i="36"/>
  <c r="V41" i="36"/>
  <c r="V42" i="36"/>
  <c r="V43" i="36"/>
  <c r="V44" i="36"/>
  <c r="V45" i="36"/>
  <c r="V46" i="36"/>
  <c r="V47" i="36"/>
  <c r="V48" i="36"/>
  <c r="V49" i="36"/>
  <c r="V50" i="36"/>
  <c r="V51" i="36"/>
  <c r="V52" i="36"/>
  <c r="V53" i="36"/>
  <c r="V54" i="36"/>
  <c r="V55" i="36"/>
  <c r="V56" i="36"/>
  <c r="V57" i="36"/>
  <c r="V58" i="36"/>
  <c r="V59" i="36"/>
  <c r="V60" i="36"/>
  <c r="V61" i="36"/>
  <c r="V62" i="36"/>
  <c r="V63" i="36"/>
  <c r="V64" i="36"/>
  <c r="V65" i="36"/>
  <c r="V66" i="36"/>
  <c r="V67" i="36"/>
  <c r="V68" i="36"/>
  <c r="V69" i="36"/>
  <c r="V70" i="36"/>
  <c r="V71" i="36"/>
  <c r="V72" i="36"/>
  <c r="V73" i="36"/>
  <c r="V74" i="36"/>
  <c r="V75" i="36"/>
  <c r="V76" i="36"/>
  <c r="V77" i="36"/>
  <c r="V78" i="36"/>
  <c r="V79" i="36"/>
  <c r="V80" i="36"/>
  <c r="V81" i="36"/>
  <c r="V82" i="36"/>
  <c r="V83" i="36"/>
  <c r="V84" i="36"/>
  <c r="V85" i="36"/>
  <c r="V86" i="36"/>
  <c r="V87" i="36"/>
  <c r="V88" i="36"/>
  <c r="V89" i="36"/>
  <c r="V90" i="36"/>
  <c r="V91" i="36"/>
  <c r="V92" i="36"/>
  <c r="V93" i="36"/>
  <c r="V94" i="36"/>
  <c r="V95" i="36"/>
  <c r="V96" i="36"/>
  <c r="V97" i="36"/>
  <c r="V98" i="36"/>
  <c r="V99" i="36"/>
  <c r="V100" i="36"/>
  <c r="V101" i="36"/>
  <c r="V102" i="36"/>
  <c r="V103" i="36"/>
  <c r="V104" i="36"/>
  <c r="V105" i="36"/>
  <c r="V106" i="36"/>
  <c r="V107" i="36"/>
  <c r="V108" i="36"/>
  <c r="V109" i="36"/>
  <c r="V110" i="36"/>
  <c r="V111" i="36"/>
  <c r="V112" i="36"/>
  <c r="V113" i="36"/>
  <c r="V114" i="36"/>
  <c r="V115" i="36"/>
  <c r="V116" i="36"/>
  <c r="V117" i="36"/>
  <c r="V118" i="36"/>
  <c r="V119" i="36"/>
  <c r="V120" i="36"/>
  <c r="V121" i="36"/>
  <c r="V122" i="36"/>
  <c r="V123" i="36"/>
  <c r="V124" i="36"/>
  <c r="V125" i="36"/>
  <c r="V126" i="36"/>
  <c r="V127" i="36"/>
  <c r="V128" i="36"/>
  <c r="V129" i="36"/>
  <c r="V130" i="36"/>
  <c r="V131" i="36"/>
  <c r="V132" i="36"/>
  <c r="V133" i="36"/>
  <c r="V134" i="36"/>
  <c r="V135" i="36"/>
  <c r="V136" i="36"/>
  <c r="V137" i="36"/>
  <c r="V138" i="36"/>
  <c r="V139" i="36"/>
  <c r="V140" i="36"/>
  <c r="V141" i="36"/>
  <c r="V142" i="36"/>
  <c r="V143" i="36"/>
  <c r="V144" i="36"/>
  <c r="V145" i="36"/>
  <c r="V146" i="36"/>
  <c r="V147" i="36"/>
  <c r="V148" i="36"/>
  <c r="V149" i="36"/>
  <c r="V150" i="36"/>
  <c r="V151" i="36"/>
  <c r="V152" i="36"/>
  <c r="V153" i="36"/>
  <c r="V154" i="36"/>
  <c r="V155" i="36"/>
  <c r="V156" i="36"/>
  <c r="V157" i="36"/>
  <c r="V158" i="36"/>
  <c r="V159" i="36"/>
  <c r="V160" i="36"/>
  <c r="V161" i="36"/>
  <c r="V162" i="36"/>
  <c r="V163" i="36"/>
  <c r="V164" i="36"/>
  <c r="V165" i="36"/>
  <c r="V166" i="36"/>
  <c r="V167" i="36"/>
  <c r="V168" i="36"/>
  <c r="V169" i="36"/>
  <c r="V170" i="36"/>
  <c r="V171" i="36"/>
  <c r="V172" i="36"/>
  <c r="V173" i="36"/>
  <c r="V174" i="36"/>
  <c r="V175" i="36"/>
  <c r="V176" i="36"/>
  <c r="V177" i="36"/>
  <c r="V178" i="36"/>
  <c r="V179" i="36"/>
  <c r="V180" i="36"/>
  <c r="V181" i="36"/>
  <c r="V182" i="36"/>
  <c r="V183" i="36"/>
  <c r="V184" i="36"/>
  <c r="V185" i="36"/>
  <c r="V186" i="36"/>
  <c r="V187" i="36"/>
  <c r="V188" i="36"/>
  <c r="V189" i="36"/>
  <c r="V190" i="36"/>
  <c r="V191" i="36"/>
  <c r="V192" i="36"/>
  <c r="V193" i="36"/>
  <c r="V194" i="36"/>
  <c r="V195" i="36"/>
  <c r="V196" i="36"/>
  <c r="V197" i="36"/>
  <c r="V198" i="36"/>
  <c r="V199" i="36"/>
  <c r="V200" i="36"/>
  <c r="V201" i="36"/>
  <c r="V202" i="36"/>
  <c r="V203" i="36"/>
  <c r="V204" i="36"/>
  <c r="V205" i="36"/>
  <c r="V206" i="36"/>
  <c r="V207" i="36"/>
  <c r="V208" i="36"/>
  <c r="V209" i="36"/>
  <c r="V210" i="36"/>
  <c r="V211" i="36"/>
  <c r="V212" i="36"/>
  <c r="V213" i="36"/>
  <c r="V214" i="36"/>
  <c r="V215" i="36"/>
  <c r="V216" i="36"/>
  <c r="V217" i="36"/>
  <c r="V218" i="36"/>
  <c r="V219" i="36"/>
  <c r="V220" i="36"/>
  <c r="V221" i="36"/>
  <c r="V222" i="36"/>
  <c r="V223" i="36"/>
  <c r="V224" i="36"/>
  <c r="V4" i="36"/>
  <c r="G14" i="22" l="1"/>
  <c r="G169" i="22"/>
  <c r="G142" i="22"/>
  <c r="G27" i="22"/>
  <c r="G164" i="22"/>
  <c r="G137" i="22"/>
  <c r="G77" i="22"/>
  <c r="G90" i="22"/>
  <c r="G160" i="22"/>
  <c r="G133" i="22"/>
  <c r="G86" i="22"/>
  <c r="G73" i="22"/>
  <c r="G114" i="22"/>
  <c r="G173" i="22"/>
  <c r="G105" i="22"/>
  <c r="G146" i="22"/>
  <c r="G172" i="22"/>
  <c r="G145" i="22"/>
  <c r="G113" i="22"/>
  <c r="G104" i="22"/>
  <c r="G55" i="22"/>
  <c r="G154" i="22"/>
  <c r="G127" i="22"/>
  <c r="G42" i="22"/>
  <c r="G15" i="22"/>
  <c r="G170" i="22"/>
  <c r="G143" i="22"/>
  <c r="G28" i="22"/>
  <c r="G88" i="22"/>
  <c r="G162" i="22"/>
  <c r="G135" i="22"/>
  <c r="G75" i="22"/>
  <c r="G87" i="22"/>
  <c r="G161" i="22"/>
  <c r="G74" i="22"/>
  <c r="G134" i="22"/>
  <c r="G156" i="22"/>
  <c r="G129" i="22"/>
  <c r="G57" i="22"/>
  <c r="G44" i="22"/>
  <c r="G167" i="22"/>
  <c r="G140" i="22"/>
  <c r="G25" i="22"/>
  <c r="G12" i="22"/>
  <c r="G158" i="22"/>
  <c r="G131" i="22"/>
  <c r="G59" i="22"/>
  <c r="G46" i="22"/>
  <c r="G45" i="22"/>
  <c r="G157" i="22"/>
  <c r="G130" i="22"/>
  <c r="G58" i="22"/>
  <c r="G155" i="22"/>
  <c r="G128" i="22"/>
  <c r="G56" i="22"/>
  <c r="G43" i="22"/>
  <c r="G24" i="22"/>
  <c r="G166" i="22"/>
  <c r="G11" i="22"/>
  <c r="G139" i="22"/>
  <c r="G159" i="22"/>
  <c r="G132" i="22"/>
  <c r="G60" i="22"/>
  <c r="G47" i="22"/>
  <c r="G171" i="22"/>
  <c r="G144" i="22"/>
  <c r="G29" i="22"/>
  <c r="G16" i="22"/>
  <c r="G26" i="22"/>
  <c r="G168" i="22"/>
  <c r="G141" i="22"/>
  <c r="G13" i="22"/>
  <c r="G91" i="22"/>
  <c r="G165" i="22"/>
  <c r="G138" i="22"/>
  <c r="G78" i="22"/>
  <c r="G163" i="22"/>
  <c r="G136" i="22"/>
  <c r="G76" i="22"/>
  <c r="G89" i="22"/>
  <c r="EX8" i="1"/>
  <c r="EX9" i="1"/>
  <c r="EX10" i="1"/>
  <c r="EX11" i="1"/>
  <c r="EX12" i="1"/>
  <c r="EX13" i="1"/>
  <c r="EX14" i="1"/>
  <c r="EX15" i="1"/>
  <c r="EX16" i="1"/>
  <c r="EX17" i="1"/>
  <c r="EX18" i="1"/>
  <c r="EX19" i="1"/>
  <c r="EX20" i="1"/>
  <c r="EX21" i="1"/>
  <c r="EX22" i="1"/>
  <c r="EX23" i="1"/>
  <c r="EX24" i="1"/>
  <c r="EX25" i="1"/>
  <c r="EX26" i="1"/>
  <c r="EX27" i="1"/>
  <c r="EX28" i="1"/>
  <c r="EX29" i="1"/>
  <c r="EX30" i="1"/>
  <c r="EX31" i="1"/>
  <c r="EX32" i="1"/>
  <c r="EX33" i="1"/>
  <c r="EX34" i="1"/>
  <c r="EX35" i="1"/>
  <c r="EX36" i="1"/>
  <c r="EX37" i="1"/>
  <c r="EX38" i="1"/>
  <c r="EX39" i="1"/>
  <c r="EX40" i="1"/>
  <c r="EX41" i="1"/>
  <c r="EX42" i="1"/>
  <c r="EX43" i="1"/>
  <c r="EX44" i="1"/>
  <c r="EX45" i="1"/>
  <c r="EX47" i="1"/>
  <c r="EX48" i="1"/>
  <c r="EX49" i="1"/>
  <c r="EX50" i="1"/>
  <c r="EX51" i="1"/>
  <c r="EX52" i="1"/>
  <c r="EX53" i="1"/>
  <c r="EX54" i="1"/>
  <c r="EX55" i="1"/>
  <c r="EX56" i="1"/>
  <c r="EX57" i="1"/>
  <c r="EX58" i="1"/>
  <c r="EX59" i="1"/>
  <c r="EX60" i="1"/>
  <c r="EX61" i="1"/>
  <c r="EX62" i="1"/>
  <c r="EX63" i="1"/>
  <c r="EX64" i="1"/>
  <c r="EX65" i="1"/>
  <c r="EX66" i="1"/>
  <c r="EX67" i="1"/>
  <c r="EX68" i="1"/>
  <c r="EX69" i="1"/>
  <c r="EX70" i="1"/>
  <c r="EX71" i="1"/>
  <c r="EX72" i="1"/>
  <c r="EX73" i="1"/>
  <c r="EX74" i="1"/>
  <c r="EX75" i="1"/>
  <c r="EX76" i="1"/>
  <c r="EX77" i="1"/>
  <c r="EX78" i="1"/>
  <c r="EX79" i="1"/>
  <c r="EX80" i="1"/>
  <c r="EX81" i="1"/>
  <c r="EX82" i="1"/>
  <c r="EX83" i="1"/>
  <c r="EX84" i="1"/>
  <c r="EX85" i="1"/>
  <c r="EX86" i="1"/>
  <c r="EX88" i="1"/>
  <c r="EX89" i="1"/>
  <c r="EX91" i="1"/>
  <c r="EX92" i="1"/>
  <c r="EX93" i="1"/>
  <c r="EX94" i="1"/>
  <c r="EX95" i="1"/>
  <c r="EX96" i="1"/>
  <c r="EX97" i="1"/>
  <c r="EX98" i="1"/>
  <c r="EX99" i="1"/>
  <c r="EX100" i="1"/>
  <c r="EX101" i="1"/>
  <c r="EX102" i="1"/>
  <c r="EX103" i="1"/>
  <c r="EX104" i="1"/>
  <c r="EX105" i="1"/>
  <c r="EX106" i="1"/>
  <c r="EX107" i="1"/>
  <c r="EX108" i="1"/>
  <c r="EX109" i="1"/>
  <c r="EX110" i="1"/>
  <c r="EX111" i="1"/>
  <c r="EX112" i="1"/>
  <c r="EX113" i="1"/>
  <c r="EX114" i="1"/>
  <c r="EX115" i="1"/>
  <c r="EX116" i="1"/>
  <c r="EX117" i="1"/>
  <c r="EX118" i="1"/>
  <c r="EX119" i="1"/>
  <c r="EX120" i="1"/>
  <c r="EX122" i="1"/>
  <c r="EX123" i="1"/>
  <c r="EX124" i="1"/>
  <c r="EX125" i="1"/>
  <c r="EX126" i="1"/>
  <c r="EX127" i="1"/>
  <c r="EX128" i="1"/>
  <c r="EX129" i="1"/>
  <c r="EX130" i="1"/>
  <c r="EX131" i="1"/>
  <c r="EX132" i="1"/>
  <c r="EX133" i="1"/>
  <c r="EX134" i="1"/>
  <c r="EX135" i="1"/>
  <c r="EX136" i="1"/>
  <c r="EX137" i="1"/>
  <c r="EX138" i="1"/>
  <c r="EX139" i="1"/>
  <c r="EX140" i="1"/>
  <c r="EX141" i="1"/>
  <c r="EX142" i="1"/>
  <c r="EX143" i="1"/>
  <c r="EX144" i="1"/>
  <c r="EX145" i="1"/>
  <c r="EX146" i="1"/>
  <c r="EX147" i="1"/>
  <c r="EX148" i="1"/>
  <c r="EX149" i="1"/>
  <c r="EX150" i="1"/>
  <c r="EX151" i="1"/>
  <c r="EX152" i="1"/>
  <c r="EX153" i="1"/>
  <c r="EX154" i="1"/>
  <c r="EX155" i="1"/>
  <c r="EX156" i="1"/>
  <c r="EX157" i="1"/>
  <c r="EX158" i="1"/>
  <c r="EX159" i="1"/>
  <c r="EX160" i="1"/>
  <c r="EX161" i="1"/>
  <c r="EX162" i="1"/>
  <c r="EX163" i="1"/>
  <c r="T163" i="1" s="1"/>
  <c r="EX164" i="1"/>
  <c r="EX165" i="1"/>
  <c r="EX166" i="1"/>
  <c r="EX167" i="1"/>
  <c r="EX168" i="1"/>
  <c r="EX169" i="1"/>
  <c r="EX170" i="1"/>
  <c r="EX171" i="1"/>
  <c r="EX172" i="1"/>
  <c r="EX173" i="1"/>
  <c r="EX174" i="1"/>
  <c r="EX175" i="1"/>
  <c r="EX176" i="1"/>
  <c r="EX177" i="1"/>
  <c r="EX178" i="1"/>
  <c r="EX179" i="1"/>
  <c r="EX180" i="1"/>
  <c r="EX181" i="1"/>
  <c r="EX182" i="1"/>
  <c r="EX183" i="1"/>
  <c r="EX184" i="1"/>
  <c r="EX185" i="1"/>
  <c r="EX186" i="1"/>
  <c r="EX187" i="1"/>
  <c r="EX188" i="1"/>
  <c r="EX189" i="1"/>
  <c r="EX190" i="1"/>
  <c r="EX191" i="1"/>
  <c r="EX192" i="1"/>
  <c r="EX193" i="1"/>
  <c r="EX194" i="1"/>
  <c r="EX195" i="1"/>
  <c r="EX196" i="1"/>
  <c r="EX197" i="1"/>
  <c r="EX198" i="1"/>
  <c r="EX199" i="1"/>
  <c r="EX200" i="1"/>
  <c r="EX201" i="1"/>
  <c r="EX202" i="1"/>
  <c r="EX203" i="1"/>
  <c r="EX204" i="1"/>
  <c r="EX205" i="1"/>
  <c r="EX206" i="1"/>
  <c r="EX207" i="1"/>
  <c r="EX208" i="1"/>
  <c r="EX209" i="1"/>
  <c r="EX210" i="1"/>
  <c r="EX211" i="1"/>
  <c r="EX212" i="1"/>
  <c r="EX213" i="1"/>
  <c r="EX214" i="1"/>
  <c r="EX215" i="1"/>
  <c r="EX216" i="1"/>
  <c r="EX217" i="1"/>
  <c r="EX218" i="1"/>
  <c r="EX219" i="1"/>
  <c r="EX220" i="1"/>
  <c r="EX221" i="1"/>
  <c r="EX222" i="1"/>
  <c r="EX223" i="1"/>
  <c r="EX224" i="1"/>
  <c r="EX225" i="1"/>
  <c r="EX226" i="1"/>
  <c r="EX227" i="1"/>
  <c r="EX228" i="1"/>
  <c r="EX229" i="1"/>
  <c r="EX230" i="1"/>
  <c r="EX231" i="1"/>
  <c r="EX232" i="1"/>
  <c r="EX233" i="1"/>
  <c r="EX234" i="1"/>
  <c r="EX235" i="1"/>
  <c r="EX236" i="1"/>
  <c r="EX237" i="1"/>
  <c r="EX238" i="1"/>
  <c r="EX239" i="1"/>
  <c r="EX240" i="1"/>
  <c r="EX241" i="1"/>
  <c r="EX242" i="1"/>
  <c r="EX243" i="1"/>
  <c r="EX244" i="1"/>
  <c r="EX245" i="1"/>
  <c r="EX246" i="1"/>
  <c r="EX247" i="1"/>
  <c r="EX248" i="1"/>
  <c r="EX249" i="1"/>
  <c r="EX250" i="1"/>
  <c r="EX251" i="1"/>
  <c r="EX252" i="1"/>
  <c r="EX253" i="1"/>
  <c r="EX254" i="1"/>
  <c r="EX255" i="1"/>
  <c r="EX256" i="1"/>
  <c r="EX257" i="1"/>
  <c r="EX258" i="1"/>
  <c r="EX259" i="1"/>
  <c r="EX260" i="1"/>
  <c r="EX261" i="1"/>
  <c r="EX262" i="1"/>
  <c r="EX263" i="1"/>
  <c r="EX264" i="1"/>
  <c r="EX265" i="1"/>
  <c r="EX266" i="1"/>
  <c r="EX267" i="1"/>
  <c r="EX268" i="1"/>
  <c r="EX269" i="1"/>
  <c r="EX270" i="1"/>
  <c r="EX271" i="1"/>
  <c r="EX272" i="1"/>
  <c r="EX273" i="1"/>
  <c r="EX274" i="1"/>
  <c r="EX275" i="1"/>
  <c r="EX276" i="1"/>
  <c r="EX277" i="1"/>
  <c r="EX278" i="1"/>
  <c r="EX279" i="1"/>
  <c r="EX280" i="1"/>
  <c r="EX281" i="1"/>
  <c r="EX282" i="1"/>
  <c r="EX283" i="1"/>
  <c r="EX284" i="1"/>
  <c r="EX285" i="1"/>
  <c r="EX286" i="1"/>
  <c r="EX287" i="1"/>
  <c r="EX288" i="1"/>
  <c r="EX289" i="1"/>
  <c r="EX290" i="1"/>
  <c r="EX291" i="1"/>
  <c r="EX292" i="1"/>
  <c r="EX293" i="1"/>
  <c r="EX294" i="1"/>
  <c r="EX295" i="1"/>
  <c r="EX296" i="1"/>
  <c r="EX297" i="1"/>
  <c r="EX298" i="1"/>
  <c r="EX299" i="1"/>
  <c r="EX300" i="1"/>
  <c r="EX301" i="1"/>
  <c r="EX302" i="1"/>
  <c r="EX303" i="1"/>
  <c r="EX304" i="1"/>
  <c r="EX305" i="1"/>
  <c r="EX306" i="1"/>
  <c r="EX307" i="1"/>
  <c r="EX308" i="1"/>
  <c r="EX309" i="1"/>
  <c r="EX310" i="1"/>
  <c r="EX311" i="1"/>
  <c r="EX312" i="1"/>
  <c r="EX313" i="1"/>
  <c r="EX314" i="1"/>
  <c r="EX315" i="1"/>
  <c r="EX316" i="1"/>
  <c r="EX317" i="1"/>
  <c r="EX318" i="1"/>
  <c r="EX7" i="1"/>
  <c r="V224" i="34"/>
  <c r="V204" i="34"/>
  <c r="V205" i="34"/>
  <c r="V206" i="34"/>
  <c r="V207" i="34"/>
  <c r="V208" i="34"/>
  <c r="V209" i="34"/>
  <c r="V210" i="34"/>
  <c r="V211" i="34"/>
  <c r="V212" i="34"/>
  <c r="V213" i="34"/>
  <c r="V214" i="34"/>
  <c r="V215" i="34"/>
  <c r="V216" i="34"/>
  <c r="V217" i="34"/>
  <c r="V218" i="34"/>
  <c r="V219" i="34"/>
  <c r="V220" i="34"/>
  <c r="V221" i="34"/>
  <c r="V222" i="34"/>
  <c r="V223" i="34"/>
  <c r="E225" i="34"/>
  <c r="F225" i="34"/>
  <c r="G225" i="34"/>
  <c r="H225" i="34"/>
  <c r="I225" i="34"/>
  <c r="J225" i="34"/>
  <c r="K225" i="34"/>
  <c r="L225" i="34"/>
  <c r="M225" i="34"/>
  <c r="N225" i="34"/>
  <c r="O225" i="34"/>
  <c r="P225" i="34"/>
  <c r="Q225" i="34"/>
  <c r="R225" i="34"/>
  <c r="S225" i="34"/>
  <c r="T225" i="34"/>
  <c r="U225" i="34"/>
  <c r="D225" i="34"/>
  <c r="BU163" i="1" l="1"/>
  <c r="EX2" i="1"/>
  <c r="E42" i="22"/>
  <c r="E154" i="22"/>
  <c r="E127" i="22"/>
  <c r="E55" i="22"/>
  <c r="E172" i="22"/>
  <c r="E145" i="22"/>
  <c r="E104" i="22"/>
  <c r="E113" i="22"/>
  <c r="E171" i="22"/>
  <c r="E144" i="22"/>
  <c r="E16" i="22"/>
  <c r="E29" i="22"/>
  <c r="E13" i="22"/>
  <c r="E168" i="22"/>
  <c r="E141" i="22"/>
  <c r="E26" i="22"/>
  <c r="E78" i="22"/>
  <c r="E165" i="22"/>
  <c r="E138" i="22"/>
  <c r="E91" i="22"/>
  <c r="E163" i="22"/>
  <c r="E136" i="22"/>
  <c r="E89" i="22"/>
  <c r="E76" i="22"/>
  <c r="E74" i="22"/>
  <c r="E161" i="22"/>
  <c r="E134" i="22"/>
  <c r="E87" i="22"/>
  <c r="E44" i="22"/>
  <c r="E156" i="22"/>
  <c r="E129" i="22"/>
  <c r="E57" i="22"/>
  <c r="E27" i="22"/>
  <c r="E169" i="22"/>
  <c r="E142" i="22"/>
  <c r="E14" i="22"/>
  <c r="E24" i="22"/>
  <c r="E11" i="22"/>
  <c r="E166" i="22"/>
  <c r="E139" i="22"/>
  <c r="E164" i="22"/>
  <c r="E137" i="22"/>
  <c r="E90" i="22"/>
  <c r="E77" i="22"/>
  <c r="E160" i="22"/>
  <c r="E133" i="22"/>
  <c r="E73" i="22"/>
  <c r="E86" i="22"/>
  <c r="E159" i="22"/>
  <c r="E132" i="22"/>
  <c r="E47" i="22"/>
  <c r="E60" i="22"/>
  <c r="E28" i="22"/>
  <c r="E170" i="22"/>
  <c r="E143" i="22"/>
  <c r="E15" i="22"/>
  <c r="E75" i="22"/>
  <c r="E162" i="22"/>
  <c r="E135" i="22"/>
  <c r="E88" i="22"/>
  <c r="E105" i="22"/>
  <c r="E173" i="22"/>
  <c r="E114" i="22"/>
  <c r="E146" i="22"/>
  <c r="E167" i="22"/>
  <c r="E140" i="22"/>
  <c r="E12" i="22"/>
  <c r="E25" i="22"/>
  <c r="E59" i="22"/>
  <c r="E158" i="22"/>
  <c r="E131" i="22"/>
  <c r="E46" i="22"/>
  <c r="E58" i="22"/>
  <c r="E157" i="22"/>
  <c r="E130" i="22"/>
  <c r="E45" i="22"/>
  <c r="E155" i="22"/>
  <c r="E128" i="22"/>
  <c r="E43" i="22"/>
  <c r="E56" i="22"/>
  <c r="T160" i="1"/>
  <c r="BU160" i="1" s="1"/>
  <c r="AF133" i="1" l="1"/>
  <c r="AG133" i="1" s="1"/>
  <c r="AG107" i="1" l="1"/>
  <c r="BU107" i="1" s="1"/>
  <c r="P319" i="1" l="1"/>
  <c r="Q319" i="1"/>
  <c r="R319" i="1"/>
  <c r="U319" i="1"/>
  <c r="V319" i="1"/>
  <c r="X319" i="1"/>
  <c r="Y319" i="1"/>
  <c r="Z319" i="1"/>
  <c r="AA319" i="1"/>
  <c r="AC319" i="1"/>
  <c r="AD319" i="1"/>
  <c r="AE319" i="1"/>
  <c r="AH319" i="1"/>
  <c r="AI319" i="1"/>
  <c r="AJ319" i="1"/>
  <c r="AK319" i="1"/>
  <c r="AM319" i="1"/>
  <c r="AN319" i="1"/>
  <c r="AO319" i="1"/>
  <c r="AP319" i="1"/>
  <c r="AQ319" i="1"/>
  <c r="AR319" i="1"/>
  <c r="AU319" i="1"/>
  <c r="AV319" i="1"/>
  <c r="AW319" i="1"/>
  <c r="AY319" i="1"/>
  <c r="BA319" i="1"/>
  <c r="BB319" i="1"/>
  <c r="BC319" i="1"/>
  <c r="BD319" i="1"/>
  <c r="BE319" i="1"/>
  <c r="BF319" i="1"/>
  <c r="BH319" i="1"/>
  <c r="BI319" i="1"/>
  <c r="BJ319" i="1"/>
  <c r="BK319" i="1"/>
  <c r="BL319" i="1"/>
  <c r="BM319" i="1"/>
  <c r="BN319" i="1"/>
  <c r="BO319" i="1"/>
  <c r="BQ319" i="1"/>
  <c r="BR319" i="1"/>
  <c r="BS319" i="1"/>
  <c r="BV319" i="1"/>
  <c r="BW319" i="1"/>
  <c r="BX319" i="1"/>
  <c r="BY319" i="1"/>
  <c r="CB319" i="1"/>
  <c r="CC319" i="1"/>
  <c r="CD319" i="1"/>
  <c r="CE319" i="1"/>
  <c r="CF319" i="1"/>
  <c r="CG319" i="1"/>
  <c r="CH319" i="1"/>
  <c r="CI319" i="1"/>
  <c r="CJ319" i="1"/>
  <c r="CK319" i="1"/>
  <c r="CL319" i="1"/>
  <c r="CM319" i="1"/>
  <c r="CN319" i="1"/>
  <c r="CP319" i="1"/>
  <c r="CQ319" i="1"/>
  <c r="CR319" i="1"/>
  <c r="CS319" i="1"/>
  <c r="CT319" i="1"/>
  <c r="CU319" i="1"/>
  <c r="CV319" i="1"/>
  <c r="CW319" i="1"/>
  <c r="CX319" i="1"/>
  <c r="CY319" i="1"/>
  <c r="CZ319" i="1"/>
  <c r="DA319" i="1"/>
  <c r="DC319" i="1"/>
  <c r="DD319" i="1"/>
  <c r="DE319" i="1"/>
  <c r="DF319" i="1"/>
  <c r="DG319" i="1"/>
  <c r="DH319" i="1"/>
  <c r="DI319" i="1"/>
  <c r="DJ319" i="1"/>
  <c r="DK319" i="1"/>
  <c r="DL319" i="1"/>
  <c r="DM319" i="1"/>
  <c r="DN319" i="1"/>
  <c r="DP319" i="1"/>
  <c r="DQ319" i="1"/>
  <c r="DR319" i="1"/>
  <c r="DS319" i="1"/>
  <c r="DT319" i="1"/>
  <c r="DU319" i="1"/>
  <c r="DV319" i="1"/>
  <c r="DW319" i="1"/>
  <c r="DX319" i="1"/>
  <c r="DY319" i="1"/>
  <c r="DZ319" i="1"/>
  <c r="EA319" i="1"/>
  <c r="EC319" i="1"/>
  <c r="ED319" i="1"/>
  <c r="EE319" i="1"/>
  <c r="EF319" i="1"/>
  <c r="EG319" i="1"/>
  <c r="EH319" i="1"/>
  <c r="EI319" i="1"/>
  <c r="EJ319" i="1"/>
  <c r="EK319" i="1"/>
  <c r="EL319" i="1"/>
  <c r="EM319" i="1"/>
  <c r="EN319" i="1"/>
  <c r="EX319" i="1"/>
  <c r="EY319" i="1"/>
  <c r="EZ319" i="1"/>
  <c r="FA319" i="1"/>
  <c r="FB319" i="1"/>
  <c r="BZ85" i="1" l="1"/>
  <c r="CA85" i="1" l="1"/>
  <c r="AB75" i="1" l="1"/>
  <c r="AG75" i="1" s="1"/>
  <c r="O319" i="1"/>
  <c r="BP8" i="1"/>
  <c r="AZ110" i="1"/>
  <c r="AZ319" i="1" l="1"/>
  <c r="BG110" i="1"/>
  <c r="BP319" i="1"/>
  <c r="BT8" i="1"/>
  <c r="AX105" i="1" l="1"/>
  <c r="AS319" i="1"/>
  <c r="AX319" i="1" l="1"/>
  <c r="BG105" i="1"/>
  <c r="BZ160" i="1"/>
  <c r="S319" i="1"/>
  <c r="EQ16" i="1" l="1"/>
  <c r="ER16" i="1"/>
  <c r="ES16" i="1"/>
  <c r="ET16" i="1"/>
  <c r="EU16" i="1"/>
  <c r="EV16" i="1"/>
  <c r="EQ9" i="1"/>
  <c r="ER9" i="1"/>
  <c r="ES9" i="1"/>
  <c r="ET9" i="1"/>
  <c r="EU9" i="1"/>
  <c r="EV9" i="1"/>
  <c r="EQ12" i="1"/>
  <c r="ER12" i="1"/>
  <c r="ES12" i="1"/>
  <c r="ET12" i="1"/>
  <c r="EU12" i="1"/>
  <c r="EV12" i="1"/>
  <c r="EQ11" i="1"/>
  <c r="ER11" i="1"/>
  <c r="ES11" i="1"/>
  <c r="ET11" i="1"/>
  <c r="EU11" i="1"/>
  <c r="EV11" i="1"/>
  <c r="EQ10" i="1"/>
  <c r="ER10" i="1"/>
  <c r="ES10" i="1"/>
  <c r="ET10" i="1"/>
  <c r="EU10" i="1"/>
  <c r="EV10" i="1"/>
  <c r="EQ8" i="1"/>
  <c r="ER8" i="1"/>
  <c r="ES8" i="1"/>
  <c r="ET8" i="1"/>
  <c r="EU8" i="1"/>
  <c r="EV8" i="1"/>
  <c r="EQ15" i="1"/>
  <c r="ER15" i="1"/>
  <c r="ES15" i="1"/>
  <c r="ET15" i="1"/>
  <c r="EU15" i="1"/>
  <c r="EV15" i="1"/>
  <c r="EQ13" i="1"/>
  <c r="ER13" i="1"/>
  <c r="ES13" i="1"/>
  <c r="ET13" i="1"/>
  <c r="EU13" i="1"/>
  <c r="EV13" i="1"/>
  <c r="EQ17" i="1"/>
  <c r="ER17" i="1"/>
  <c r="ES17" i="1"/>
  <c r="ET17" i="1"/>
  <c r="EU17" i="1"/>
  <c r="EV17" i="1"/>
  <c r="EQ7" i="1"/>
  <c r="ER7" i="1"/>
  <c r="ES7" i="1"/>
  <c r="ET7" i="1"/>
  <c r="EU7" i="1"/>
  <c r="EV7" i="1"/>
  <c r="EW7" i="1"/>
  <c r="EQ14" i="1"/>
  <c r="ER14" i="1"/>
  <c r="ES14" i="1"/>
  <c r="ET14" i="1"/>
  <c r="EU14" i="1"/>
  <c r="EV14" i="1"/>
  <c r="EQ21" i="1"/>
  <c r="ER21" i="1"/>
  <c r="ES21" i="1"/>
  <c r="ET21" i="1"/>
  <c r="EU21" i="1"/>
  <c r="EV21" i="1"/>
  <c r="EQ20" i="1"/>
  <c r="ER20" i="1"/>
  <c r="ES20" i="1"/>
  <c r="ET20" i="1"/>
  <c r="EU20" i="1"/>
  <c r="EV20" i="1"/>
  <c r="EQ23" i="1"/>
  <c r="ER23" i="1"/>
  <c r="ES23" i="1"/>
  <c r="ET23" i="1"/>
  <c r="EU23" i="1"/>
  <c r="EV23" i="1"/>
  <c r="EQ22" i="1"/>
  <c r="ER22" i="1"/>
  <c r="ES22" i="1"/>
  <c r="ET22" i="1"/>
  <c r="EU22" i="1"/>
  <c r="EV22" i="1"/>
  <c r="EQ25" i="1"/>
  <c r="ER25" i="1"/>
  <c r="ES25" i="1"/>
  <c r="ET25" i="1"/>
  <c r="EU25" i="1"/>
  <c r="EV25" i="1"/>
  <c r="EQ38" i="1"/>
  <c r="ER38" i="1"/>
  <c r="ES38" i="1"/>
  <c r="ET38" i="1"/>
  <c r="EU38" i="1"/>
  <c r="EV38" i="1"/>
  <c r="EQ28" i="1"/>
  <c r="ER28" i="1"/>
  <c r="ES28" i="1"/>
  <c r="ET28" i="1"/>
  <c r="EU28" i="1"/>
  <c r="EV28" i="1"/>
  <c r="EQ35" i="1"/>
  <c r="ER35" i="1"/>
  <c r="ES35" i="1"/>
  <c r="ET35" i="1"/>
  <c r="EU35" i="1"/>
  <c r="EV35" i="1"/>
  <c r="EQ30" i="1"/>
  <c r="ER30" i="1"/>
  <c r="ES30" i="1"/>
  <c r="ET30" i="1"/>
  <c r="EU30" i="1"/>
  <c r="EV30" i="1"/>
  <c r="EQ36" i="1"/>
  <c r="ER36" i="1"/>
  <c r="ES36" i="1"/>
  <c r="ET36" i="1"/>
  <c r="EU36" i="1"/>
  <c r="EV36" i="1"/>
  <c r="EQ33" i="1"/>
  <c r="ER33" i="1"/>
  <c r="ES33" i="1"/>
  <c r="ET33" i="1"/>
  <c r="EU33" i="1"/>
  <c r="EV33" i="1"/>
  <c r="EQ34" i="1"/>
  <c r="ER34" i="1"/>
  <c r="ES34" i="1"/>
  <c r="ET34" i="1"/>
  <c r="EU34" i="1"/>
  <c r="EV34" i="1"/>
  <c r="EQ39" i="1"/>
  <c r="ER39" i="1"/>
  <c r="ES39" i="1"/>
  <c r="ET39" i="1"/>
  <c r="EU39" i="1"/>
  <c r="EV39" i="1"/>
  <c r="EQ26" i="1"/>
  <c r="ER26" i="1"/>
  <c r="ES26" i="1"/>
  <c r="ET26" i="1"/>
  <c r="EU26" i="1"/>
  <c r="EV26" i="1"/>
  <c r="EQ27" i="1"/>
  <c r="ER27" i="1"/>
  <c r="ES27" i="1"/>
  <c r="ET27" i="1"/>
  <c r="EU27" i="1"/>
  <c r="EV27" i="1"/>
  <c r="EQ24" i="1"/>
  <c r="ER24" i="1"/>
  <c r="ES24" i="1"/>
  <c r="ET24" i="1"/>
  <c r="EU24" i="1"/>
  <c r="EV24" i="1"/>
  <c r="EQ32" i="1"/>
  <c r="ER32" i="1"/>
  <c r="ES32" i="1"/>
  <c r="ET32" i="1"/>
  <c r="EU32" i="1"/>
  <c r="EV32" i="1"/>
  <c r="EQ31" i="1"/>
  <c r="ER31" i="1"/>
  <c r="ES31" i="1"/>
  <c r="ET31" i="1"/>
  <c r="EU31" i="1"/>
  <c r="EV31" i="1"/>
  <c r="EQ29" i="1"/>
  <c r="ER29" i="1"/>
  <c r="ES29" i="1"/>
  <c r="ET29" i="1"/>
  <c r="EU29" i="1"/>
  <c r="EV29" i="1"/>
  <c r="EQ37" i="1"/>
  <c r="ER37" i="1"/>
  <c r="ES37" i="1"/>
  <c r="ET37" i="1"/>
  <c r="EU37" i="1"/>
  <c r="EV37" i="1"/>
  <c r="EQ40" i="1"/>
  <c r="ER40" i="1"/>
  <c r="ES40" i="1"/>
  <c r="ET40" i="1"/>
  <c r="EU40" i="1"/>
  <c r="EV40" i="1"/>
  <c r="EQ57" i="1"/>
  <c r="ER57" i="1"/>
  <c r="ES57" i="1"/>
  <c r="ET57" i="1"/>
  <c r="EU57" i="1"/>
  <c r="EV57" i="1"/>
  <c r="EQ48" i="1"/>
  <c r="ER48" i="1"/>
  <c r="ES48" i="1"/>
  <c r="ET48" i="1"/>
  <c r="EU48" i="1"/>
  <c r="EV48" i="1"/>
  <c r="EQ47" i="1"/>
  <c r="ER47" i="1"/>
  <c r="ES47" i="1"/>
  <c r="ET47" i="1"/>
  <c r="EU47" i="1"/>
  <c r="EV47" i="1"/>
  <c r="EQ43" i="1"/>
  <c r="ER43" i="1"/>
  <c r="ES43" i="1"/>
  <c r="ET43" i="1"/>
  <c r="EU43" i="1"/>
  <c r="EV43" i="1"/>
  <c r="EQ42" i="1"/>
  <c r="ER42" i="1"/>
  <c r="ES42" i="1"/>
  <c r="ET42" i="1"/>
  <c r="EU42" i="1"/>
  <c r="EV42" i="1"/>
  <c r="EQ45" i="1"/>
  <c r="ER45" i="1"/>
  <c r="ES45" i="1"/>
  <c r="ET45" i="1"/>
  <c r="EU45" i="1"/>
  <c r="EV45" i="1"/>
  <c r="EQ49" i="1"/>
  <c r="ER49" i="1"/>
  <c r="ES49" i="1"/>
  <c r="ET49" i="1"/>
  <c r="EU49" i="1"/>
  <c r="EV49" i="1"/>
  <c r="EQ53" i="1"/>
  <c r="ER53" i="1"/>
  <c r="ES53" i="1"/>
  <c r="ET53" i="1"/>
  <c r="EU53" i="1"/>
  <c r="EV53" i="1"/>
  <c r="EQ56" i="1"/>
  <c r="ER56" i="1"/>
  <c r="ES56" i="1"/>
  <c r="ET56" i="1"/>
  <c r="EU56" i="1"/>
  <c r="EV56" i="1"/>
  <c r="EQ54" i="1"/>
  <c r="ER54" i="1"/>
  <c r="ES54" i="1"/>
  <c r="ET54" i="1"/>
  <c r="EU54" i="1"/>
  <c r="EV54" i="1"/>
  <c r="EQ52" i="1"/>
  <c r="ER52" i="1"/>
  <c r="ES52" i="1"/>
  <c r="ET52" i="1"/>
  <c r="EU52" i="1"/>
  <c r="EV52" i="1"/>
  <c r="EQ58" i="1"/>
  <c r="ER58" i="1"/>
  <c r="ES58" i="1"/>
  <c r="ET58" i="1"/>
  <c r="EU58" i="1"/>
  <c r="EV58" i="1"/>
  <c r="EQ41" i="1"/>
  <c r="ER41" i="1"/>
  <c r="ES41" i="1"/>
  <c r="ET41" i="1"/>
  <c r="EU41" i="1"/>
  <c r="EV41" i="1"/>
  <c r="EQ50" i="1"/>
  <c r="ER50" i="1"/>
  <c r="ES50" i="1"/>
  <c r="ET50" i="1"/>
  <c r="EU50" i="1"/>
  <c r="EV50" i="1"/>
  <c r="EQ51" i="1"/>
  <c r="ER51" i="1"/>
  <c r="ES51" i="1"/>
  <c r="ET51" i="1"/>
  <c r="EU51" i="1"/>
  <c r="EV51" i="1"/>
  <c r="EQ55" i="1"/>
  <c r="ER55" i="1"/>
  <c r="ES55" i="1"/>
  <c r="ET55" i="1"/>
  <c r="EU55" i="1"/>
  <c r="EV55" i="1"/>
  <c r="EQ44" i="1"/>
  <c r="ER44" i="1"/>
  <c r="ES44" i="1"/>
  <c r="ET44" i="1"/>
  <c r="EU44" i="1"/>
  <c r="EV44" i="1"/>
  <c r="EQ71" i="1"/>
  <c r="ER71" i="1"/>
  <c r="ES71" i="1"/>
  <c r="ET71" i="1"/>
  <c r="EU71" i="1"/>
  <c r="EV71" i="1"/>
  <c r="EQ70" i="1"/>
  <c r="ER70" i="1"/>
  <c r="ES70" i="1"/>
  <c r="ET70" i="1"/>
  <c r="EU70" i="1"/>
  <c r="EV70" i="1"/>
  <c r="EQ68" i="1"/>
  <c r="ER68" i="1"/>
  <c r="ES68" i="1"/>
  <c r="ET68" i="1"/>
  <c r="EU68" i="1"/>
  <c r="EV68" i="1"/>
  <c r="EQ69" i="1"/>
  <c r="ER69" i="1"/>
  <c r="ES69" i="1"/>
  <c r="ET69" i="1"/>
  <c r="EU69" i="1"/>
  <c r="EV69" i="1"/>
  <c r="EQ67" i="1"/>
  <c r="ER67" i="1"/>
  <c r="ES67" i="1"/>
  <c r="ET67" i="1"/>
  <c r="EU67" i="1"/>
  <c r="EV67" i="1"/>
  <c r="EQ66" i="1"/>
  <c r="ER66" i="1"/>
  <c r="ES66" i="1"/>
  <c r="ET66" i="1"/>
  <c r="EU66" i="1"/>
  <c r="EV66" i="1"/>
  <c r="EQ61" i="1"/>
  <c r="ER61" i="1"/>
  <c r="ES61" i="1"/>
  <c r="ET61" i="1"/>
  <c r="EU61" i="1"/>
  <c r="EV61" i="1"/>
  <c r="EQ60" i="1"/>
  <c r="ER60" i="1"/>
  <c r="ES60" i="1"/>
  <c r="ET60" i="1"/>
  <c r="EU60" i="1"/>
  <c r="EV60" i="1"/>
  <c r="EQ62" i="1"/>
  <c r="ER62" i="1"/>
  <c r="ES62" i="1"/>
  <c r="ET62" i="1"/>
  <c r="EU62" i="1"/>
  <c r="EV62" i="1"/>
  <c r="EQ59" i="1"/>
  <c r="ER59" i="1"/>
  <c r="ES59" i="1"/>
  <c r="ET59" i="1"/>
  <c r="EU59" i="1"/>
  <c r="EV59" i="1"/>
  <c r="EQ65" i="1"/>
  <c r="ER65" i="1"/>
  <c r="ES65" i="1"/>
  <c r="ET65" i="1"/>
  <c r="EU65" i="1"/>
  <c r="EV65" i="1"/>
  <c r="EQ64" i="1"/>
  <c r="ER64" i="1"/>
  <c r="ES64" i="1"/>
  <c r="ET64" i="1"/>
  <c r="EU64" i="1"/>
  <c r="EV64" i="1"/>
  <c r="EQ63" i="1"/>
  <c r="ER63" i="1"/>
  <c r="ES63" i="1"/>
  <c r="ET63" i="1"/>
  <c r="EU63" i="1"/>
  <c r="EV63" i="1"/>
  <c r="EQ73" i="1"/>
  <c r="ER73" i="1"/>
  <c r="ES73" i="1"/>
  <c r="ET73" i="1"/>
  <c r="EU73" i="1"/>
  <c r="EV73" i="1"/>
  <c r="EQ74" i="1"/>
  <c r="ER74" i="1"/>
  <c r="ES74" i="1"/>
  <c r="ET74" i="1"/>
  <c r="EU74" i="1"/>
  <c r="EV74" i="1"/>
  <c r="EQ72" i="1"/>
  <c r="ER72" i="1"/>
  <c r="ES72" i="1"/>
  <c r="ET72" i="1"/>
  <c r="EU72" i="1"/>
  <c r="EV72" i="1"/>
  <c r="EQ75" i="1"/>
  <c r="ER75" i="1"/>
  <c r="ES75" i="1"/>
  <c r="ET75" i="1"/>
  <c r="EU75" i="1"/>
  <c r="EV75" i="1"/>
  <c r="EQ76" i="1"/>
  <c r="ER76" i="1"/>
  <c r="ES76" i="1"/>
  <c r="ET76" i="1"/>
  <c r="EU76" i="1"/>
  <c r="EV76" i="1"/>
  <c r="EQ77" i="1"/>
  <c r="ER77" i="1"/>
  <c r="ES77" i="1"/>
  <c r="ET77" i="1"/>
  <c r="EU77" i="1"/>
  <c r="EV77" i="1"/>
  <c r="EQ78" i="1"/>
  <c r="ER78" i="1"/>
  <c r="ES78" i="1"/>
  <c r="ET78" i="1"/>
  <c r="EU78" i="1"/>
  <c r="EV78" i="1"/>
  <c r="EQ79" i="1"/>
  <c r="ER79" i="1"/>
  <c r="ES79" i="1"/>
  <c r="ET79" i="1"/>
  <c r="EU79" i="1"/>
  <c r="EV79" i="1"/>
  <c r="EQ80" i="1"/>
  <c r="ER80" i="1"/>
  <c r="ES80" i="1"/>
  <c r="ET80" i="1"/>
  <c r="EU80" i="1"/>
  <c r="EV80" i="1"/>
  <c r="EQ81" i="1"/>
  <c r="ER81" i="1"/>
  <c r="ES81" i="1"/>
  <c r="ET81" i="1"/>
  <c r="EU81" i="1"/>
  <c r="EV81" i="1"/>
  <c r="EQ84" i="1"/>
  <c r="ER84" i="1"/>
  <c r="ES84" i="1"/>
  <c r="ET84" i="1"/>
  <c r="EU84" i="1"/>
  <c r="EV84" i="1"/>
  <c r="EQ86" i="1"/>
  <c r="ER86" i="1"/>
  <c r="ES86" i="1"/>
  <c r="ET86" i="1"/>
  <c r="EU86" i="1"/>
  <c r="EV86" i="1"/>
  <c r="EQ83" i="1"/>
  <c r="ER83" i="1"/>
  <c r="ES83" i="1"/>
  <c r="ET83" i="1"/>
  <c r="EU83" i="1"/>
  <c r="EV83" i="1"/>
  <c r="EQ102" i="1"/>
  <c r="ER102" i="1"/>
  <c r="ES102" i="1"/>
  <c r="ET102" i="1"/>
  <c r="EU102" i="1"/>
  <c r="EV102" i="1"/>
  <c r="EQ100" i="1"/>
  <c r="ER100" i="1"/>
  <c r="ES100" i="1"/>
  <c r="ET100" i="1"/>
  <c r="EU100" i="1"/>
  <c r="EV100" i="1"/>
  <c r="EQ92" i="1"/>
  <c r="ER92" i="1"/>
  <c r="ES92" i="1"/>
  <c r="ET92" i="1"/>
  <c r="EU92" i="1"/>
  <c r="EV92" i="1"/>
  <c r="EQ95" i="1"/>
  <c r="ER95" i="1"/>
  <c r="ES95" i="1"/>
  <c r="ET95" i="1"/>
  <c r="EU95" i="1"/>
  <c r="EV95" i="1"/>
  <c r="EQ97" i="1"/>
  <c r="ER97" i="1"/>
  <c r="ES97" i="1"/>
  <c r="ET97" i="1"/>
  <c r="EU97" i="1"/>
  <c r="EV97" i="1"/>
  <c r="EQ91" i="1"/>
  <c r="ER91" i="1"/>
  <c r="ES91" i="1"/>
  <c r="ET91" i="1"/>
  <c r="EU91" i="1"/>
  <c r="EV91" i="1"/>
  <c r="EQ96" i="1"/>
  <c r="ER96" i="1"/>
  <c r="ES96" i="1"/>
  <c r="ET96" i="1"/>
  <c r="EU96" i="1"/>
  <c r="EV96" i="1"/>
  <c r="EQ93" i="1"/>
  <c r="ER93" i="1"/>
  <c r="ES93" i="1"/>
  <c r="ET93" i="1"/>
  <c r="EU93" i="1"/>
  <c r="EV93" i="1"/>
  <c r="EQ99" i="1"/>
  <c r="ER99" i="1"/>
  <c r="ES99" i="1"/>
  <c r="ET99" i="1"/>
  <c r="EU99" i="1"/>
  <c r="EV99" i="1"/>
  <c r="EQ101" i="1"/>
  <c r="ER101" i="1"/>
  <c r="ES101" i="1"/>
  <c r="ET101" i="1"/>
  <c r="EU101" i="1"/>
  <c r="EV101" i="1"/>
  <c r="EQ89" i="1"/>
  <c r="ER89" i="1"/>
  <c r="ES89" i="1"/>
  <c r="ET89" i="1"/>
  <c r="EU89" i="1"/>
  <c r="EV89" i="1"/>
  <c r="EQ98" i="1"/>
  <c r="ER98" i="1"/>
  <c r="ES98" i="1"/>
  <c r="ET98" i="1"/>
  <c r="EU98" i="1"/>
  <c r="EV98" i="1"/>
  <c r="EQ94" i="1"/>
  <c r="ER94" i="1"/>
  <c r="ES94" i="1"/>
  <c r="ET94" i="1"/>
  <c r="EU94" i="1"/>
  <c r="EV94" i="1"/>
  <c r="EQ88" i="1"/>
  <c r="ER88" i="1"/>
  <c r="ES88" i="1"/>
  <c r="ET88" i="1"/>
  <c r="EU88" i="1"/>
  <c r="EV88" i="1"/>
  <c r="EQ160" i="1"/>
  <c r="ER160" i="1"/>
  <c r="ES160" i="1"/>
  <c r="ET160" i="1"/>
  <c r="EU160" i="1"/>
  <c r="EV160" i="1"/>
  <c r="EQ163" i="1"/>
  <c r="ER163" i="1"/>
  <c r="ES163" i="1"/>
  <c r="ET163" i="1"/>
  <c r="EU163" i="1"/>
  <c r="EV163" i="1"/>
  <c r="EQ154" i="1"/>
  <c r="ER154" i="1"/>
  <c r="ES154" i="1"/>
  <c r="ET154" i="1"/>
  <c r="EU154" i="1"/>
  <c r="EV154" i="1"/>
  <c r="EQ117" i="1"/>
  <c r="ER117" i="1"/>
  <c r="ES117" i="1"/>
  <c r="ET117" i="1"/>
  <c r="EU117" i="1"/>
  <c r="EV117" i="1"/>
  <c r="EQ150" i="1"/>
  <c r="ER150" i="1"/>
  <c r="ES150" i="1"/>
  <c r="ET150" i="1"/>
  <c r="EU150" i="1"/>
  <c r="EV150" i="1"/>
  <c r="EQ162" i="1"/>
  <c r="ER162" i="1"/>
  <c r="ES162" i="1"/>
  <c r="ET162" i="1"/>
  <c r="EU162" i="1"/>
  <c r="EV162" i="1"/>
  <c r="EQ157" i="1"/>
  <c r="ER157" i="1"/>
  <c r="ES157" i="1"/>
  <c r="ET157" i="1"/>
  <c r="EU157" i="1"/>
  <c r="EV157" i="1"/>
  <c r="EQ116" i="1"/>
  <c r="ER116" i="1"/>
  <c r="ES116" i="1"/>
  <c r="ET116" i="1"/>
  <c r="EU116" i="1"/>
  <c r="EV116" i="1"/>
  <c r="EQ142" i="1"/>
  <c r="ER142" i="1"/>
  <c r="ES142" i="1"/>
  <c r="ET142" i="1"/>
  <c r="EU142" i="1"/>
  <c r="EV142" i="1"/>
  <c r="EQ146" i="1"/>
  <c r="ER146" i="1"/>
  <c r="ES146" i="1"/>
  <c r="ET146" i="1"/>
  <c r="EU146" i="1"/>
  <c r="EV146" i="1"/>
  <c r="EQ123" i="1"/>
  <c r="ER123" i="1"/>
  <c r="ES123" i="1"/>
  <c r="ET123" i="1"/>
  <c r="EU123" i="1"/>
  <c r="EV123" i="1"/>
  <c r="EQ151" i="1"/>
  <c r="ER151" i="1"/>
  <c r="ES151" i="1"/>
  <c r="ET151" i="1"/>
  <c r="EU151" i="1"/>
  <c r="EV151" i="1"/>
  <c r="EQ148" i="1"/>
  <c r="ER148" i="1"/>
  <c r="ES148" i="1"/>
  <c r="ET148" i="1"/>
  <c r="EU148" i="1"/>
  <c r="EV148" i="1"/>
  <c r="EQ161" i="1"/>
  <c r="ER161" i="1"/>
  <c r="ES161" i="1"/>
  <c r="ET161" i="1"/>
  <c r="EU161" i="1"/>
  <c r="EV161" i="1"/>
  <c r="EQ138" i="1"/>
  <c r="ER138" i="1"/>
  <c r="ES138" i="1"/>
  <c r="ET138" i="1"/>
  <c r="EU138" i="1"/>
  <c r="EV138" i="1"/>
  <c r="EQ140" i="1"/>
  <c r="ER140" i="1"/>
  <c r="ES140" i="1"/>
  <c r="ET140" i="1"/>
  <c r="EU140" i="1"/>
  <c r="EV140" i="1"/>
  <c r="EQ132" i="1"/>
  <c r="ER132" i="1"/>
  <c r="ES132" i="1"/>
  <c r="ET132" i="1"/>
  <c r="EU132" i="1"/>
  <c r="EV132" i="1"/>
  <c r="EQ111" i="1"/>
  <c r="ER111" i="1"/>
  <c r="ES111" i="1"/>
  <c r="ET111" i="1"/>
  <c r="EU111" i="1"/>
  <c r="EV111" i="1"/>
  <c r="EQ130" i="1"/>
  <c r="ER130" i="1"/>
  <c r="ES130" i="1"/>
  <c r="ET130" i="1"/>
  <c r="EU130" i="1"/>
  <c r="EV130" i="1"/>
  <c r="EQ158" i="1"/>
  <c r="ER158" i="1"/>
  <c r="ES158" i="1"/>
  <c r="ET158" i="1"/>
  <c r="EU158" i="1"/>
  <c r="EV158" i="1"/>
  <c r="EQ126" i="1"/>
  <c r="ER126" i="1"/>
  <c r="ES126" i="1"/>
  <c r="ET126" i="1"/>
  <c r="EU126" i="1"/>
  <c r="EV126" i="1"/>
  <c r="EQ137" i="1"/>
  <c r="ER137" i="1"/>
  <c r="ES137" i="1"/>
  <c r="ET137" i="1"/>
  <c r="EU137" i="1"/>
  <c r="EV137" i="1"/>
  <c r="EQ135" i="1"/>
  <c r="ER135" i="1"/>
  <c r="ES135" i="1"/>
  <c r="ET135" i="1"/>
  <c r="EU135" i="1"/>
  <c r="EV135" i="1"/>
  <c r="EQ105" i="1"/>
  <c r="ER105" i="1"/>
  <c r="ES105" i="1"/>
  <c r="ET105" i="1"/>
  <c r="EU105" i="1"/>
  <c r="EV105" i="1"/>
  <c r="EQ124" i="1"/>
  <c r="ER124" i="1"/>
  <c r="ES124" i="1"/>
  <c r="ET124" i="1"/>
  <c r="EU124" i="1"/>
  <c r="EV124" i="1"/>
  <c r="EQ141" i="1"/>
  <c r="ER141" i="1"/>
  <c r="ES141" i="1"/>
  <c r="ET141" i="1"/>
  <c r="EU141" i="1"/>
  <c r="EV141" i="1"/>
  <c r="EQ134" i="1"/>
  <c r="ER134" i="1"/>
  <c r="ES134" i="1"/>
  <c r="ET134" i="1"/>
  <c r="EU134" i="1"/>
  <c r="EV134" i="1"/>
  <c r="EQ156" i="1"/>
  <c r="ER156" i="1"/>
  <c r="ES156" i="1"/>
  <c r="ET156" i="1"/>
  <c r="EU156" i="1"/>
  <c r="EV156" i="1"/>
  <c r="EQ153" i="1"/>
  <c r="ER153" i="1"/>
  <c r="ES153" i="1"/>
  <c r="ET153" i="1"/>
  <c r="EU153" i="1"/>
  <c r="EV153" i="1"/>
  <c r="EQ127" i="1"/>
  <c r="ER127" i="1"/>
  <c r="ES127" i="1"/>
  <c r="ET127" i="1"/>
  <c r="EU127" i="1"/>
  <c r="EV127" i="1"/>
  <c r="EQ152" i="1"/>
  <c r="ER152" i="1"/>
  <c r="ES152" i="1"/>
  <c r="ET152" i="1"/>
  <c r="EU152" i="1"/>
  <c r="EV152" i="1"/>
  <c r="EQ159" i="1"/>
  <c r="ER159" i="1"/>
  <c r="ES159" i="1"/>
  <c r="ET159" i="1"/>
  <c r="EU159" i="1"/>
  <c r="EV159" i="1"/>
  <c r="EQ125" i="1"/>
  <c r="ER125" i="1"/>
  <c r="ES125" i="1"/>
  <c r="ET125" i="1"/>
  <c r="EU125" i="1"/>
  <c r="EV125" i="1"/>
  <c r="EQ145" i="1"/>
  <c r="ER145" i="1"/>
  <c r="ES145" i="1"/>
  <c r="ET145" i="1"/>
  <c r="EU145" i="1"/>
  <c r="EV145" i="1"/>
  <c r="EQ129" i="1"/>
  <c r="ER129" i="1"/>
  <c r="ES129" i="1"/>
  <c r="ET129" i="1"/>
  <c r="EU129" i="1"/>
  <c r="EV129" i="1"/>
  <c r="EQ155" i="1"/>
  <c r="ER155" i="1"/>
  <c r="ES155" i="1"/>
  <c r="ET155" i="1"/>
  <c r="EU155" i="1"/>
  <c r="EV155" i="1"/>
  <c r="EQ114" i="1"/>
  <c r="ER114" i="1"/>
  <c r="ES114" i="1"/>
  <c r="ET114" i="1"/>
  <c r="EU114" i="1"/>
  <c r="EV114" i="1"/>
  <c r="EQ110" i="1"/>
  <c r="ER110" i="1"/>
  <c r="ES110" i="1"/>
  <c r="ET110" i="1"/>
  <c r="EU110" i="1"/>
  <c r="EV110" i="1"/>
  <c r="EQ120" i="1"/>
  <c r="ER120" i="1"/>
  <c r="ES120" i="1"/>
  <c r="ET120" i="1"/>
  <c r="EU120" i="1"/>
  <c r="EV120" i="1"/>
  <c r="EQ106" i="1"/>
  <c r="ER106" i="1"/>
  <c r="ES106" i="1"/>
  <c r="ET106" i="1"/>
  <c r="EU106" i="1"/>
  <c r="EV106" i="1"/>
  <c r="EQ115" i="1"/>
  <c r="ER115" i="1"/>
  <c r="ES115" i="1"/>
  <c r="ET115" i="1"/>
  <c r="EU115" i="1"/>
  <c r="EV115" i="1"/>
  <c r="EQ149" i="1"/>
  <c r="ER149" i="1"/>
  <c r="ES149" i="1"/>
  <c r="ET149" i="1"/>
  <c r="EU149" i="1"/>
  <c r="EV149" i="1"/>
  <c r="EQ118" i="1"/>
  <c r="ER118" i="1"/>
  <c r="ES118" i="1"/>
  <c r="ET118" i="1"/>
  <c r="EU118" i="1"/>
  <c r="EV118" i="1"/>
  <c r="EQ119" i="1"/>
  <c r="ER119" i="1"/>
  <c r="ES119" i="1"/>
  <c r="ET119" i="1"/>
  <c r="EU119" i="1"/>
  <c r="EV119" i="1"/>
  <c r="EQ144" i="1"/>
  <c r="ER144" i="1"/>
  <c r="ES144" i="1"/>
  <c r="ET144" i="1"/>
  <c r="EU144" i="1"/>
  <c r="EV144" i="1"/>
  <c r="EQ131" i="1"/>
  <c r="ER131" i="1"/>
  <c r="ES131" i="1"/>
  <c r="ET131" i="1"/>
  <c r="EU131" i="1"/>
  <c r="EV131" i="1"/>
  <c r="EQ109" i="1"/>
  <c r="ER109" i="1"/>
  <c r="ES109" i="1"/>
  <c r="ET109" i="1"/>
  <c r="EU109" i="1"/>
  <c r="EV109" i="1"/>
  <c r="EQ112" i="1"/>
  <c r="ER112" i="1"/>
  <c r="ES112" i="1"/>
  <c r="ET112" i="1"/>
  <c r="EU112" i="1"/>
  <c r="EV112" i="1"/>
  <c r="EQ108" i="1"/>
  <c r="ER108" i="1"/>
  <c r="ES108" i="1"/>
  <c r="ET108" i="1"/>
  <c r="EU108" i="1"/>
  <c r="EV108" i="1"/>
  <c r="EQ122" i="1"/>
  <c r="ER122" i="1"/>
  <c r="ES122" i="1"/>
  <c r="ET122" i="1"/>
  <c r="EU122" i="1"/>
  <c r="EV122" i="1"/>
  <c r="EQ139" i="1"/>
  <c r="ER139" i="1"/>
  <c r="ES139" i="1"/>
  <c r="ET139" i="1"/>
  <c r="EU139" i="1"/>
  <c r="EV139" i="1"/>
  <c r="EQ133" i="1"/>
  <c r="ER133" i="1"/>
  <c r="ES133" i="1"/>
  <c r="ET133" i="1"/>
  <c r="EU133" i="1"/>
  <c r="EV133" i="1"/>
  <c r="EQ136" i="1"/>
  <c r="ER136" i="1"/>
  <c r="ES136" i="1"/>
  <c r="ET136" i="1"/>
  <c r="EU136" i="1"/>
  <c r="EV136" i="1"/>
  <c r="EQ113" i="1"/>
  <c r="ER113" i="1"/>
  <c r="ES113" i="1"/>
  <c r="ET113" i="1"/>
  <c r="EU113" i="1"/>
  <c r="EV113" i="1"/>
  <c r="EQ147" i="1"/>
  <c r="ER147" i="1"/>
  <c r="ES147" i="1"/>
  <c r="ET147" i="1"/>
  <c r="EU147" i="1"/>
  <c r="EV147" i="1"/>
  <c r="EQ128" i="1"/>
  <c r="ER128" i="1"/>
  <c r="ES128" i="1"/>
  <c r="ET128" i="1"/>
  <c r="EU128" i="1"/>
  <c r="EV128" i="1"/>
  <c r="EQ171" i="1"/>
  <c r="ER171" i="1"/>
  <c r="ES171" i="1"/>
  <c r="ET171" i="1"/>
  <c r="EU171" i="1"/>
  <c r="EV171" i="1"/>
  <c r="EQ173" i="1"/>
  <c r="ER173" i="1"/>
  <c r="ES173" i="1"/>
  <c r="ET173" i="1"/>
  <c r="EU173" i="1"/>
  <c r="EV173" i="1"/>
  <c r="EQ166" i="1"/>
  <c r="ER166" i="1"/>
  <c r="ES166" i="1"/>
  <c r="ET166" i="1"/>
  <c r="EU166" i="1"/>
  <c r="EV166" i="1"/>
  <c r="EQ165" i="1"/>
  <c r="ER165" i="1"/>
  <c r="ES165" i="1"/>
  <c r="ET165" i="1"/>
  <c r="EU165" i="1"/>
  <c r="EV165" i="1"/>
  <c r="EQ176" i="1"/>
  <c r="ER176" i="1"/>
  <c r="ES176" i="1"/>
  <c r="ET176" i="1"/>
  <c r="EU176" i="1"/>
  <c r="EV176" i="1"/>
  <c r="EQ181" i="1"/>
  <c r="ER181" i="1"/>
  <c r="ES181" i="1"/>
  <c r="ET181" i="1"/>
  <c r="EU181" i="1"/>
  <c r="EV181" i="1"/>
  <c r="EQ177" i="1"/>
  <c r="ER177" i="1"/>
  <c r="ES177" i="1"/>
  <c r="ET177" i="1"/>
  <c r="EU177" i="1"/>
  <c r="EV177" i="1"/>
  <c r="EQ167" i="1"/>
  <c r="ER167" i="1"/>
  <c r="ES167" i="1"/>
  <c r="ET167" i="1"/>
  <c r="EU167" i="1"/>
  <c r="EV167" i="1"/>
  <c r="EQ172" i="1"/>
  <c r="ER172" i="1"/>
  <c r="ES172" i="1"/>
  <c r="ET172" i="1"/>
  <c r="EU172" i="1"/>
  <c r="EV172" i="1"/>
  <c r="EQ168" i="1"/>
  <c r="ER168" i="1"/>
  <c r="ES168" i="1"/>
  <c r="ET168" i="1"/>
  <c r="EU168" i="1"/>
  <c r="EV168" i="1"/>
  <c r="EQ178" i="1"/>
  <c r="ER178" i="1"/>
  <c r="ES178" i="1"/>
  <c r="ET178" i="1"/>
  <c r="EU178" i="1"/>
  <c r="EV178" i="1"/>
  <c r="EQ164" i="1"/>
  <c r="ER164" i="1"/>
  <c r="ES164" i="1"/>
  <c r="ET164" i="1"/>
  <c r="EU164" i="1"/>
  <c r="EV164" i="1"/>
  <c r="EQ179" i="1"/>
  <c r="ER179" i="1"/>
  <c r="ES179" i="1"/>
  <c r="ET179" i="1"/>
  <c r="EU179" i="1"/>
  <c r="EV179" i="1"/>
  <c r="EQ175" i="1"/>
  <c r="ER175" i="1"/>
  <c r="ES175" i="1"/>
  <c r="ET175" i="1"/>
  <c r="EU175" i="1"/>
  <c r="EV175" i="1"/>
  <c r="EQ170" i="1"/>
  <c r="ER170" i="1"/>
  <c r="ES170" i="1"/>
  <c r="ET170" i="1"/>
  <c r="EU170" i="1"/>
  <c r="EV170" i="1"/>
  <c r="EQ174" i="1"/>
  <c r="ER174" i="1"/>
  <c r="ES174" i="1"/>
  <c r="ET174" i="1"/>
  <c r="EU174" i="1"/>
  <c r="EV174" i="1"/>
  <c r="EQ180" i="1"/>
  <c r="ER180" i="1"/>
  <c r="ES180" i="1"/>
  <c r="ET180" i="1"/>
  <c r="EU180" i="1"/>
  <c r="EV180" i="1"/>
  <c r="EQ169" i="1"/>
  <c r="ER169" i="1"/>
  <c r="ES169" i="1"/>
  <c r="ET169" i="1"/>
  <c r="EU169" i="1"/>
  <c r="EV169" i="1"/>
  <c r="EQ185" i="1"/>
  <c r="ER185" i="1"/>
  <c r="ES185" i="1"/>
  <c r="ET185" i="1"/>
  <c r="EU185" i="1"/>
  <c r="EV185" i="1"/>
  <c r="EQ186" i="1"/>
  <c r="ER186" i="1"/>
  <c r="ES186" i="1"/>
  <c r="ET186" i="1"/>
  <c r="EU186" i="1"/>
  <c r="EV186" i="1"/>
  <c r="EQ184" i="1"/>
  <c r="ER184" i="1"/>
  <c r="ES184" i="1"/>
  <c r="ET184" i="1"/>
  <c r="EU184" i="1"/>
  <c r="EV184" i="1"/>
  <c r="EQ183" i="1"/>
  <c r="ER183" i="1"/>
  <c r="ES183" i="1"/>
  <c r="ET183" i="1"/>
  <c r="EU183" i="1"/>
  <c r="EV183" i="1"/>
  <c r="EQ182" i="1"/>
  <c r="ER182" i="1"/>
  <c r="ES182" i="1"/>
  <c r="ET182" i="1"/>
  <c r="EU182" i="1"/>
  <c r="EV182" i="1"/>
  <c r="EQ252" i="1"/>
  <c r="ER252" i="1"/>
  <c r="ES252" i="1"/>
  <c r="ET252" i="1"/>
  <c r="EU252" i="1"/>
  <c r="EV252" i="1"/>
  <c r="EQ235" i="1"/>
  <c r="ER235" i="1"/>
  <c r="ES235" i="1"/>
  <c r="ET235" i="1"/>
  <c r="EU235" i="1"/>
  <c r="EV235" i="1"/>
  <c r="EQ251" i="1"/>
  <c r="ER251" i="1"/>
  <c r="ES251" i="1"/>
  <c r="ET251" i="1"/>
  <c r="EU251" i="1"/>
  <c r="EV251" i="1"/>
  <c r="EQ222" i="1"/>
  <c r="ER222" i="1"/>
  <c r="ES222" i="1"/>
  <c r="ET222" i="1"/>
  <c r="EU222" i="1"/>
  <c r="EV222" i="1"/>
  <c r="EQ267" i="1"/>
  <c r="ER267" i="1"/>
  <c r="ES267" i="1"/>
  <c r="ET267" i="1"/>
  <c r="EU267" i="1"/>
  <c r="EV267" i="1"/>
  <c r="EQ211" i="1"/>
  <c r="ER211" i="1"/>
  <c r="ES211" i="1"/>
  <c r="ET211" i="1"/>
  <c r="EU211" i="1"/>
  <c r="EV211" i="1"/>
  <c r="EQ233" i="1"/>
  <c r="ER233" i="1"/>
  <c r="ES233" i="1"/>
  <c r="ET233" i="1"/>
  <c r="EU233" i="1"/>
  <c r="EV233" i="1"/>
  <c r="EQ256" i="1"/>
  <c r="ER256" i="1"/>
  <c r="ES256" i="1"/>
  <c r="ET256" i="1"/>
  <c r="EU256" i="1"/>
  <c r="EV256" i="1"/>
  <c r="EQ223" i="1"/>
  <c r="ER223" i="1"/>
  <c r="ES223" i="1"/>
  <c r="ET223" i="1"/>
  <c r="EU223" i="1"/>
  <c r="EV223" i="1"/>
  <c r="EQ191" i="1"/>
  <c r="ER191" i="1"/>
  <c r="ES191" i="1"/>
  <c r="ET191" i="1"/>
  <c r="EU191" i="1"/>
  <c r="EV191" i="1"/>
  <c r="EQ296" i="1"/>
  <c r="ER296" i="1"/>
  <c r="ES296" i="1"/>
  <c r="ET296" i="1"/>
  <c r="EU296" i="1"/>
  <c r="EV296" i="1"/>
  <c r="EQ239" i="1"/>
  <c r="ER239" i="1"/>
  <c r="ES239" i="1"/>
  <c r="ET239" i="1"/>
  <c r="EU239" i="1"/>
  <c r="EV239" i="1"/>
  <c r="EQ207" i="1"/>
  <c r="ER207" i="1"/>
  <c r="ES207" i="1"/>
  <c r="ET207" i="1"/>
  <c r="EU207" i="1"/>
  <c r="EV207" i="1"/>
  <c r="EQ188" i="1"/>
  <c r="ER188" i="1"/>
  <c r="ES188" i="1"/>
  <c r="ET188" i="1"/>
  <c r="EU188" i="1"/>
  <c r="EV188" i="1"/>
  <c r="EQ224" i="1"/>
  <c r="ER224" i="1"/>
  <c r="ES224" i="1"/>
  <c r="ET224" i="1"/>
  <c r="EU224" i="1"/>
  <c r="EV224" i="1"/>
  <c r="EQ240" i="1"/>
  <c r="ER240" i="1"/>
  <c r="ES240" i="1"/>
  <c r="ET240" i="1"/>
  <c r="EU240" i="1"/>
  <c r="EV240" i="1"/>
  <c r="EQ190" i="1"/>
  <c r="ER190" i="1"/>
  <c r="ES190" i="1"/>
  <c r="ET190" i="1"/>
  <c r="EU190" i="1"/>
  <c r="EV190" i="1"/>
  <c r="EQ229" i="1"/>
  <c r="ER229" i="1"/>
  <c r="ES229" i="1"/>
  <c r="ET229" i="1"/>
  <c r="EU229" i="1"/>
  <c r="EV229" i="1"/>
  <c r="EQ286" i="1"/>
  <c r="ER286" i="1"/>
  <c r="ES286" i="1"/>
  <c r="ET286" i="1"/>
  <c r="EU286" i="1"/>
  <c r="EV286" i="1"/>
  <c r="EQ247" i="1"/>
  <c r="ER247" i="1"/>
  <c r="ES247" i="1"/>
  <c r="ET247" i="1"/>
  <c r="EU247" i="1"/>
  <c r="EV247" i="1"/>
  <c r="EQ246" i="1"/>
  <c r="ER246" i="1"/>
  <c r="ES246" i="1"/>
  <c r="ET246" i="1"/>
  <c r="EU246" i="1"/>
  <c r="EV246" i="1"/>
  <c r="EQ242" i="1"/>
  <c r="ER242" i="1"/>
  <c r="ES242" i="1"/>
  <c r="ET242" i="1"/>
  <c r="EU242" i="1"/>
  <c r="EV242" i="1"/>
  <c r="EQ234" i="1"/>
  <c r="ER234" i="1"/>
  <c r="ES234" i="1"/>
  <c r="ET234" i="1"/>
  <c r="EU234" i="1"/>
  <c r="EV234" i="1"/>
  <c r="EQ288" i="1"/>
  <c r="ER288" i="1"/>
  <c r="ES288" i="1"/>
  <c r="ET288" i="1"/>
  <c r="EU288" i="1"/>
  <c r="EV288" i="1"/>
  <c r="EQ203" i="1"/>
  <c r="ER203" i="1"/>
  <c r="ES203" i="1"/>
  <c r="ET203" i="1"/>
  <c r="EU203" i="1"/>
  <c r="EV203" i="1"/>
  <c r="EQ194" i="1"/>
  <c r="ER194" i="1"/>
  <c r="ES194" i="1"/>
  <c r="ET194" i="1"/>
  <c r="EU194" i="1"/>
  <c r="EV194" i="1"/>
  <c r="EQ301" i="1"/>
  <c r="ER301" i="1"/>
  <c r="ES301" i="1"/>
  <c r="ET301" i="1"/>
  <c r="EU301" i="1"/>
  <c r="EV301" i="1"/>
  <c r="EQ227" i="1"/>
  <c r="ER227" i="1"/>
  <c r="ES227" i="1"/>
  <c r="ET227" i="1"/>
  <c r="EU227" i="1"/>
  <c r="EV227" i="1"/>
  <c r="EQ299" i="1"/>
  <c r="ER299" i="1"/>
  <c r="ES299" i="1"/>
  <c r="ET299" i="1"/>
  <c r="EU299" i="1"/>
  <c r="EV299" i="1"/>
  <c r="EQ302" i="1"/>
  <c r="ER302" i="1"/>
  <c r="ES302" i="1"/>
  <c r="ET302" i="1"/>
  <c r="EU302" i="1"/>
  <c r="EV302" i="1"/>
  <c r="EQ265" i="1"/>
  <c r="ER265" i="1"/>
  <c r="ES265" i="1"/>
  <c r="ET265" i="1"/>
  <c r="EU265" i="1"/>
  <c r="EV265" i="1"/>
  <c r="EQ291" i="1"/>
  <c r="ER291" i="1"/>
  <c r="ES291" i="1"/>
  <c r="ET291" i="1"/>
  <c r="EU291" i="1"/>
  <c r="EV291" i="1"/>
  <c r="EQ284" i="1"/>
  <c r="ER284" i="1"/>
  <c r="ES284" i="1"/>
  <c r="ET284" i="1"/>
  <c r="EU284" i="1"/>
  <c r="EV284" i="1"/>
  <c r="EQ209" i="1"/>
  <c r="ER209" i="1"/>
  <c r="ES209" i="1"/>
  <c r="ET209" i="1"/>
  <c r="EU209" i="1"/>
  <c r="EV209" i="1"/>
  <c r="EQ213" i="1"/>
  <c r="ER213" i="1"/>
  <c r="ES213" i="1"/>
  <c r="ET213" i="1"/>
  <c r="EU213" i="1"/>
  <c r="EV213" i="1"/>
  <c r="EQ245" i="1"/>
  <c r="ER245" i="1"/>
  <c r="ES245" i="1"/>
  <c r="ET245" i="1"/>
  <c r="EU245" i="1"/>
  <c r="EV245" i="1"/>
  <c r="EQ282" i="1"/>
  <c r="ER282" i="1"/>
  <c r="ES282" i="1"/>
  <c r="ET282" i="1"/>
  <c r="EU282" i="1"/>
  <c r="EV282" i="1"/>
  <c r="EQ263" i="1"/>
  <c r="ER263" i="1"/>
  <c r="ES263" i="1"/>
  <c r="ET263" i="1"/>
  <c r="EU263" i="1"/>
  <c r="EV263" i="1"/>
  <c r="EQ196" i="1"/>
  <c r="ER196" i="1"/>
  <c r="ES196" i="1"/>
  <c r="ET196" i="1"/>
  <c r="EU196" i="1"/>
  <c r="EV196" i="1"/>
  <c r="EQ303" i="1"/>
  <c r="ER303" i="1"/>
  <c r="ES303" i="1"/>
  <c r="ET303" i="1"/>
  <c r="EU303" i="1"/>
  <c r="EV303" i="1"/>
  <c r="EQ189" i="1"/>
  <c r="ER189" i="1"/>
  <c r="ES189" i="1"/>
  <c r="ET189" i="1"/>
  <c r="EU189" i="1"/>
  <c r="EV189" i="1"/>
  <c r="EQ262" i="1"/>
  <c r="ER262" i="1"/>
  <c r="ES262" i="1"/>
  <c r="ET262" i="1"/>
  <c r="EU262" i="1"/>
  <c r="EV262" i="1"/>
  <c r="EQ287" i="1"/>
  <c r="ER287" i="1"/>
  <c r="ES287" i="1"/>
  <c r="ET287" i="1"/>
  <c r="EU287" i="1"/>
  <c r="EV287" i="1"/>
  <c r="EQ228" i="1"/>
  <c r="ER228" i="1"/>
  <c r="ES228" i="1"/>
  <c r="ET228" i="1"/>
  <c r="EU228" i="1"/>
  <c r="EV228" i="1"/>
  <c r="EQ210" i="1"/>
  <c r="ER210" i="1"/>
  <c r="ES210" i="1"/>
  <c r="ET210" i="1"/>
  <c r="EU210" i="1"/>
  <c r="EV210" i="1"/>
  <c r="EQ219" i="1"/>
  <c r="ER219" i="1"/>
  <c r="ES219" i="1"/>
  <c r="ET219" i="1"/>
  <c r="EU219" i="1"/>
  <c r="EV219" i="1"/>
  <c r="EQ205" i="1"/>
  <c r="ER205" i="1"/>
  <c r="ES205" i="1"/>
  <c r="ET205" i="1"/>
  <c r="EU205" i="1"/>
  <c r="EV205" i="1"/>
  <c r="EQ285" i="1"/>
  <c r="ER285" i="1"/>
  <c r="ES285" i="1"/>
  <c r="ET285" i="1"/>
  <c r="EU285" i="1"/>
  <c r="EV285" i="1"/>
  <c r="EQ208" i="1"/>
  <c r="ER208" i="1"/>
  <c r="ES208" i="1"/>
  <c r="ET208" i="1"/>
  <c r="EU208" i="1"/>
  <c r="EV208" i="1"/>
  <c r="EQ297" i="1"/>
  <c r="ER297" i="1"/>
  <c r="ES297" i="1"/>
  <c r="ET297" i="1"/>
  <c r="EU297" i="1"/>
  <c r="EV297" i="1"/>
  <c r="EQ243" i="1"/>
  <c r="ER243" i="1"/>
  <c r="ES243" i="1"/>
  <c r="ET243" i="1"/>
  <c r="EU243" i="1"/>
  <c r="EV243" i="1"/>
  <c r="EQ236" i="1"/>
  <c r="ER236" i="1"/>
  <c r="ES236" i="1"/>
  <c r="ET236" i="1"/>
  <c r="EU236" i="1"/>
  <c r="EV236" i="1"/>
  <c r="EQ214" i="1"/>
  <c r="ER214" i="1"/>
  <c r="ES214" i="1"/>
  <c r="ET214" i="1"/>
  <c r="EU214" i="1"/>
  <c r="EV214" i="1"/>
  <c r="EQ269" i="1"/>
  <c r="ER269" i="1"/>
  <c r="ES269" i="1"/>
  <c r="ET269" i="1"/>
  <c r="EU269" i="1"/>
  <c r="EV269" i="1"/>
  <c r="EQ300" i="1"/>
  <c r="ER300" i="1"/>
  <c r="ES300" i="1"/>
  <c r="ET300" i="1"/>
  <c r="EU300" i="1"/>
  <c r="EV300" i="1"/>
  <c r="EQ244" i="1"/>
  <c r="ER244" i="1"/>
  <c r="ES244" i="1"/>
  <c r="ET244" i="1"/>
  <c r="EU244" i="1"/>
  <c r="EV244" i="1"/>
  <c r="EQ289" i="1"/>
  <c r="ER289" i="1"/>
  <c r="ES289" i="1"/>
  <c r="ET289" i="1"/>
  <c r="EU289" i="1"/>
  <c r="EV289" i="1"/>
  <c r="EQ225" i="1"/>
  <c r="ER225" i="1"/>
  <c r="ES225" i="1"/>
  <c r="ET225" i="1"/>
  <c r="EU225" i="1"/>
  <c r="EV225" i="1"/>
  <c r="EQ199" i="1"/>
  <c r="ER199" i="1"/>
  <c r="ES199" i="1"/>
  <c r="ET199" i="1"/>
  <c r="EU199" i="1"/>
  <c r="EV199" i="1"/>
  <c r="EQ212" i="1"/>
  <c r="ER212" i="1"/>
  <c r="ES212" i="1"/>
  <c r="ET212" i="1"/>
  <c r="EU212" i="1"/>
  <c r="EV212" i="1"/>
  <c r="EQ249" i="1"/>
  <c r="ER249" i="1"/>
  <c r="ES249" i="1"/>
  <c r="ET249" i="1"/>
  <c r="EU249" i="1"/>
  <c r="EV249" i="1"/>
  <c r="EQ250" i="1"/>
  <c r="ER250" i="1"/>
  <c r="ES250" i="1"/>
  <c r="ET250" i="1"/>
  <c r="EU250" i="1"/>
  <c r="EV250" i="1"/>
  <c r="EQ193" i="1"/>
  <c r="ER193" i="1"/>
  <c r="ES193" i="1"/>
  <c r="ET193" i="1"/>
  <c r="EU193" i="1"/>
  <c r="EV193" i="1"/>
  <c r="EQ198" i="1"/>
  <c r="ER198" i="1"/>
  <c r="ES198" i="1"/>
  <c r="ET198" i="1"/>
  <c r="EU198" i="1"/>
  <c r="EV198" i="1"/>
  <c r="EQ218" i="1"/>
  <c r="ER218" i="1"/>
  <c r="ES218" i="1"/>
  <c r="ET218" i="1"/>
  <c r="EU218" i="1"/>
  <c r="EV218" i="1"/>
  <c r="EQ273" i="1"/>
  <c r="ER273" i="1"/>
  <c r="ES273" i="1"/>
  <c r="ET273" i="1"/>
  <c r="EU273" i="1"/>
  <c r="EV273" i="1"/>
  <c r="EQ274" i="1"/>
  <c r="ER274" i="1"/>
  <c r="ES274" i="1"/>
  <c r="ET274" i="1"/>
  <c r="EU274" i="1"/>
  <c r="EV274" i="1"/>
  <c r="EQ275" i="1"/>
  <c r="ER275" i="1"/>
  <c r="ES275" i="1"/>
  <c r="ET275" i="1"/>
  <c r="EU275" i="1"/>
  <c r="EV275" i="1"/>
  <c r="EQ232" i="1"/>
  <c r="ER232" i="1"/>
  <c r="ES232" i="1"/>
  <c r="ET232" i="1"/>
  <c r="EU232" i="1"/>
  <c r="EV232" i="1"/>
  <c r="EQ215" i="1"/>
  <c r="ER215" i="1"/>
  <c r="ES215" i="1"/>
  <c r="ET215" i="1"/>
  <c r="EU215" i="1"/>
  <c r="EV215" i="1"/>
  <c r="EQ197" i="1"/>
  <c r="ER197" i="1"/>
  <c r="ES197" i="1"/>
  <c r="ET197" i="1"/>
  <c r="EU197" i="1"/>
  <c r="EV197" i="1"/>
  <c r="EQ276" i="1"/>
  <c r="ER276" i="1"/>
  <c r="ES276" i="1"/>
  <c r="ET276" i="1"/>
  <c r="EU276" i="1"/>
  <c r="EV276" i="1"/>
  <c r="EQ266" i="1"/>
  <c r="ER266" i="1"/>
  <c r="ES266" i="1"/>
  <c r="ET266" i="1"/>
  <c r="EU266" i="1"/>
  <c r="EV266" i="1"/>
  <c r="EQ290" i="1"/>
  <c r="ER290" i="1"/>
  <c r="ES290" i="1"/>
  <c r="ET290" i="1"/>
  <c r="EU290" i="1"/>
  <c r="EV290" i="1"/>
  <c r="EQ226" i="1"/>
  <c r="ER226" i="1"/>
  <c r="ES226" i="1"/>
  <c r="ET226" i="1"/>
  <c r="EU226" i="1"/>
  <c r="EV226" i="1"/>
  <c r="EQ221" i="1"/>
  <c r="ER221" i="1"/>
  <c r="ES221" i="1"/>
  <c r="ET221" i="1"/>
  <c r="EU221" i="1"/>
  <c r="EV221" i="1"/>
  <c r="EQ280" i="1"/>
  <c r="ER280" i="1"/>
  <c r="ES280" i="1"/>
  <c r="ET280" i="1"/>
  <c r="EU280" i="1"/>
  <c r="EV280" i="1"/>
  <c r="EQ295" i="1"/>
  <c r="ER295" i="1"/>
  <c r="ES295" i="1"/>
  <c r="ET295" i="1"/>
  <c r="EU295" i="1"/>
  <c r="EV295" i="1"/>
  <c r="EQ293" i="1"/>
  <c r="ER293" i="1"/>
  <c r="ES293" i="1"/>
  <c r="ET293" i="1"/>
  <c r="EU293" i="1"/>
  <c r="EV293" i="1"/>
  <c r="EQ271" i="1"/>
  <c r="ER271" i="1"/>
  <c r="ES271" i="1"/>
  <c r="ET271" i="1"/>
  <c r="EU271" i="1"/>
  <c r="EV271" i="1"/>
  <c r="EQ200" i="1"/>
  <c r="ER200" i="1"/>
  <c r="ES200" i="1"/>
  <c r="ET200" i="1"/>
  <c r="EU200" i="1"/>
  <c r="EV200" i="1"/>
  <c r="EQ248" i="1"/>
  <c r="ER248" i="1"/>
  <c r="ES248" i="1"/>
  <c r="ET248" i="1"/>
  <c r="EU248" i="1"/>
  <c r="EV248" i="1"/>
  <c r="EQ231" i="1"/>
  <c r="ER231" i="1"/>
  <c r="ES231" i="1"/>
  <c r="ET231" i="1"/>
  <c r="EU231" i="1"/>
  <c r="EV231" i="1"/>
  <c r="EQ202" i="1"/>
  <c r="ER202" i="1"/>
  <c r="ES202" i="1"/>
  <c r="ET202" i="1"/>
  <c r="EU202" i="1"/>
  <c r="EV202" i="1"/>
  <c r="EQ257" i="1"/>
  <c r="ER257" i="1"/>
  <c r="ES257" i="1"/>
  <c r="ET257" i="1"/>
  <c r="EU257" i="1"/>
  <c r="EV257" i="1"/>
  <c r="EQ277" i="1"/>
  <c r="ER277" i="1"/>
  <c r="ES277" i="1"/>
  <c r="ET277" i="1"/>
  <c r="EU277" i="1"/>
  <c r="EV277" i="1"/>
  <c r="EQ255" i="1"/>
  <c r="ER255" i="1"/>
  <c r="ES255" i="1"/>
  <c r="ET255" i="1"/>
  <c r="EU255" i="1"/>
  <c r="EV255" i="1"/>
  <c r="EQ258" i="1"/>
  <c r="ER258" i="1"/>
  <c r="ES258" i="1"/>
  <c r="ET258" i="1"/>
  <c r="EU258" i="1"/>
  <c r="EV258" i="1"/>
  <c r="EQ272" i="1"/>
  <c r="ER272" i="1"/>
  <c r="ES272" i="1"/>
  <c r="ET272" i="1"/>
  <c r="EU272" i="1"/>
  <c r="EV272" i="1"/>
  <c r="EQ216" i="1"/>
  <c r="ER216" i="1"/>
  <c r="ES216" i="1"/>
  <c r="ET216" i="1"/>
  <c r="EU216" i="1"/>
  <c r="EV216" i="1"/>
  <c r="EQ283" i="1"/>
  <c r="ER283" i="1"/>
  <c r="ES283" i="1"/>
  <c r="ET283" i="1"/>
  <c r="EU283" i="1"/>
  <c r="EV283" i="1"/>
  <c r="EQ264" i="1"/>
  <c r="ER264" i="1"/>
  <c r="ES264" i="1"/>
  <c r="ET264" i="1"/>
  <c r="EU264" i="1"/>
  <c r="EV264" i="1"/>
  <c r="EQ253" i="1"/>
  <c r="ER253" i="1"/>
  <c r="ES253" i="1"/>
  <c r="ET253" i="1"/>
  <c r="EU253" i="1"/>
  <c r="EV253" i="1"/>
  <c r="EQ292" i="1"/>
  <c r="ER292" i="1"/>
  <c r="ES292" i="1"/>
  <c r="ET292" i="1"/>
  <c r="EU292" i="1"/>
  <c r="EV292" i="1"/>
  <c r="EQ259" i="1"/>
  <c r="ER259" i="1"/>
  <c r="ES259" i="1"/>
  <c r="ET259" i="1"/>
  <c r="EU259" i="1"/>
  <c r="EV259" i="1"/>
  <c r="EQ238" i="1"/>
  <c r="ER238" i="1"/>
  <c r="ES238" i="1"/>
  <c r="ET238" i="1"/>
  <c r="EU238" i="1"/>
  <c r="EV238" i="1"/>
  <c r="EQ195" i="1"/>
  <c r="ER195" i="1"/>
  <c r="ES195" i="1"/>
  <c r="ET195" i="1"/>
  <c r="EU195" i="1"/>
  <c r="EV195" i="1"/>
  <c r="EQ261" i="1"/>
  <c r="ER261" i="1"/>
  <c r="ES261" i="1"/>
  <c r="ET261" i="1"/>
  <c r="EU261" i="1"/>
  <c r="EV261" i="1"/>
  <c r="EQ237" i="1"/>
  <c r="ER237" i="1"/>
  <c r="ES237" i="1"/>
  <c r="ET237" i="1"/>
  <c r="EU237" i="1"/>
  <c r="EV237" i="1"/>
  <c r="EQ230" i="1"/>
  <c r="ER230" i="1"/>
  <c r="ES230" i="1"/>
  <c r="ET230" i="1"/>
  <c r="EU230" i="1"/>
  <c r="EV230" i="1"/>
  <c r="EQ201" i="1"/>
  <c r="ER201" i="1"/>
  <c r="ES201" i="1"/>
  <c r="ET201" i="1"/>
  <c r="EU201" i="1"/>
  <c r="EV201" i="1"/>
  <c r="EQ298" i="1"/>
  <c r="ER298" i="1"/>
  <c r="ES298" i="1"/>
  <c r="ET298" i="1"/>
  <c r="EU298" i="1"/>
  <c r="EV298" i="1"/>
  <c r="EQ270" i="1"/>
  <c r="ER270" i="1"/>
  <c r="ES270" i="1"/>
  <c r="ET270" i="1"/>
  <c r="EU270" i="1"/>
  <c r="EV270" i="1"/>
  <c r="EQ294" i="1"/>
  <c r="ER294" i="1"/>
  <c r="ES294" i="1"/>
  <c r="ET294" i="1"/>
  <c r="EU294" i="1"/>
  <c r="EV294" i="1"/>
  <c r="EQ281" i="1"/>
  <c r="ER281" i="1"/>
  <c r="ES281" i="1"/>
  <c r="ET281" i="1"/>
  <c r="EU281" i="1"/>
  <c r="EV281" i="1"/>
  <c r="EQ260" i="1"/>
  <c r="ER260" i="1"/>
  <c r="ES260" i="1"/>
  <c r="ET260" i="1"/>
  <c r="EU260" i="1"/>
  <c r="EV260" i="1"/>
  <c r="EQ220" i="1"/>
  <c r="ER220" i="1"/>
  <c r="ES220" i="1"/>
  <c r="ET220" i="1"/>
  <c r="EU220" i="1"/>
  <c r="EV220" i="1"/>
  <c r="EQ192" i="1"/>
  <c r="ER192" i="1"/>
  <c r="ES192" i="1"/>
  <c r="ET192" i="1"/>
  <c r="EU192" i="1"/>
  <c r="EV192" i="1"/>
  <c r="EQ204" i="1"/>
  <c r="ER204" i="1"/>
  <c r="ES204" i="1"/>
  <c r="ET204" i="1"/>
  <c r="EU204" i="1"/>
  <c r="EV204" i="1"/>
  <c r="EQ187" i="1"/>
  <c r="ER187" i="1"/>
  <c r="ES187" i="1"/>
  <c r="ET187" i="1"/>
  <c r="EU187" i="1"/>
  <c r="EV187" i="1"/>
  <c r="EQ217" i="1"/>
  <c r="ER217" i="1"/>
  <c r="ES217" i="1"/>
  <c r="ET217" i="1"/>
  <c r="EU217" i="1"/>
  <c r="EV217" i="1"/>
  <c r="EQ268" i="1"/>
  <c r="ER268" i="1"/>
  <c r="ES268" i="1"/>
  <c r="ET268" i="1"/>
  <c r="EU268" i="1"/>
  <c r="EV268" i="1"/>
  <c r="EQ278" i="1"/>
  <c r="ER278" i="1"/>
  <c r="ES278" i="1"/>
  <c r="ET278" i="1"/>
  <c r="EU278" i="1"/>
  <c r="EV278" i="1"/>
  <c r="EQ241" i="1"/>
  <c r="ER241" i="1"/>
  <c r="ES241" i="1"/>
  <c r="ET241" i="1"/>
  <c r="EU241" i="1"/>
  <c r="EV241" i="1"/>
  <c r="EQ279" i="1"/>
  <c r="ER279" i="1"/>
  <c r="ES279" i="1"/>
  <c r="ET279" i="1"/>
  <c r="EU279" i="1"/>
  <c r="EV279" i="1"/>
  <c r="EQ254" i="1"/>
  <c r="ER254" i="1"/>
  <c r="ES254" i="1"/>
  <c r="ET254" i="1"/>
  <c r="EU254" i="1"/>
  <c r="EV254" i="1"/>
  <c r="EQ206" i="1"/>
  <c r="ER206" i="1"/>
  <c r="ES206" i="1"/>
  <c r="ET206" i="1"/>
  <c r="EU206" i="1"/>
  <c r="EV206" i="1"/>
  <c r="EQ310" i="1"/>
  <c r="ER310" i="1"/>
  <c r="ES310" i="1"/>
  <c r="ET310" i="1"/>
  <c r="EU310" i="1"/>
  <c r="EV310" i="1"/>
  <c r="EQ312" i="1"/>
  <c r="ER312" i="1"/>
  <c r="ES312" i="1"/>
  <c r="ET312" i="1"/>
  <c r="EU312" i="1"/>
  <c r="EV312" i="1"/>
  <c r="EQ307" i="1"/>
  <c r="ER307" i="1"/>
  <c r="ES307" i="1"/>
  <c r="ET307" i="1"/>
  <c r="EU307" i="1"/>
  <c r="EV307" i="1"/>
  <c r="EQ305" i="1"/>
  <c r="ER305" i="1"/>
  <c r="ES305" i="1"/>
  <c r="ET305" i="1"/>
  <c r="EU305" i="1"/>
  <c r="EV305" i="1"/>
  <c r="EQ308" i="1"/>
  <c r="ER308" i="1"/>
  <c r="ES308" i="1"/>
  <c r="ET308" i="1"/>
  <c r="EU308" i="1"/>
  <c r="EV308" i="1"/>
  <c r="EQ313" i="1"/>
  <c r="ER313" i="1"/>
  <c r="ES313" i="1"/>
  <c r="ET313" i="1"/>
  <c r="EU313" i="1"/>
  <c r="EV313" i="1"/>
  <c r="EQ311" i="1"/>
  <c r="ER311" i="1"/>
  <c r="ES311" i="1"/>
  <c r="ET311" i="1"/>
  <c r="EU311" i="1"/>
  <c r="EV311" i="1"/>
  <c r="EQ314" i="1"/>
  <c r="ER314" i="1"/>
  <c r="ES314" i="1"/>
  <c r="ET314" i="1"/>
  <c r="EU314" i="1"/>
  <c r="EV314" i="1"/>
  <c r="EQ309" i="1"/>
  <c r="ER309" i="1"/>
  <c r="ES309" i="1"/>
  <c r="ET309" i="1"/>
  <c r="EU309" i="1"/>
  <c r="EV309" i="1"/>
  <c r="EQ315" i="1"/>
  <c r="ER315" i="1"/>
  <c r="ES315" i="1"/>
  <c r="ET315" i="1"/>
  <c r="EU315" i="1"/>
  <c r="EV315" i="1"/>
  <c r="EQ304" i="1"/>
  <c r="ER304" i="1"/>
  <c r="ES304" i="1"/>
  <c r="ET304" i="1"/>
  <c r="EU304" i="1"/>
  <c r="EV304" i="1"/>
  <c r="EQ306" i="1"/>
  <c r="ER306" i="1"/>
  <c r="ES306" i="1"/>
  <c r="ET306" i="1"/>
  <c r="EU306" i="1"/>
  <c r="EV306" i="1"/>
  <c r="EQ316" i="1"/>
  <c r="ER316" i="1"/>
  <c r="ES316" i="1"/>
  <c r="ET316" i="1"/>
  <c r="EU316" i="1"/>
  <c r="EV316" i="1"/>
  <c r="EQ317" i="1"/>
  <c r="ER317" i="1"/>
  <c r="ES317" i="1"/>
  <c r="ET317" i="1"/>
  <c r="EU317" i="1"/>
  <c r="EV317" i="1"/>
  <c r="EQ318" i="1"/>
  <c r="ER318" i="1"/>
  <c r="ES318" i="1"/>
  <c r="ET318" i="1"/>
  <c r="EU318" i="1"/>
  <c r="EV318" i="1"/>
  <c r="BT7" i="1"/>
  <c r="BG318" i="1"/>
  <c r="AT318" i="1"/>
  <c r="AG7" i="1"/>
  <c r="BZ163" i="1"/>
  <c r="BZ260" i="1"/>
  <c r="FD242" i="1" l="1"/>
  <c r="FD184" i="1"/>
  <c r="FD170" i="1"/>
  <c r="FD151" i="1"/>
  <c r="FD162" i="1"/>
  <c r="FD64" i="1"/>
  <c r="FD315" i="1"/>
  <c r="FD312" i="1"/>
  <c r="FD259" i="1"/>
  <c r="FD255" i="1"/>
  <c r="FD300" i="1"/>
  <c r="FD43" i="1"/>
  <c r="FD47" i="1"/>
  <c r="FD48" i="1"/>
  <c r="FD57" i="1"/>
  <c r="FD40" i="1"/>
  <c r="FD37" i="1"/>
  <c r="FD30" i="1"/>
  <c r="FD53" i="1"/>
  <c r="FD307" i="1"/>
  <c r="FD304" i="1"/>
  <c r="FD269" i="1"/>
  <c r="FD214" i="1"/>
  <c r="FD236" i="1"/>
  <c r="FD243" i="1"/>
  <c r="FD297" i="1"/>
  <c r="FD208" i="1"/>
  <c r="FD219" i="1"/>
  <c r="FD210" i="1"/>
  <c r="FD228" i="1"/>
  <c r="FD262" i="1"/>
  <c r="FD189" i="1"/>
  <c r="FD263" i="1"/>
  <c r="FD282" i="1"/>
  <c r="FD245" i="1"/>
  <c r="FD213" i="1"/>
  <c r="FD209" i="1"/>
  <c r="FD284" i="1"/>
  <c r="FD179" i="1"/>
  <c r="FD164" i="1"/>
  <c r="FD178" i="1"/>
  <c r="FD168" i="1"/>
  <c r="FD172" i="1"/>
  <c r="FD167" i="1"/>
  <c r="FD176" i="1"/>
  <c r="FD165" i="1"/>
  <c r="FD166" i="1"/>
  <c r="FD173" i="1"/>
  <c r="FD171" i="1"/>
  <c r="FD147" i="1"/>
  <c r="FD139" i="1"/>
  <c r="FD122" i="1"/>
  <c r="FD108" i="1"/>
  <c r="FD112" i="1"/>
  <c r="FD109" i="1"/>
  <c r="FD131" i="1"/>
  <c r="FD129" i="1"/>
  <c r="FD117" i="1"/>
  <c r="FD154" i="1"/>
  <c r="FD163" i="1"/>
  <c r="FE163" i="1" s="1"/>
  <c r="FD160" i="1"/>
  <c r="FE160" i="1" s="1"/>
  <c r="FD88" i="1"/>
  <c r="FD94" i="1"/>
  <c r="FD101" i="1"/>
  <c r="FD99" i="1"/>
  <c r="FD93" i="1"/>
  <c r="FD96" i="1"/>
  <c r="FD91" i="1"/>
  <c r="FD97" i="1"/>
  <c r="FD100" i="1"/>
  <c r="FD102" i="1"/>
  <c r="FD83" i="1"/>
  <c r="FD86" i="1"/>
  <c r="FD84" i="1"/>
  <c r="FD81" i="1"/>
  <c r="FD238" i="1"/>
  <c r="FD193" i="1"/>
  <c r="FD244" i="1"/>
  <c r="FD302" i="1"/>
  <c r="FD288" i="1"/>
  <c r="FD145" i="1"/>
  <c r="FD125" i="1"/>
  <c r="FD159" i="1"/>
  <c r="FD152" i="1"/>
  <c r="FD127" i="1"/>
  <c r="FD134" i="1"/>
  <c r="FD141" i="1"/>
  <c r="FD124" i="1"/>
  <c r="FD105" i="1"/>
  <c r="FD135" i="1"/>
  <c r="FD158" i="1"/>
  <c r="FD130" i="1"/>
  <c r="FD111" i="1"/>
  <c r="FD132" i="1"/>
  <c r="FD140" i="1"/>
  <c r="FD138" i="1"/>
  <c r="FD78" i="1"/>
  <c r="FD73" i="1"/>
  <c r="FD35" i="1"/>
  <c r="FD28" i="1"/>
  <c r="FD38" i="1"/>
  <c r="FD25" i="1"/>
  <c r="FD22" i="1"/>
  <c r="FD21" i="1"/>
  <c r="FD7" i="1"/>
  <c r="FD17" i="1"/>
  <c r="FD13" i="1"/>
  <c r="FD15" i="1"/>
  <c r="FD11" i="1"/>
  <c r="FD12" i="1"/>
  <c r="FD9" i="1"/>
  <c r="FD16" i="1"/>
  <c r="FD277" i="1"/>
  <c r="FD257" i="1"/>
  <c r="FD202" i="1"/>
  <c r="FD231" i="1"/>
  <c r="FD248" i="1"/>
  <c r="FD200" i="1"/>
  <c r="FD293" i="1"/>
  <c r="FD295" i="1"/>
  <c r="FD280" i="1"/>
  <c r="FD221" i="1"/>
  <c r="FD226" i="1"/>
  <c r="FD290" i="1"/>
  <c r="FD266" i="1"/>
  <c r="FD197" i="1"/>
  <c r="FD215" i="1"/>
  <c r="FD232" i="1"/>
  <c r="FD275" i="1"/>
  <c r="FD274" i="1"/>
  <c r="FD273" i="1"/>
  <c r="FD218" i="1"/>
  <c r="FD310" i="1"/>
  <c r="FD206" i="1"/>
  <c r="FD254" i="1"/>
  <c r="FD279" i="1"/>
  <c r="FD241" i="1"/>
  <c r="FD278" i="1"/>
  <c r="FD217" i="1"/>
  <c r="FD187" i="1"/>
  <c r="FD204" i="1"/>
  <c r="FD192" i="1"/>
  <c r="FD220" i="1"/>
  <c r="FD260" i="1"/>
  <c r="FE260" i="1" s="1"/>
  <c r="FD281" i="1"/>
  <c r="FD270" i="1"/>
  <c r="FD258" i="1"/>
  <c r="FD246" i="1"/>
  <c r="FD247" i="1"/>
  <c r="FD286" i="1"/>
  <c r="FD229" i="1"/>
  <c r="FD190" i="1"/>
  <c r="FD188" i="1"/>
  <c r="FD207" i="1"/>
  <c r="FD239" i="1"/>
  <c r="FD296" i="1"/>
  <c r="FD191" i="1"/>
  <c r="FD223" i="1"/>
  <c r="FD211" i="1"/>
  <c r="FD267" i="1"/>
  <c r="FD222" i="1"/>
  <c r="FD251" i="1"/>
  <c r="FD235" i="1"/>
  <c r="FD252" i="1"/>
  <c r="FD118" i="1"/>
  <c r="FD114" i="1"/>
  <c r="FD65" i="1"/>
  <c r="FD59" i="1"/>
  <c r="FD62" i="1"/>
  <c r="FD60" i="1"/>
  <c r="FD61" i="1"/>
  <c r="FD69" i="1"/>
  <c r="FD68" i="1"/>
  <c r="FD70" i="1"/>
  <c r="FD71" i="1"/>
  <c r="FD44" i="1"/>
  <c r="FD55" i="1"/>
  <c r="FD41" i="1"/>
  <c r="FD58" i="1"/>
  <c r="FD52" i="1"/>
  <c r="FD54" i="1"/>
  <c r="FD32" i="1"/>
  <c r="FD33" i="1"/>
  <c r="FD198" i="1"/>
  <c r="FD291" i="1"/>
  <c r="FD182" i="1"/>
  <c r="FD144" i="1"/>
  <c r="FD161" i="1"/>
  <c r="FD80" i="1"/>
  <c r="FD56" i="1"/>
  <c r="FD29" i="1"/>
  <c r="FD318" i="1"/>
  <c r="FD316" i="1"/>
  <c r="FD237" i="1"/>
  <c r="FD306" i="1"/>
  <c r="FD298" i="1"/>
  <c r="FD261" i="1"/>
  <c r="FD195" i="1"/>
  <c r="FD309" i="1"/>
  <c r="FD314" i="1"/>
  <c r="FD311" i="1"/>
  <c r="FD313" i="1"/>
  <c r="FD308" i="1"/>
  <c r="FD305" i="1"/>
  <c r="FD268" i="1"/>
  <c r="FD292" i="1"/>
  <c r="FD253" i="1"/>
  <c r="FD264" i="1"/>
  <c r="FD283" i="1"/>
  <c r="FD216" i="1"/>
  <c r="FD272" i="1"/>
  <c r="FD271" i="1"/>
  <c r="FD250" i="1"/>
  <c r="FD249" i="1"/>
  <c r="FD212" i="1"/>
  <c r="FD199" i="1"/>
  <c r="FD225" i="1"/>
  <c r="FD289" i="1"/>
  <c r="FE289" i="1" s="1"/>
  <c r="FD285" i="1"/>
  <c r="FD299" i="1"/>
  <c r="FD227" i="1"/>
  <c r="FD301" i="1"/>
  <c r="FD194" i="1"/>
  <c r="FD203" i="1"/>
  <c r="FD240" i="1"/>
  <c r="FD186" i="1"/>
  <c r="FD185" i="1"/>
  <c r="FD169" i="1"/>
  <c r="FD180" i="1"/>
  <c r="FD174" i="1"/>
  <c r="FD177" i="1"/>
  <c r="FD149" i="1"/>
  <c r="FD115" i="1"/>
  <c r="FD106" i="1"/>
  <c r="FD120" i="1"/>
  <c r="FD110" i="1"/>
  <c r="FD153" i="1"/>
  <c r="FD123" i="1"/>
  <c r="FD146" i="1"/>
  <c r="FD142" i="1"/>
  <c r="FD116" i="1"/>
  <c r="FD157" i="1"/>
  <c r="FD98" i="1"/>
  <c r="FD77" i="1"/>
  <c r="FD76" i="1"/>
  <c r="FD75" i="1"/>
  <c r="FD72" i="1"/>
  <c r="FD74" i="1"/>
  <c r="FD66" i="1"/>
  <c r="FD49" i="1"/>
  <c r="FD45" i="1"/>
  <c r="FD24" i="1"/>
  <c r="FD27" i="1"/>
  <c r="FD26" i="1"/>
  <c r="FD39" i="1"/>
  <c r="FD34" i="1"/>
  <c r="FD23" i="1"/>
  <c r="FD317" i="1"/>
  <c r="FD201" i="1"/>
  <c r="FD230" i="1"/>
  <c r="FD294" i="1"/>
  <c r="FD276" i="1"/>
  <c r="FD303" i="1"/>
  <c r="FD256" i="1"/>
  <c r="FD113" i="1"/>
  <c r="FD137" i="1"/>
  <c r="FD95" i="1"/>
  <c r="FD51" i="1"/>
  <c r="FD8" i="1"/>
  <c r="FD14" i="1"/>
  <c r="FD287" i="1"/>
  <c r="FD128" i="1"/>
  <c r="FD205" i="1"/>
  <c r="FD196" i="1"/>
  <c r="FD265" i="1"/>
  <c r="FD234" i="1"/>
  <c r="FD224" i="1"/>
  <c r="FD233" i="1"/>
  <c r="FD183" i="1"/>
  <c r="FD175" i="1"/>
  <c r="FD181" i="1"/>
  <c r="FD136" i="1"/>
  <c r="FD133" i="1"/>
  <c r="FD119" i="1"/>
  <c r="FD155" i="1"/>
  <c r="FD156" i="1"/>
  <c r="FD126" i="1"/>
  <c r="FD148" i="1"/>
  <c r="FD150" i="1"/>
  <c r="FD89" i="1"/>
  <c r="FD92" i="1"/>
  <c r="FD79" i="1"/>
  <c r="FD63" i="1"/>
  <c r="FD67" i="1"/>
  <c r="FD50" i="1"/>
  <c r="FD42" i="1"/>
  <c r="FD31" i="1"/>
  <c r="FD36" i="1"/>
  <c r="FD20" i="1"/>
  <c r="FD10" i="1"/>
  <c r="T21" i="1" l="1"/>
  <c r="T58" i="1"/>
  <c r="BU58" i="1" s="1"/>
  <c r="BU21" i="1" l="1"/>
  <c r="T162" i="1"/>
  <c r="BZ21" i="1"/>
  <c r="FE21" i="1"/>
  <c r="FE58" i="1"/>
  <c r="T279" i="1"/>
  <c r="BU279" i="1" s="1"/>
  <c r="T278" i="1"/>
  <c r="BU278" i="1" s="1"/>
  <c r="T277" i="1"/>
  <c r="BU277" i="1" s="1"/>
  <c r="T275" i="1"/>
  <c r="BU275" i="1" s="1"/>
  <c r="T274" i="1"/>
  <c r="BU274" i="1" s="1"/>
  <c r="T273" i="1"/>
  <c r="BU273" i="1" s="1"/>
  <c r="T272" i="1"/>
  <c r="BU272" i="1" s="1"/>
  <c r="T269" i="1"/>
  <c r="BU269" i="1" s="1"/>
  <c r="T268" i="1"/>
  <c r="BU268" i="1" s="1"/>
  <c r="T243" i="1"/>
  <c r="BU243" i="1" s="1"/>
  <c r="T267" i="1"/>
  <c r="BU267" i="1" s="1"/>
  <c r="T259" i="1"/>
  <c r="BU259" i="1" s="1"/>
  <c r="T258" i="1"/>
  <c r="BU258" i="1" s="1"/>
  <c r="T256" i="1"/>
  <c r="BU256" i="1" s="1"/>
  <c r="T254" i="1"/>
  <c r="BU254" i="1" s="1"/>
  <c r="T253" i="1"/>
  <c r="BU253" i="1" s="1"/>
  <c r="T251" i="1"/>
  <c r="BU251" i="1" s="1"/>
  <c r="T250" i="1"/>
  <c r="BU250" i="1" s="1"/>
  <c r="T249" i="1"/>
  <c r="BU249" i="1" s="1"/>
  <c r="T242" i="1"/>
  <c r="BU242" i="1" s="1"/>
  <c r="T241" i="1"/>
  <c r="BU241" i="1" s="1"/>
  <c r="T230" i="1"/>
  <c r="BU230" i="1" s="1"/>
  <c r="T236" i="1"/>
  <c r="BU236" i="1" s="1"/>
  <c r="T235" i="1"/>
  <c r="BU235" i="1" s="1"/>
  <c r="T234" i="1"/>
  <c r="BU234" i="1" s="1"/>
  <c r="T233" i="1"/>
  <c r="BU233" i="1" s="1"/>
  <c r="T232" i="1"/>
  <c r="BU232" i="1" s="1"/>
  <c r="T231" i="1"/>
  <c r="BU231" i="1" s="1"/>
  <c r="T229" i="1"/>
  <c r="BU229" i="1" s="1"/>
  <c r="T226" i="1"/>
  <c r="BU226" i="1" s="1"/>
  <c r="T224" i="1"/>
  <c r="BU224" i="1" s="1"/>
  <c r="T223" i="1"/>
  <c r="BU223" i="1" s="1"/>
  <c r="T222" i="1"/>
  <c r="BU222" i="1" s="1"/>
  <c r="T227" i="1"/>
  <c r="BU227" i="1" s="1"/>
  <c r="T216" i="1"/>
  <c r="BU216" i="1" s="1"/>
  <c r="T214" i="1"/>
  <c r="BU214" i="1" s="1"/>
  <c r="T213" i="1"/>
  <c r="BU213" i="1" s="1"/>
  <c r="T212" i="1"/>
  <c r="BU212" i="1" s="1"/>
  <c r="T207" i="1"/>
  <c r="BU207" i="1" s="1"/>
  <c r="T206" i="1"/>
  <c r="BU206" i="1" s="1"/>
  <c r="T205" i="1"/>
  <c r="BU205" i="1" s="1"/>
  <c r="T204" i="1"/>
  <c r="BU204" i="1" s="1"/>
  <c r="T203" i="1"/>
  <c r="BU203" i="1" s="1"/>
  <c r="T200" i="1"/>
  <c r="BU200" i="1" s="1"/>
  <c r="T196" i="1"/>
  <c r="BU196" i="1" s="1"/>
  <c r="T195" i="1"/>
  <c r="BU195" i="1" s="1"/>
  <c r="T194" i="1"/>
  <c r="BU194" i="1" s="1"/>
  <c r="T191" i="1"/>
  <c r="BU191" i="1" s="1"/>
  <c r="EO286" i="1"/>
  <c r="EB286" i="1"/>
  <c r="DO286" i="1"/>
  <c r="DB286" i="1"/>
  <c r="CO286" i="1"/>
  <c r="BU162" i="1" l="1"/>
  <c r="T189" i="1"/>
  <c r="T197" i="1"/>
  <c r="T201" i="1"/>
  <c r="BU201" i="1" s="1"/>
  <c r="T198" i="1"/>
  <c r="T202" i="1"/>
  <c r="BU202" i="1" s="1"/>
  <c r="T218" i="1"/>
  <c r="BU218" i="1" s="1"/>
  <c r="T263" i="1"/>
  <c r="BU263" i="1" s="1"/>
  <c r="T270" i="1"/>
  <c r="BU270" i="1" s="1"/>
  <c r="T188" i="1"/>
  <c r="BU188" i="1" s="1"/>
  <c r="T192" i="1"/>
  <c r="T208" i="1"/>
  <c r="BU208" i="1" s="1"/>
  <c r="T219" i="1"/>
  <c r="BU219" i="1" s="1"/>
  <c r="T228" i="1"/>
  <c r="T240" i="1"/>
  <c r="T245" i="1"/>
  <c r="BU245" i="1" s="1"/>
  <c r="T286" i="1"/>
  <c r="T252" i="1"/>
  <c r="T261" i="1"/>
  <c r="BU261" i="1" s="1"/>
  <c r="T265" i="1"/>
  <c r="T276" i="1"/>
  <c r="BU276" i="1" s="1"/>
  <c r="T280" i="1"/>
  <c r="T291" i="1"/>
  <c r="T287" i="1"/>
  <c r="BU287" i="1" s="1"/>
  <c r="T294" i="1"/>
  <c r="BU294" i="1" s="1"/>
  <c r="T298" i="1"/>
  <c r="BU298" i="1" s="1"/>
  <c r="T302" i="1"/>
  <c r="T209" i="1"/>
  <c r="BU209" i="1" s="1"/>
  <c r="T217" i="1"/>
  <c r="T220" i="1"/>
  <c r="BU220" i="1" s="1"/>
  <c r="T237" i="1"/>
  <c r="T246" i="1"/>
  <c r="T257" i="1"/>
  <c r="BU257" i="1" s="1"/>
  <c r="T262" i="1"/>
  <c r="BU262" i="1" s="1"/>
  <c r="T266" i="1"/>
  <c r="T281" i="1"/>
  <c r="BU281" i="1" s="1"/>
  <c r="T283" i="1"/>
  <c r="BU283" i="1" s="1"/>
  <c r="T290" i="1"/>
  <c r="BU290" i="1" s="1"/>
  <c r="T295" i="1"/>
  <c r="BU295" i="1" s="1"/>
  <c r="T299" i="1"/>
  <c r="T303" i="1"/>
  <c r="T193" i="1"/>
  <c r="BU193" i="1" s="1"/>
  <c r="T190" i="1"/>
  <c r="T210" i="1"/>
  <c r="T225" i="1"/>
  <c r="BU225" i="1" s="1"/>
  <c r="T238" i="1"/>
  <c r="T247" i="1"/>
  <c r="T282" i="1"/>
  <c r="BU282" i="1" s="1"/>
  <c r="T284" i="1"/>
  <c r="T292" i="1"/>
  <c r="BU292" i="1" s="1"/>
  <c r="T296" i="1"/>
  <c r="BU296" i="1" s="1"/>
  <c r="T300" i="1"/>
  <c r="BU300" i="1" s="1"/>
  <c r="T199" i="1"/>
  <c r="T211" i="1"/>
  <c r="T215" i="1"/>
  <c r="BU215" i="1" s="1"/>
  <c r="T221" i="1"/>
  <c r="BU221" i="1" s="1"/>
  <c r="T239" i="1"/>
  <c r="T244" i="1"/>
  <c r="T248" i="1"/>
  <c r="T255" i="1"/>
  <c r="BU255" i="1" s="1"/>
  <c r="T264" i="1"/>
  <c r="BU264" i="1" s="1"/>
  <c r="T271" i="1"/>
  <c r="BU271" i="1" s="1"/>
  <c r="T288" i="1"/>
  <c r="T285" i="1"/>
  <c r="BU285" i="1" s="1"/>
  <c r="T293" i="1"/>
  <c r="BU293" i="1" s="1"/>
  <c r="T297" i="1"/>
  <c r="T301" i="1"/>
  <c r="FE162" i="1"/>
  <c r="BZ162" i="1"/>
  <c r="FE194" i="1"/>
  <c r="FE196" i="1"/>
  <c r="FE200" i="1"/>
  <c r="FE204" i="1"/>
  <c r="FE212" i="1"/>
  <c r="FE216" i="1"/>
  <c r="FE223" i="1"/>
  <c r="FE233" i="1"/>
  <c r="FE230" i="1"/>
  <c r="FE256" i="1"/>
  <c r="FE268" i="1"/>
  <c r="FE272" i="1"/>
  <c r="FE205" i="1"/>
  <c r="FE213" i="1"/>
  <c r="FE224" i="1"/>
  <c r="FE229" i="1"/>
  <c r="FE234" i="1"/>
  <c r="FE241" i="1"/>
  <c r="FE249" i="1"/>
  <c r="FE253" i="1"/>
  <c r="FE269" i="1"/>
  <c r="FE273" i="1"/>
  <c r="FE277" i="1"/>
  <c r="FE206" i="1"/>
  <c r="FE214" i="1"/>
  <c r="FE227" i="1"/>
  <c r="FE231" i="1"/>
  <c r="FE235" i="1"/>
  <c r="FE242" i="1"/>
  <c r="FE250" i="1"/>
  <c r="FE254" i="1"/>
  <c r="FE258" i="1"/>
  <c r="FE267" i="1"/>
  <c r="FE274" i="1"/>
  <c r="FE278" i="1"/>
  <c r="FE191" i="1"/>
  <c r="FE195" i="1"/>
  <c r="FE203" i="1"/>
  <c r="FE207" i="1"/>
  <c r="FE222" i="1"/>
  <c r="FE226" i="1"/>
  <c r="FE232" i="1"/>
  <c r="FE236" i="1"/>
  <c r="FE251" i="1"/>
  <c r="FE259" i="1"/>
  <c r="FE243" i="1"/>
  <c r="FE275" i="1"/>
  <c r="FE279" i="1"/>
  <c r="EP286" i="1"/>
  <c r="BU288" i="1" l="1"/>
  <c r="BU248" i="1"/>
  <c r="BU192" i="1"/>
  <c r="BU297" i="1"/>
  <c r="BU244" i="1"/>
  <c r="BU238" i="1"/>
  <c r="BU252" i="1"/>
  <c r="BU228" i="1"/>
  <c r="BU189" i="1"/>
  <c r="BU190" i="1"/>
  <c r="BU237" i="1"/>
  <c r="BU291" i="1"/>
  <c r="BU240" i="1"/>
  <c r="BU197" i="1"/>
  <c r="BU280" i="1"/>
  <c r="BU239" i="1"/>
  <c r="BU199" i="1"/>
  <c r="BU284" i="1"/>
  <c r="BU303" i="1"/>
  <c r="BU217" i="1"/>
  <c r="BU286" i="1"/>
  <c r="BU198" i="1"/>
  <c r="BU301" i="1"/>
  <c r="BU247" i="1"/>
  <c r="BU266" i="1"/>
  <c r="BU302" i="1"/>
  <c r="BU211" i="1"/>
  <c r="BU210" i="1"/>
  <c r="BU299" i="1"/>
  <c r="BU246" i="1"/>
  <c r="BU265" i="1"/>
  <c r="FE228" i="1"/>
  <c r="FE189" i="1"/>
  <c r="FE188" i="1"/>
  <c r="FE208" i="1"/>
  <c r="FE290" i="1"/>
  <c r="FE193" i="1"/>
  <c r="FE280" i="1"/>
  <c r="FE252" i="1"/>
  <c r="FE202" i="1"/>
  <c r="FE190" i="1"/>
  <c r="FE244" i="1"/>
  <c r="FE298" i="1"/>
  <c r="FE261" i="1"/>
  <c r="FE209" i="1"/>
  <c r="FE300" i="1"/>
  <c r="FE211" i="1"/>
  <c r="FE292" i="1"/>
  <c r="FE263" i="1"/>
  <c r="FE281" i="1"/>
  <c r="FE287" i="1"/>
  <c r="FE265" i="1"/>
  <c r="FE245" i="1"/>
  <c r="FE276" i="1"/>
  <c r="FE219" i="1"/>
  <c r="FE257" i="1"/>
  <c r="FE201" i="1"/>
  <c r="FE294" i="1"/>
  <c r="FE288" i="1"/>
  <c r="FE301" i="1"/>
  <c r="FE221" i="1"/>
  <c r="FE282" i="1"/>
  <c r="FE218" i="1"/>
  <c r="FE299" i="1"/>
  <c r="FE297" i="1"/>
  <c r="FE264" i="1"/>
  <c r="FE248" i="1"/>
  <c r="FE215" i="1"/>
  <c r="FE199" i="1"/>
  <c r="FE296" i="1"/>
  <c r="FE247" i="1"/>
  <c r="FE303" i="1"/>
  <c r="FE283" i="1"/>
  <c r="FE237" i="1"/>
  <c r="FE220" i="1"/>
  <c r="FE240" i="1"/>
  <c r="FE192" i="1"/>
  <c r="BZ301" i="1"/>
  <c r="BZ293" i="1"/>
  <c r="BZ288" i="1"/>
  <c r="BZ264" i="1"/>
  <c r="BZ248" i="1"/>
  <c r="BZ239" i="1"/>
  <c r="BZ215" i="1"/>
  <c r="BZ199" i="1"/>
  <c r="BZ296" i="1"/>
  <c r="BZ284" i="1"/>
  <c r="BZ247" i="1"/>
  <c r="BZ225" i="1"/>
  <c r="BZ190" i="1"/>
  <c r="BZ303" i="1"/>
  <c r="BZ295" i="1"/>
  <c r="BZ283" i="1"/>
  <c r="BZ266" i="1"/>
  <c r="BZ257" i="1"/>
  <c r="BZ237" i="1"/>
  <c r="BZ217" i="1"/>
  <c r="BZ302" i="1"/>
  <c r="BZ294" i="1"/>
  <c r="BZ291" i="1"/>
  <c r="BZ276" i="1"/>
  <c r="BZ261" i="1"/>
  <c r="BZ286" i="1"/>
  <c r="BZ240" i="1"/>
  <c r="BZ219" i="1"/>
  <c r="BZ192" i="1"/>
  <c r="BZ270" i="1"/>
  <c r="BZ218" i="1"/>
  <c r="BZ198" i="1"/>
  <c r="BZ197" i="1"/>
  <c r="FE225" i="1"/>
  <c r="FE217" i="1"/>
  <c r="FE293" i="1"/>
  <c r="FE266" i="1"/>
  <c r="FE302" i="1"/>
  <c r="FE291" i="1"/>
  <c r="FE285" i="1"/>
  <c r="FE271" i="1"/>
  <c r="FE255" i="1"/>
  <c r="FE239" i="1"/>
  <c r="FE284" i="1"/>
  <c r="FE270" i="1"/>
  <c r="FE238" i="1"/>
  <c r="FE198" i="1"/>
  <c r="FE295" i="1"/>
  <c r="FE262" i="1"/>
  <c r="FE246" i="1"/>
  <c r="FE197" i="1"/>
  <c r="FE286" i="1"/>
  <c r="FE210" i="1"/>
  <c r="BZ297" i="1"/>
  <c r="BZ285" i="1"/>
  <c r="BZ271" i="1"/>
  <c r="BZ255" i="1"/>
  <c r="BZ244" i="1"/>
  <c r="BZ221" i="1"/>
  <c r="BZ211" i="1"/>
  <c r="BZ300" i="1"/>
  <c r="BZ292" i="1"/>
  <c r="BZ282" i="1"/>
  <c r="BZ238" i="1"/>
  <c r="BZ210" i="1"/>
  <c r="BZ193" i="1"/>
  <c r="BZ299" i="1"/>
  <c r="BZ290" i="1"/>
  <c r="BZ281" i="1"/>
  <c r="BZ262" i="1"/>
  <c r="BZ246" i="1"/>
  <c r="BZ220" i="1"/>
  <c r="BZ209" i="1"/>
  <c r="BZ298" i="1"/>
  <c r="BZ287" i="1"/>
  <c r="BZ280" i="1"/>
  <c r="BZ265" i="1"/>
  <c r="BZ252" i="1"/>
  <c r="BZ245" i="1"/>
  <c r="BZ228" i="1"/>
  <c r="BZ208" i="1"/>
  <c r="BZ188" i="1"/>
  <c r="BZ263" i="1"/>
  <c r="BZ202" i="1"/>
  <c r="BZ201" i="1"/>
  <c r="BZ189" i="1"/>
  <c r="CA286" i="1"/>
  <c r="AF83" i="1" l="1"/>
  <c r="AG83" i="1" s="1"/>
  <c r="AF96" i="1" l="1"/>
  <c r="AG96" i="1" s="1"/>
  <c r="AB125" i="1"/>
  <c r="AB319" i="1" s="1"/>
  <c r="AF319" i="1" l="1"/>
  <c r="T8" i="1"/>
  <c r="BU8" i="1" s="1"/>
  <c r="EO8" i="1"/>
  <c r="EB8" i="1"/>
  <c r="DO8" i="1"/>
  <c r="DB8" i="1"/>
  <c r="CO8" i="1"/>
  <c r="FE8" i="1" l="1"/>
  <c r="EP8" i="1"/>
  <c r="AL319" i="1" l="1"/>
  <c r="V19" i="34"/>
  <c r="V20" i="34"/>
  <c r="V21" i="34"/>
  <c r="V22" i="34"/>
  <c r="V23" i="34"/>
  <c r="V24" i="34"/>
  <c r="V25" i="34"/>
  <c r="V26" i="34"/>
  <c r="V27" i="34"/>
  <c r="V28" i="34"/>
  <c r="V29" i="34"/>
  <c r="V30" i="34"/>
  <c r="V31" i="34"/>
  <c r="V32" i="34"/>
  <c r="V33" i="34"/>
  <c r="V34" i="34"/>
  <c r="V35" i="34"/>
  <c r="V36" i="34"/>
  <c r="V37" i="34"/>
  <c r="V38" i="34"/>
  <c r="V39" i="34"/>
  <c r="V40" i="34"/>
  <c r="V41" i="34"/>
  <c r="V42" i="34"/>
  <c r="V43" i="34"/>
  <c r="V44" i="34"/>
  <c r="V45" i="34"/>
  <c r="V46" i="34"/>
  <c r="V47" i="34"/>
  <c r="V48" i="34"/>
  <c r="V49" i="34"/>
  <c r="V50" i="34"/>
  <c r="V51" i="34"/>
  <c r="V52" i="34"/>
  <c r="V53" i="34"/>
  <c r="V54" i="34"/>
  <c r="V55" i="34"/>
  <c r="V56" i="34"/>
  <c r="V57" i="34"/>
  <c r="V58" i="34"/>
  <c r="V59" i="34"/>
  <c r="V60" i="34"/>
  <c r="V61" i="34"/>
  <c r="V62" i="34"/>
  <c r="V63" i="34"/>
  <c r="V64" i="34"/>
  <c r="V65" i="34"/>
  <c r="V66" i="34"/>
  <c r="V67" i="34"/>
  <c r="V68" i="34"/>
  <c r="V69" i="34"/>
  <c r="V70" i="34"/>
  <c r="V71" i="34"/>
  <c r="V72" i="34"/>
  <c r="V73" i="34"/>
  <c r="V74" i="34"/>
  <c r="V75" i="34"/>
  <c r="V76" i="34"/>
  <c r="V77" i="34"/>
  <c r="V78" i="34"/>
  <c r="V79" i="34"/>
  <c r="V80" i="34"/>
  <c r="V81" i="34"/>
  <c r="V82" i="34"/>
  <c r="V83" i="34"/>
  <c r="V84" i="34"/>
  <c r="V85" i="34"/>
  <c r="V86" i="34"/>
  <c r="V87" i="34"/>
  <c r="V88" i="34"/>
  <c r="V89" i="34"/>
  <c r="V90" i="34"/>
  <c r="V91" i="34"/>
  <c r="V92" i="34"/>
  <c r="V93" i="34"/>
  <c r="V94" i="34"/>
  <c r="V95" i="34"/>
  <c r="V96" i="34"/>
  <c r="V97" i="34"/>
  <c r="V98" i="34"/>
  <c r="V99" i="34"/>
  <c r="V100" i="34"/>
  <c r="V101" i="34"/>
  <c r="V102" i="34"/>
  <c r="V103" i="34"/>
  <c r="V104" i="34"/>
  <c r="V105" i="34"/>
  <c r="V106" i="34"/>
  <c r="V107" i="34"/>
  <c r="V108" i="34"/>
  <c r="V109" i="34"/>
  <c r="V110" i="34"/>
  <c r="V111" i="34"/>
  <c r="V112" i="34"/>
  <c r="V113" i="34"/>
  <c r="V114" i="34"/>
  <c r="V115" i="34"/>
  <c r="V116" i="34"/>
  <c r="V117" i="34"/>
  <c r="V118" i="34"/>
  <c r="V119" i="34"/>
  <c r="V120" i="34"/>
  <c r="V121" i="34"/>
  <c r="V122" i="34"/>
  <c r="V123" i="34"/>
  <c r="V124" i="34"/>
  <c r="V125" i="34"/>
  <c r="V126" i="34"/>
  <c r="V127" i="34"/>
  <c r="V128" i="34"/>
  <c r="V129" i="34"/>
  <c r="V130" i="34"/>
  <c r="V131" i="34"/>
  <c r="V132" i="34"/>
  <c r="V133" i="34"/>
  <c r="V134" i="34"/>
  <c r="V135" i="34"/>
  <c r="V136" i="34"/>
  <c r="V137" i="34"/>
  <c r="V138" i="34"/>
  <c r="V139" i="34"/>
  <c r="V140" i="34"/>
  <c r="V141" i="34"/>
  <c r="V142" i="34"/>
  <c r="V143" i="34"/>
  <c r="V144" i="34"/>
  <c r="V145" i="34"/>
  <c r="V146" i="34"/>
  <c r="V147" i="34"/>
  <c r="V148" i="34"/>
  <c r="V149" i="34"/>
  <c r="V150" i="34"/>
  <c r="V151" i="34"/>
  <c r="V152" i="34"/>
  <c r="V153" i="34"/>
  <c r="V154" i="34"/>
  <c r="V155" i="34"/>
  <c r="V156" i="34"/>
  <c r="V157" i="34"/>
  <c r="V158" i="34"/>
  <c r="V159" i="34"/>
  <c r="V160" i="34"/>
  <c r="V161" i="34"/>
  <c r="V162" i="34"/>
  <c r="V163" i="34"/>
  <c r="V164" i="34"/>
  <c r="V165" i="34"/>
  <c r="V166" i="34"/>
  <c r="V167" i="34"/>
  <c r="V168" i="34"/>
  <c r="V169" i="34"/>
  <c r="V170" i="34"/>
  <c r="V171" i="34"/>
  <c r="V172" i="34"/>
  <c r="V173" i="34"/>
  <c r="V174" i="34"/>
  <c r="V175" i="34"/>
  <c r="V176" i="34"/>
  <c r="V177" i="34"/>
  <c r="V178" i="34"/>
  <c r="V179" i="34"/>
  <c r="V180" i="34"/>
  <c r="V181" i="34"/>
  <c r="V182" i="34"/>
  <c r="V183" i="34"/>
  <c r="V184" i="34"/>
  <c r="V185" i="34"/>
  <c r="V186" i="34"/>
  <c r="V187" i="34"/>
  <c r="V188" i="34"/>
  <c r="V189" i="34"/>
  <c r="V190" i="34"/>
  <c r="V191" i="34"/>
  <c r="V192" i="34"/>
  <c r="V193" i="34"/>
  <c r="V194" i="34"/>
  <c r="V195" i="34"/>
  <c r="V196" i="34"/>
  <c r="V197" i="34"/>
  <c r="V198" i="34"/>
  <c r="V199" i="34"/>
  <c r="V200" i="34"/>
  <c r="V201" i="34"/>
  <c r="V202" i="34"/>
  <c r="V203" i="34"/>
  <c r="V5" i="34"/>
  <c r="V6" i="34"/>
  <c r="V7" i="34"/>
  <c r="V8" i="34"/>
  <c r="V9" i="34"/>
  <c r="V10" i="34"/>
  <c r="V11" i="34"/>
  <c r="V12" i="34"/>
  <c r="V13" i="34"/>
  <c r="V14" i="34"/>
  <c r="V15" i="34"/>
  <c r="V16" i="34"/>
  <c r="V17" i="34"/>
  <c r="V18" i="34"/>
  <c r="V4" i="34"/>
  <c r="EO162" i="1" l="1"/>
  <c r="EB162" i="1"/>
  <c r="DO162" i="1"/>
  <c r="DB162" i="1"/>
  <c r="CO162" i="1"/>
  <c r="CA162" i="1" l="1"/>
  <c r="EP162" i="1"/>
  <c r="CS53" i="23"/>
  <c r="CS52" i="23"/>
  <c r="CS51" i="23"/>
  <c r="CS50" i="23"/>
  <c r="CS49" i="23"/>
  <c r="CS48" i="23"/>
  <c r="CS47" i="23"/>
  <c r="CS46" i="23"/>
  <c r="CB53" i="23"/>
  <c r="CB52" i="23"/>
  <c r="BO53" i="23"/>
  <c r="BO52" i="23"/>
  <c r="BB53" i="23"/>
  <c r="BB52" i="23"/>
  <c r="AO53" i="23"/>
  <c r="AB53" i="23"/>
  <c r="AB52" i="23"/>
  <c r="CC53" i="23" l="1"/>
  <c r="CC52" i="23"/>
  <c r="D26" i="33"/>
  <c r="D13" i="33"/>
  <c r="BO51" i="23" l="1"/>
  <c r="BB51" i="23"/>
  <c r="BO50" i="23"/>
  <c r="BB50" i="23"/>
  <c r="BO49" i="23"/>
  <c r="BB49" i="23"/>
  <c r="BO48" i="23"/>
  <c r="BB48" i="23"/>
  <c r="BO47" i="23"/>
  <c r="BB47" i="23"/>
  <c r="BO46" i="23"/>
  <c r="BB46" i="23"/>
  <c r="AO47" i="23"/>
  <c r="AO48" i="23"/>
  <c r="AO49" i="23"/>
  <c r="AO50" i="23"/>
  <c r="AO51" i="23"/>
  <c r="AO46" i="23"/>
  <c r="AB46" i="23"/>
  <c r="AB47" i="23"/>
  <c r="AB48" i="23"/>
  <c r="AB49" i="23"/>
  <c r="AB50" i="23"/>
  <c r="AB51" i="23"/>
  <c r="CC51" i="23" l="1"/>
  <c r="CC46" i="23"/>
  <c r="CC47" i="23"/>
  <c r="CC49" i="23"/>
  <c r="CC50" i="23"/>
  <c r="CC48" i="23"/>
  <c r="T15" i="1" l="1"/>
  <c r="BU15" i="1" s="1"/>
  <c r="BZ15" i="1" l="1"/>
  <c r="FE15" i="1"/>
  <c r="FC319" i="1"/>
  <c r="T9" i="1"/>
  <c r="BU9" i="1" s="1"/>
  <c r="T10" i="1"/>
  <c r="BU10" i="1" s="1"/>
  <c r="T11" i="1"/>
  <c r="BU11" i="1" s="1"/>
  <c r="T12" i="1"/>
  <c r="T13" i="1"/>
  <c r="BU13" i="1" s="1"/>
  <c r="T14" i="1"/>
  <c r="BU14" i="1" s="1"/>
  <c r="T16" i="1"/>
  <c r="BU16" i="1" s="1"/>
  <c r="T17" i="1"/>
  <c r="BU17" i="1" s="1"/>
  <c r="T20" i="1"/>
  <c r="BU20" i="1" s="1"/>
  <c r="T22" i="1"/>
  <c r="BU22" i="1" s="1"/>
  <c r="T23" i="1"/>
  <c r="BU23" i="1" s="1"/>
  <c r="T25" i="1"/>
  <c r="BU25" i="1" s="1"/>
  <c r="T26" i="1"/>
  <c r="T27" i="1"/>
  <c r="BU27" i="1" s="1"/>
  <c r="T28" i="1"/>
  <c r="BU28" i="1" s="1"/>
  <c r="T29" i="1"/>
  <c r="T30" i="1"/>
  <c r="BU30" i="1" s="1"/>
  <c r="T31" i="1"/>
  <c r="BU31" i="1" s="1"/>
  <c r="T32" i="1"/>
  <c r="BU32" i="1" s="1"/>
  <c r="T33" i="1"/>
  <c r="BU33" i="1" s="1"/>
  <c r="T34" i="1"/>
  <c r="BU34" i="1" s="1"/>
  <c r="T35" i="1"/>
  <c r="BU35" i="1" s="1"/>
  <c r="T36" i="1"/>
  <c r="BU36" i="1" s="1"/>
  <c r="T37" i="1"/>
  <c r="BU37" i="1" s="1"/>
  <c r="T38" i="1"/>
  <c r="BU38" i="1" s="1"/>
  <c r="T39" i="1"/>
  <c r="BU39" i="1" s="1"/>
  <c r="T40" i="1"/>
  <c r="BU40" i="1" s="1"/>
  <c r="T41" i="1"/>
  <c r="BU41" i="1" s="1"/>
  <c r="T42" i="1"/>
  <c r="BU42" i="1" s="1"/>
  <c r="T43" i="1"/>
  <c r="T44" i="1"/>
  <c r="BU44" i="1" s="1"/>
  <c r="T47" i="1"/>
  <c r="T48" i="1"/>
  <c r="BU48" i="1" s="1"/>
  <c r="T49" i="1"/>
  <c r="BU49" i="1" s="1"/>
  <c r="T50" i="1"/>
  <c r="BU50" i="1" s="1"/>
  <c r="T51" i="1"/>
  <c r="BU51" i="1" s="1"/>
  <c r="T45" i="1"/>
  <c r="BU45" i="1" s="1"/>
  <c r="T52" i="1"/>
  <c r="BU52" i="1" s="1"/>
  <c r="T53" i="1"/>
  <c r="BU53" i="1" s="1"/>
  <c r="T54" i="1"/>
  <c r="BU54" i="1" s="1"/>
  <c r="T55" i="1"/>
  <c r="BU55" i="1" s="1"/>
  <c r="T56" i="1"/>
  <c r="BU56" i="1" s="1"/>
  <c r="T57" i="1"/>
  <c r="BU57" i="1" s="1"/>
  <c r="T59" i="1"/>
  <c r="BU59" i="1" s="1"/>
  <c r="T61" i="1"/>
  <c r="BU61" i="1" s="1"/>
  <c r="T62" i="1"/>
  <c r="BU62" i="1" s="1"/>
  <c r="T63" i="1"/>
  <c r="BU63" i="1" s="1"/>
  <c r="T64" i="1"/>
  <c r="BU64" i="1" s="1"/>
  <c r="T65" i="1"/>
  <c r="BU65" i="1" s="1"/>
  <c r="T66" i="1"/>
  <c r="BU66" i="1" s="1"/>
  <c r="T67" i="1"/>
  <c r="BU67" i="1" s="1"/>
  <c r="T68" i="1"/>
  <c r="BU68" i="1" s="1"/>
  <c r="T69" i="1"/>
  <c r="BU69" i="1" s="1"/>
  <c r="T70" i="1"/>
  <c r="BU70" i="1" s="1"/>
  <c r="T71" i="1"/>
  <c r="BU71" i="1" s="1"/>
  <c r="T72" i="1"/>
  <c r="BU72" i="1" s="1"/>
  <c r="T74" i="1"/>
  <c r="BU74" i="1" s="1"/>
  <c r="T78" i="1"/>
  <c r="BU78" i="1" s="1"/>
  <c r="T80" i="1"/>
  <c r="BU80" i="1" s="1"/>
  <c r="T81" i="1"/>
  <c r="BU81" i="1" s="1"/>
  <c r="T86" i="1"/>
  <c r="T89" i="1"/>
  <c r="BU89" i="1" s="1"/>
  <c r="T96" i="1"/>
  <c r="BU96" i="1" s="1"/>
  <c r="T98" i="1"/>
  <c r="BU98" i="1" s="1"/>
  <c r="T99" i="1"/>
  <c r="BU99" i="1" s="1"/>
  <c r="T100" i="1"/>
  <c r="BU100" i="1" s="1"/>
  <c r="T102" i="1"/>
  <c r="BU102" i="1" s="1"/>
  <c r="T105" i="1"/>
  <c r="BU105" i="1" s="1"/>
  <c r="T108" i="1"/>
  <c r="BU108" i="1" s="1"/>
  <c r="T109" i="1"/>
  <c r="BU109" i="1" s="1"/>
  <c r="T110" i="1"/>
  <c r="BU110" i="1" s="1"/>
  <c r="T112" i="1"/>
  <c r="BU112" i="1" s="1"/>
  <c r="T113" i="1"/>
  <c r="BU113" i="1" s="1"/>
  <c r="T116" i="1"/>
  <c r="BU116" i="1" s="1"/>
  <c r="T117" i="1"/>
  <c r="BU117" i="1" s="1"/>
  <c r="T122" i="1"/>
  <c r="BU122" i="1" s="1"/>
  <c r="T124" i="1"/>
  <c r="BU124" i="1" s="1"/>
  <c r="T126" i="1"/>
  <c r="BU126" i="1" s="1"/>
  <c r="T127" i="1"/>
  <c r="BU127" i="1" s="1"/>
  <c r="T129" i="1"/>
  <c r="BU129" i="1" s="1"/>
  <c r="T130" i="1"/>
  <c r="BU130" i="1" s="1"/>
  <c r="T132" i="1"/>
  <c r="BU132" i="1" s="1"/>
  <c r="T136" i="1"/>
  <c r="BU136" i="1" s="1"/>
  <c r="T138" i="1"/>
  <c r="BU138" i="1" s="1"/>
  <c r="T140" i="1"/>
  <c r="BU140" i="1" s="1"/>
  <c r="T141" i="1"/>
  <c r="BU141" i="1" s="1"/>
  <c r="T144" i="1"/>
  <c r="BU144" i="1" s="1"/>
  <c r="T145" i="1"/>
  <c r="BU145" i="1" s="1"/>
  <c r="T149" i="1"/>
  <c r="BU149" i="1" s="1"/>
  <c r="T150" i="1"/>
  <c r="BU150" i="1" s="1"/>
  <c r="T152" i="1"/>
  <c r="BU152" i="1" s="1"/>
  <c r="T153" i="1"/>
  <c r="BU153" i="1" s="1"/>
  <c r="T155" i="1"/>
  <c r="BU155" i="1" s="1"/>
  <c r="T156" i="1"/>
  <c r="BU156" i="1" s="1"/>
  <c r="T157" i="1"/>
  <c r="BU157" i="1" s="1"/>
  <c r="T159" i="1"/>
  <c r="BU159" i="1" s="1"/>
  <c r="T168" i="1"/>
  <c r="BU168" i="1" s="1"/>
  <c r="T169" i="1"/>
  <c r="BU169" i="1" s="1"/>
  <c r="T171" i="1"/>
  <c r="BU171" i="1" s="1"/>
  <c r="T172" i="1"/>
  <c r="BU172" i="1" s="1"/>
  <c r="T167" i="1"/>
  <c r="BU167" i="1" s="1"/>
  <c r="T176" i="1"/>
  <c r="BU176" i="1" s="1"/>
  <c r="T177" i="1"/>
  <c r="BU177" i="1" s="1"/>
  <c r="T179" i="1"/>
  <c r="BU179" i="1" s="1"/>
  <c r="T180" i="1"/>
  <c r="BU180" i="1" s="1"/>
  <c r="T181" i="1"/>
  <c r="BU181" i="1" s="1"/>
  <c r="T183" i="1"/>
  <c r="BU183" i="1" s="1"/>
  <c r="T184" i="1"/>
  <c r="BU184" i="1" s="1"/>
  <c r="T185" i="1"/>
  <c r="BU185" i="1" s="1"/>
  <c r="T304" i="1"/>
  <c r="BU304" i="1" s="1"/>
  <c r="T306" i="1"/>
  <c r="BU306" i="1" s="1"/>
  <c r="T307" i="1"/>
  <c r="BU307" i="1" s="1"/>
  <c r="T308" i="1"/>
  <c r="BU308" i="1" s="1"/>
  <c r="T309" i="1"/>
  <c r="BU309" i="1" s="1"/>
  <c r="T310" i="1"/>
  <c r="BU310" i="1" s="1"/>
  <c r="T311" i="1"/>
  <c r="BU311" i="1" s="1"/>
  <c r="T312" i="1"/>
  <c r="BU312" i="1" s="1"/>
  <c r="T313" i="1"/>
  <c r="BU313" i="1" s="1"/>
  <c r="T315" i="1"/>
  <c r="BU315" i="1" s="1"/>
  <c r="T318" i="1"/>
  <c r="T7" i="1"/>
  <c r="BU86" i="1" l="1"/>
  <c r="BU26" i="1"/>
  <c r="BU47" i="1"/>
  <c r="BU29" i="1"/>
  <c r="BU12" i="1"/>
  <c r="BU43" i="1"/>
  <c r="T187" i="1"/>
  <c r="T151" i="1"/>
  <c r="BU151" i="1" s="1"/>
  <c r="T175" i="1"/>
  <c r="BU175" i="1" s="1"/>
  <c r="T173" i="1"/>
  <c r="BU173" i="1" s="1"/>
  <c r="T139" i="1"/>
  <c r="T135" i="1"/>
  <c r="BU135" i="1" s="1"/>
  <c r="T131" i="1"/>
  <c r="BU131" i="1" s="1"/>
  <c r="T123" i="1"/>
  <c r="BU123" i="1" s="1"/>
  <c r="T118" i="1"/>
  <c r="BU118" i="1" s="1"/>
  <c r="T114" i="1"/>
  <c r="BU114" i="1" s="1"/>
  <c r="T91" i="1"/>
  <c r="BU91" i="1" s="1"/>
  <c r="T83" i="1"/>
  <c r="T79" i="1"/>
  <c r="BU79" i="1" s="1"/>
  <c r="T75" i="1"/>
  <c r="BU75" i="1" s="1"/>
  <c r="T148" i="1"/>
  <c r="BU148" i="1" s="1"/>
  <c r="T134" i="1"/>
  <c r="BU134" i="1" s="1"/>
  <c r="T161" i="1"/>
  <c r="T125" i="1"/>
  <c r="FE125" i="1" s="1"/>
  <c r="T24" i="1"/>
  <c r="BU24" i="1" s="1"/>
  <c r="T317" i="1"/>
  <c r="BU317" i="1" s="1"/>
  <c r="T305" i="1"/>
  <c r="BU305" i="1" s="1"/>
  <c r="T186" i="1"/>
  <c r="BU186" i="1" s="1"/>
  <c r="T182" i="1"/>
  <c r="BU182" i="1" s="1"/>
  <c r="T178" i="1"/>
  <c r="T174" i="1"/>
  <c r="BU174" i="1" s="1"/>
  <c r="T165" i="1"/>
  <c r="BU165" i="1" s="1"/>
  <c r="T147" i="1"/>
  <c r="BU147" i="1" s="1"/>
  <c r="T142" i="1"/>
  <c r="T137" i="1"/>
  <c r="BU137" i="1" s="1"/>
  <c r="T133" i="1"/>
  <c r="BU133" i="1" s="1"/>
  <c r="T120" i="1"/>
  <c r="BU120" i="1" s="1"/>
  <c r="T101" i="1"/>
  <c r="T97" i="1"/>
  <c r="BU97" i="1" s="1"/>
  <c r="T93" i="1"/>
  <c r="BU93" i="1" s="1"/>
  <c r="T88" i="1"/>
  <c r="T84" i="1"/>
  <c r="T77" i="1"/>
  <c r="T73" i="1"/>
  <c r="BU73" i="1" s="1"/>
  <c r="BZ318" i="1"/>
  <c r="BU318" i="1"/>
  <c r="T314" i="1"/>
  <c r="BU314" i="1" s="1"/>
  <c r="T166" i="1"/>
  <c r="T94" i="1"/>
  <c r="BU94" i="1" s="1"/>
  <c r="T316" i="1"/>
  <c r="BU316" i="1" s="1"/>
  <c r="T170" i="1"/>
  <c r="BU170" i="1" s="1"/>
  <c r="T164" i="1"/>
  <c r="T158" i="1"/>
  <c r="BU158" i="1" s="1"/>
  <c r="T154" i="1"/>
  <c r="T146" i="1"/>
  <c r="BU146" i="1" s="1"/>
  <c r="T128" i="1"/>
  <c r="BU128" i="1" s="1"/>
  <c r="T119" i="1"/>
  <c r="BU119" i="1" s="1"/>
  <c r="T115" i="1"/>
  <c r="BU115" i="1" s="1"/>
  <c r="T111" i="1"/>
  <c r="BU111" i="1" s="1"/>
  <c r="T106" i="1"/>
  <c r="BU106" i="1" s="1"/>
  <c r="T95" i="1"/>
  <c r="BU95" i="1" s="1"/>
  <c r="T92" i="1"/>
  <c r="BU92" i="1" s="1"/>
  <c r="T76" i="1"/>
  <c r="BU76" i="1" s="1"/>
  <c r="T60" i="1"/>
  <c r="BU60" i="1" s="1"/>
  <c r="BZ35" i="1"/>
  <c r="BZ13" i="1"/>
  <c r="BZ43" i="1"/>
  <c r="BZ39" i="1"/>
  <c r="BZ23" i="1"/>
  <c r="BZ16" i="1"/>
  <c r="BZ11" i="1"/>
  <c r="BZ50" i="1"/>
  <c r="BZ38" i="1"/>
  <c r="BZ34" i="1"/>
  <c r="BZ26" i="1"/>
  <c r="BZ86" i="1"/>
  <c r="BZ28" i="1"/>
  <c r="BZ12" i="1"/>
  <c r="BZ47" i="1"/>
  <c r="BZ29" i="1"/>
  <c r="BZ25" i="1"/>
  <c r="D105" i="22"/>
  <c r="D136" i="22"/>
  <c r="D129" i="22"/>
  <c r="D44" i="22"/>
  <c r="D46" i="22"/>
  <c r="D131" i="22"/>
  <c r="D132" i="22"/>
  <c r="D47" i="22"/>
  <c r="D128" i="22"/>
  <c r="D43" i="22"/>
  <c r="BU7" i="1"/>
  <c r="EW319" i="1"/>
  <c r="FE318" i="1"/>
  <c r="FE306" i="1"/>
  <c r="FE179" i="1"/>
  <c r="FE168" i="1"/>
  <c r="FE156" i="1"/>
  <c r="FE144" i="1"/>
  <c r="FE105" i="1"/>
  <c r="FE312" i="1"/>
  <c r="FE304" i="1"/>
  <c r="FE181" i="1"/>
  <c r="FE177" i="1"/>
  <c r="FE126" i="1"/>
  <c r="FE116" i="1"/>
  <c r="FE112" i="1"/>
  <c r="FE69" i="1"/>
  <c r="FE61" i="1"/>
  <c r="FE7" i="1"/>
  <c r="FE315" i="1"/>
  <c r="FE311" i="1"/>
  <c r="FE307" i="1"/>
  <c r="FE184" i="1"/>
  <c r="FE180" i="1"/>
  <c r="FE176" i="1"/>
  <c r="FE169" i="1"/>
  <c r="FE157" i="1"/>
  <c r="FE153" i="1"/>
  <c r="FE149" i="1"/>
  <c r="FE145" i="1"/>
  <c r="FE141" i="1"/>
  <c r="FE136" i="1"/>
  <c r="FE132" i="1"/>
  <c r="FE124" i="1"/>
  <c r="FE100" i="1"/>
  <c r="FE86" i="1"/>
  <c r="FE80" i="1"/>
  <c r="FE72" i="1"/>
  <c r="FE68" i="1"/>
  <c r="FE64" i="1"/>
  <c r="FE56" i="1"/>
  <c r="FE52" i="1"/>
  <c r="FE45" i="1"/>
  <c r="FE50" i="1"/>
  <c r="FE44" i="1"/>
  <c r="FE40" i="1"/>
  <c r="FE36" i="1"/>
  <c r="FE32" i="1"/>
  <c r="FE28" i="1"/>
  <c r="FE13" i="1"/>
  <c r="FE9" i="1"/>
  <c r="FE110" i="1"/>
  <c r="FE99" i="1"/>
  <c r="FE71" i="1"/>
  <c r="FE67" i="1"/>
  <c r="FE63" i="1"/>
  <c r="FE59" i="1"/>
  <c r="FE55" i="1"/>
  <c r="FE53" i="1"/>
  <c r="FE49" i="1"/>
  <c r="FE43" i="1"/>
  <c r="FE39" i="1"/>
  <c r="FE35" i="1"/>
  <c r="FE31" i="1"/>
  <c r="FE27" i="1"/>
  <c r="FE23" i="1"/>
  <c r="FE17" i="1"/>
  <c r="FE12" i="1"/>
  <c r="FE313" i="1"/>
  <c r="FE309" i="1"/>
  <c r="FE171" i="1"/>
  <c r="FE159" i="1"/>
  <c r="FE155" i="1"/>
  <c r="FE152" i="1"/>
  <c r="FE138" i="1"/>
  <c r="FE130" i="1"/>
  <c r="FE122" i="1"/>
  <c r="FE117" i="1"/>
  <c r="FE113" i="1"/>
  <c r="FE109" i="1"/>
  <c r="FE102" i="1"/>
  <c r="FE98" i="1"/>
  <c r="FE89" i="1"/>
  <c r="FE81" i="1"/>
  <c r="FE78" i="1"/>
  <c r="FE74" i="1"/>
  <c r="FE70" i="1"/>
  <c r="FE66" i="1"/>
  <c r="FE62" i="1"/>
  <c r="FE57" i="1"/>
  <c r="FE54" i="1"/>
  <c r="FE48" i="1"/>
  <c r="FE42" i="1"/>
  <c r="FE38" i="1"/>
  <c r="FE34" i="1"/>
  <c r="FE30" i="1"/>
  <c r="FE26" i="1"/>
  <c r="FE22" i="1"/>
  <c r="FE16" i="1"/>
  <c r="FE11" i="1"/>
  <c r="FE310" i="1"/>
  <c r="FE183" i="1"/>
  <c r="FE172" i="1"/>
  <c r="FE140" i="1"/>
  <c r="FE127" i="1"/>
  <c r="FE96" i="1"/>
  <c r="FE308" i="1"/>
  <c r="FE185" i="1"/>
  <c r="FE167" i="1"/>
  <c r="FE150" i="1"/>
  <c r="FE129" i="1"/>
  <c r="FE108" i="1"/>
  <c r="FE65" i="1"/>
  <c r="FE51" i="1"/>
  <c r="FE47" i="1"/>
  <c r="FE41" i="1"/>
  <c r="FE37" i="1"/>
  <c r="FE33" i="1"/>
  <c r="FE29" i="1"/>
  <c r="FE25" i="1"/>
  <c r="FE20" i="1"/>
  <c r="FE14" i="1"/>
  <c r="FE10" i="1"/>
  <c r="FD18" i="1"/>
  <c r="FD319" i="1" s="1"/>
  <c r="D29" i="33"/>
  <c r="D16" i="33"/>
  <c r="D28" i="33"/>
  <c r="D15" i="33"/>
  <c r="D14" i="33"/>
  <c r="D27" i="33"/>
  <c r="D24" i="33"/>
  <c r="D11" i="33"/>
  <c r="D25" i="33"/>
  <c r="D12" i="33"/>
  <c r="FE97" i="1" l="1"/>
  <c r="FE137" i="1"/>
  <c r="BU88" i="1"/>
  <c r="BU154" i="1"/>
  <c r="BU84" i="1"/>
  <c r="BU101" i="1"/>
  <c r="BU142" i="1"/>
  <c r="BU178" i="1"/>
  <c r="BU83" i="1"/>
  <c r="D91" i="22" s="1"/>
  <c r="BU164" i="1"/>
  <c r="BU166" i="1"/>
  <c r="BU77" i="1"/>
  <c r="D163" i="22" s="1"/>
  <c r="BU161" i="1"/>
  <c r="BU139" i="1"/>
  <c r="BU187" i="1"/>
  <c r="D28" i="22" s="1"/>
  <c r="EX323" i="1"/>
  <c r="FE118" i="1"/>
  <c r="FE139" i="1"/>
  <c r="FE161" i="1"/>
  <c r="D78" i="22"/>
  <c r="FE79" i="1"/>
  <c r="FE187" i="1"/>
  <c r="FE146" i="1"/>
  <c r="D77" i="22"/>
  <c r="FE174" i="1"/>
  <c r="FE314" i="1"/>
  <c r="FE170" i="1"/>
  <c r="D137" i="22"/>
  <c r="D75" i="22"/>
  <c r="D143" i="22"/>
  <c r="FE305" i="1"/>
  <c r="FE77" i="1"/>
  <c r="D15" i="22"/>
  <c r="FE178" i="1"/>
  <c r="FE75" i="1"/>
  <c r="FE151" i="1"/>
  <c r="FE93" i="1"/>
  <c r="FE165" i="1"/>
  <c r="FE186" i="1"/>
  <c r="D73" i="22"/>
  <c r="FE173" i="1"/>
  <c r="FE101" i="1"/>
  <c r="FE84" i="1"/>
  <c r="FE316" i="1"/>
  <c r="FE142" i="1"/>
  <c r="FE317" i="1"/>
  <c r="FE123" i="1"/>
  <c r="FE134" i="1"/>
  <c r="FE83" i="1"/>
  <c r="D138" i="22"/>
  <c r="FE73" i="1"/>
  <c r="FE166" i="1"/>
  <c r="FE114" i="1"/>
  <c r="FE135" i="1"/>
  <c r="FE133" i="1"/>
  <c r="FE120" i="1"/>
  <c r="FE158" i="1"/>
  <c r="FE95" i="1"/>
  <c r="FE131" i="1"/>
  <c r="D12" i="22"/>
  <c r="FE119" i="1"/>
  <c r="FE94" i="1"/>
  <c r="FE111" i="1"/>
  <c r="FE175" i="1"/>
  <c r="FE88" i="1"/>
  <c r="D130" i="22"/>
  <c r="D134" i="22"/>
  <c r="D76" i="22"/>
  <c r="BZ119" i="1"/>
  <c r="FE91" i="1"/>
  <c r="FE24" i="1"/>
  <c r="BZ73" i="1"/>
  <c r="FE147" i="1"/>
  <c r="FE182" i="1"/>
  <c r="FE148" i="1"/>
  <c r="FE76" i="1"/>
  <c r="D14" i="22"/>
  <c r="D74" i="22"/>
  <c r="D45" i="22"/>
  <c r="BZ114" i="1"/>
  <c r="D142" i="22"/>
  <c r="BZ101" i="1"/>
  <c r="D135" i="22"/>
  <c r="D146" i="22"/>
  <c r="BZ158" i="1"/>
  <c r="BZ93" i="1"/>
  <c r="D16" i="22"/>
  <c r="BZ94" i="1"/>
  <c r="BZ135" i="1"/>
  <c r="D145" i="22"/>
  <c r="D144" i="22"/>
  <c r="BZ95" i="1"/>
  <c r="BZ75" i="1"/>
  <c r="BZ123" i="1"/>
  <c r="BZ76" i="1"/>
  <c r="BZ146" i="1"/>
  <c r="BZ314" i="1"/>
  <c r="BZ133" i="1"/>
  <c r="BZ186" i="1"/>
  <c r="BZ178" i="1"/>
  <c r="BZ134" i="1"/>
  <c r="BZ111" i="1"/>
  <c r="BZ170" i="1"/>
  <c r="BZ165" i="1"/>
  <c r="BZ125" i="1"/>
  <c r="BZ151" i="1"/>
  <c r="BZ84" i="1"/>
  <c r="BZ142" i="1"/>
  <c r="BZ317" i="1"/>
  <c r="BZ83" i="1"/>
  <c r="BZ173" i="1"/>
  <c r="FE92" i="1"/>
  <c r="FE128" i="1"/>
  <c r="FE164" i="1"/>
  <c r="D11" i="22"/>
  <c r="D141" i="22"/>
  <c r="FE60" i="1"/>
  <c r="FE115" i="1"/>
  <c r="T18" i="1"/>
  <c r="BU18" i="1" s="1"/>
  <c r="D104" i="22"/>
  <c r="FE106" i="1"/>
  <c r="FE154" i="1"/>
  <c r="D133" i="22"/>
  <c r="D140" i="22"/>
  <c r="D139" i="22"/>
  <c r="D13" i="22"/>
  <c r="BZ60" i="1"/>
  <c r="BZ92" i="1"/>
  <c r="BZ106" i="1"/>
  <c r="BZ115" i="1"/>
  <c r="BZ128" i="1"/>
  <c r="BZ154" i="1"/>
  <c r="BZ164" i="1"/>
  <c r="BZ316" i="1"/>
  <c r="BZ166" i="1"/>
  <c r="BZ77" i="1"/>
  <c r="BZ88" i="1"/>
  <c r="BZ97" i="1"/>
  <c r="BZ120" i="1"/>
  <c r="BZ137" i="1"/>
  <c r="BZ147" i="1"/>
  <c r="BZ174" i="1"/>
  <c r="BZ182" i="1"/>
  <c r="BZ305" i="1"/>
  <c r="BZ24" i="1"/>
  <c r="BZ161" i="1"/>
  <c r="BZ148" i="1"/>
  <c r="BZ79" i="1"/>
  <c r="BZ91" i="1"/>
  <c r="BZ118" i="1"/>
  <c r="BZ131" i="1"/>
  <c r="BZ139" i="1"/>
  <c r="BZ175" i="1"/>
  <c r="BZ187" i="1"/>
  <c r="D157" i="22"/>
  <c r="D58" i="22"/>
  <c r="D172" i="22"/>
  <c r="D113" i="22"/>
  <c r="D114" i="22"/>
  <c r="D173" i="22"/>
  <c r="D171" i="22"/>
  <c r="D29" i="22"/>
  <c r="D158" i="22"/>
  <c r="D59" i="22"/>
  <c r="D87" i="22"/>
  <c r="D161" i="22"/>
  <c r="D169" i="22"/>
  <c r="D27" i="22"/>
  <c r="D159" i="22"/>
  <c r="D60" i="22"/>
  <c r="D160" i="22"/>
  <c r="D86" i="22"/>
  <c r="D156" i="22"/>
  <c r="D57" i="22"/>
  <c r="D164" i="22"/>
  <c r="D90" i="22"/>
  <c r="D88" i="22"/>
  <c r="D162" i="22"/>
  <c r="D155" i="22"/>
  <c r="D56" i="22"/>
  <c r="I7" i="14"/>
  <c r="J7" i="14"/>
  <c r="K7" i="14"/>
  <c r="L7" i="14"/>
  <c r="M7" i="14"/>
  <c r="H7" i="14"/>
  <c r="M6" i="14"/>
  <c r="L6" i="14"/>
  <c r="K6" i="14"/>
  <c r="J6" i="14"/>
  <c r="I6" i="14"/>
  <c r="H6" i="14"/>
  <c r="D170" i="22" l="1"/>
  <c r="D165" i="22"/>
  <c r="D89" i="22"/>
  <c r="D168" i="22"/>
  <c r="D24" i="22"/>
  <c r="D166" i="22"/>
  <c r="D26" i="22"/>
  <c r="F26" i="33"/>
  <c r="F29" i="33"/>
  <c r="C26" i="33"/>
  <c r="F13" i="33"/>
  <c r="F16" i="33"/>
  <c r="C13" i="33"/>
  <c r="W125" i="1" l="1"/>
  <c r="AG125" i="1" s="1"/>
  <c r="BU125" i="1" s="1"/>
  <c r="EO206" i="1"/>
  <c r="EO201" i="1"/>
  <c r="EO277" i="1"/>
  <c r="EO215" i="1"/>
  <c r="EO214" i="1"/>
  <c r="EO245" i="1"/>
  <c r="EO246" i="1"/>
  <c r="EO222" i="1"/>
  <c r="EO178" i="1"/>
  <c r="EO72" i="1"/>
  <c r="EO38" i="1"/>
  <c r="EO318" i="1"/>
  <c r="EO317" i="1"/>
  <c r="EO316" i="1"/>
  <c r="EO254" i="1"/>
  <c r="EO279" i="1"/>
  <c r="EO241" i="1"/>
  <c r="EO278" i="1"/>
  <c r="EO268" i="1"/>
  <c r="EO217" i="1"/>
  <c r="EO187" i="1"/>
  <c r="EO204" i="1"/>
  <c r="EO192" i="1"/>
  <c r="EO220" i="1"/>
  <c r="EO281" i="1"/>
  <c r="EO294" i="1"/>
  <c r="EO270" i="1"/>
  <c r="EO298" i="1"/>
  <c r="EO230" i="1"/>
  <c r="EO175" i="1"/>
  <c r="EO237" i="1"/>
  <c r="EO261" i="1"/>
  <c r="EO195" i="1"/>
  <c r="EO238" i="1"/>
  <c r="EO259" i="1"/>
  <c r="EO292" i="1"/>
  <c r="EO253" i="1"/>
  <c r="EO264" i="1"/>
  <c r="EO283" i="1"/>
  <c r="EO216" i="1"/>
  <c r="EO272" i="1"/>
  <c r="EO258" i="1"/>
  <c r="EO255" i="1"/>
  <c r="EO257" i="1"/>
  <c r="EO202" i="1"/>
  <c r="EO231" i="1"/>
  <c r="EO248" i="1"/>
  <c r="EO200" i="1"/>
  <c r="EO271" i="1"/>
  <c r="EO293" i="1"/>
  <c r="EO295" i="1"/>
  <c r="EO280" i="1"/>
  <c r="EO221" i="1"/>
  <c r="EO226" i="1"/>
  <c r="EO290" i="1"/>
  <c r="EO266" i="1"/>
  <c r="EO276" i="1"/>
  <c r="EO197" i="1"/>
  <c r="EO232" i="1"/>
  <c r="EO275" i="1"/>
  <c r="EO274" i="1"/>
  <c r="EO273" i="1"/>
  <c r="EO218" i="1"/>
  <c r="EO198" i="1"/>
  <c r="EO193" i="1"/>
  <c r="EO250" i="1"/>
  <c r="EO249" i="1"/>
  <c r="EO212" i="1"/>
  <c r="EO199" i="1"/>
  <c r="EO225" i="1"/>
  <c r="EO244" i="1"/>
  <c r="EO300" i="1"/>
  <c r="EO269" i="1"/>
  <c r="EO236" i="1"/>
  <c r="EO243" i="1"/>
  <c r="EO297" i="1"/>
  <c r="EO208" i="1"/>
  <c r="EO285" i="1"/>
  <c r="EO205" i="1"/>
  <c r="EO219" i="1"/>
  <c r="EO210" i="1"/>
  <c r="EO228" i="1"/>
  <c r="EO287" i="1"/>
  <c r="EO262" i="1"/>
  <c r="EO189" i="1"/>
  <c r="EO303" i="1"/>
  <c r="EO196" i="1"/>
  <c r="EO282" i="1"/>
  <c r="EO213" i="1"/>
  <c r="EO209" i="1"/>
  <c r="EO284" i="1"/>
  <c r="EO291" i="1"/>
  <c r="EO265" i="1"/>
  <c r="EO302" i="1"/>
  <c r="EO299" i="1"/>
  <c r="EO227" i="1"/>
  <c r="EO301" i="1"/>
  <c r="EO194" i="1"/>
  <c r="EO203" i="1"/>
  <c r="EO288" i="1"/>
  <c r="EO234" i="1"/>
  <c r="EO242" i="1"/>
  <c r="EO247" i="1"/>
  <c r="EO229" i="1"/>
  <c r="EO190" i="1"/>
  <c r="EO240" i="1"/>
  <c r="EO224" i="1"/>
  <c r="EO188" i="1"/>
  <c r="EO207" i="1"/>
  <c r="EO239" i="1"/>
  <c r="EO296" i="1"/>
  <c r="EO191" i="1"/>
  <c r="EO223" i="1"/>
  <c r="EO256" i="1"/>
  <c r="EO233" i="1"/>
  <c r="EO211" i="1"/>
  <c r="EO267" i="1"/>
  <c r="EO251" i="1"/>
  <c r="EO235" i="1"/>
  <c r="EO252" i="1"/>
  <c r="EO182" i="1"/>
  <c r="EO183" i="1"/>
  <c r="EO184" i="1"/>
  <c r="EO186" i="1"/>
  <c r="EO185" i="1"/>
  <c r="EO169" i="1"/>
  <c r="EO180" i="1"/>
  <c r="EO174" i="1"/>
  <c r="EO170" i="1"/>
  <c r="EO179" i="1"/>
  <c r="EO164" i="1"/>
  <c r="EO168" i="1"/>
  <c r="EO172" i="1"/>
  <c r="EO167" i="1"/>
  <c r="EO177" i="1"/>
  <c r="EO181" i="1"/>
  <c r="EO176" i="1"/>
  <c r="EO165" i="1"/>
  <c r="EO166" i="1"/>
  <c r="EO173" i="1"/>
  <c r="EO171" i="1"/>
  <c r="EO78" i="1"/>
  <c r="EO77" i="1"/>
  <c r="EO76" i="1"/>
  <c r="EO74" i="1"/>
  <c r="EO75" i="1"/>
  <c r="EO73" i="1"/>
  <c r="EO37" i="1"/>
  <c r="EO29" i="1"/>
  <c r="EO31" i="1"/>
  <c r="EO32" i="1"/>
  <c r="EO24" i="1"/>
  <c r="EO27" i="1"/>
  <c r="EO26" i="1"/>
  <c r="EO39" i="1"/>
  <c r="EO34" i="1"/>
  <c r="EO33" i="1"/>
  <c r="EO36" i="1"/>
  <c r="EO30" i="1"/>
  <c r="EO35" i="1"/>
  <c r="EO28" i="1"/>
  <c r="EO25" i="1"/>
  <c r="EO22" i="1"/>
  <c r="EO23" i="1"/>
  <c r="EB222" i="1"/>
  <c r="EB278" i="1"/>
  <c r="EB204" i="1"/>
  <c r="EB294" i="1"/>
  <c r="EB201" i="1"/>
  <c r="EB230" i="1"/>
  <c r="EB261" i="1"/>
  <c r="EB195" i="1"/>
  <c r="EB292" i="1"/>
  <c r="EB253" i="1"/>
  <c r="EB216" i="1"/>
  <c r="EB272" i="1"/>
  <c r="EB277" i="1"/>
  <c r="EB257" i="1"/>
  <c r="EB248" i="1"/>
  <c r="EB200" i="1"/>
  <c r="EB295" i="1"/>
  <c r="EB280" i="1"/>
  <c r="EB290" i="1"/>
  <c r="EB266" i="1"/>
  <c r="EB215" i="1"/>
  <c r="EB232" i="1"/>
  <c r="EB273" i="1"/>
  <c r="EB218" i="1"/>
  <c r="EB250" i="1"/>
  <c r="EB249" i="1"/>
  <c r="EB225" i="1"/>
  <c r="EB244" i="1"/>
  <c r="EB214" i="1"/>
  <c r="EB236" i="1"/>
  <c r="EB208" i="1"/>
  <c r="EB285" i="1"/>
  <c r="EB210" i="1"/>
  <c r="EB228" i="1"/>
  <c r="EB189" i="1"/>
  <c r="EB303" i="1"/>
  <c r="EB245" i="1"/>
  <c r="EB213" i="1"/>
  <c r="EB284" i="1"/>
  <c r="EB291" i="1"/>
  <c r="EB299" i="1"/>
  <c r="EB227" i="1"/>
  <c r="EB203" i="1"/>
  <c r="EB288" i="1"/>
  <c r="EB246" i="1"/>
  <c r="EB247" i="1"/>
  <c r="EB240" i="1"/>
  <c r="EB224" i="1"/>
  <c r="EB239" i="1"/>
  <c r="EB296" i="1"/>
  <c r="EB256" i="1"/>
  <c r="EB233" i="1"/>
  <c r="EB251" i="1"/>
  <c r="EB182" i="1"/>
  <c r="EB186" i="1"/>
  <c r="EB185" i="1"/>
  <c r="EB174" i="1"/>
  <c r="EB170" i="1"/>
  <c r="EB178" i="1"/>
  <c r="EB168" i="1"/>
  <c r="EB177" i="1"/>
  <c r="EB181" i="1"/>
  <c r="EB166" i="1"/>
  <c r="EB173" i="1"/>
  <c r="EB77" i="1"/>
  <c r="EB76" i="1"/>
  <c r="EB72" i="1"/>
  <c r="EB73" i="1"/>
  <c r="EB31" i="1"/>
  <c r="EB32" i="1"/>
  <c r="EB26" i="1"/>
  <c r="EB39" i="1"/>
  <c r="EB36" i="1"/>
  <c r="EB38" i="1"/>
  <c r="DO318" i="1"/>
  <c r="DO317" i="1"/>
  <c r="DO217" i="1"/>
  <c r="DO238" i="1"/>
  <c r="DO258" i="1"/>
  <c r="DO271" i="1"/>
  <c r="DO276" i="1"/>
  <c r="DO198" i="1"/>
  <c r="DO300" i="1"/>
  <c r="DO205" i="1"/>
  <c r="DO303" i="1"/>
  <c r="DO209" i="1"/>
  <c r="DO299" i="1"/>
  <c r="DO288" i="1"/>
  <c r="DO229" i="1"/>
  <c r="DO239" i="1"/>
  <c r="DO233" i="1"/>
  <c r="DO235" i="1"/>
  <c r="DO186" i="1"/>
  <c r="DO170" i="1"/>
  <c r="DO172" i="1"/>
  <c r="DO176" i="1"/>
  <c r="DO171" i="1"/>
  <c r="DO74" i="1"/>
  <c r="DO37" i="1"/>
  <c r="DO24" i="1"/>
  <c r="DO34" i="1"/>
  <c r="DO35" i="1"/>
  <c r="DO22" i="1"/>
  <c r="DB316" i="1"/>
  <c r="DB317" i="1"/>
  <c r="DB279" i="1"/>
  <c r="DB241" i="1"/>
  <c r="DB217" i="1"/>
  <c r="DB187" i="1"/>
  <c r="DB220" i="1"/>
  <c r="DB281" i="1"/>
  <c r="DB298" i="1"/>
  <c r="DB175" i="1"/>
  <c r="DB237" i="1"/>
  <c r="DB238" i="1"/>
  <c r="DB259" i="1"/>
  <c r="DB264" i="1"/>
  <c r="DB283" i="1"/>
  <c r="DB258" i="1"/>
  <c r="DB255" i="1"/>
  <c r="DB257" i="1"/>
  <c r="DB202" i="1"/>
  <c r="DB231" i="1"/>
  <c r="DB200" i="1"/>
  <c r="DB271" i="1"/>
  <c r="DB293" i="1"/>
  <c r="DB280" i="1"/>
  <c r="DB221" i="1"/>
  <c r="DB226" i="1"/>
  <c r="DB266" i="1"/>
  <c r="DB276" i="1"/>
  <c r="DB197" i="1"/>
  <c r="DB232" i="1"/>
  <c r="DB275" i="1"/>
  <c r="DB274" i="1"/>
  <c r="DB218" i="1"/>
  <c r="DB198" i="1"/>
  <c r="DB193" i="1"/>
  <c r="DB249" i="1"/>
  <c r="DB212" i="1"/>
  <c r="DB199" i="1"/>
  <c r="DB244" i="1"/>
  <c r="DB300" i="1"/>
  <c r="DB269" i="1"/>
  <c r="DB236" i="1"/>
  <c r="DB243" i="1"/>
  <c r="DB297" i="1"/>
  <c r="DB285" i="1"/>
  <c r="DB205" i="1"/>
  <c r="DB219" i="1"/>
  <c r="DB228" i="1"/>
  <c r="DB287" i="1"/>
  <c r="DB262" i="1"/>
  <c r="DB303" i="1"/>
  <c r="DB196" i="1"/>
  <c r="DB282" i="1"/>
  <c r="DB213" i="1"/>
  <c r="DB209" i="1"/>
  <c r="DB291" i="1"/>
  <c r="DB265" i="1"/>
  <c r="DB302" i="1"/>
  <c r="DB227" i="1"/>
  <c r="DB301" i="1"/>
  <c r="DB194" i="1"/>
  <c r="DB288" i="1"/>
  <c r="DB234" i="1"/>
  <c r="DB242" i="1"/>
  <c r="DB247" i="1"/>
  <c r="DB229" i="1"/>
  <c r="DB190" i="1"/>
  <c r="DB224" i="1"/>
  <c r="DB188" i="1"/>
  <c r="DB207" i="1"/>
  <c r="DB296" i="1"/>
  <c r="DB191" i="1"/>
  <c r="DB223" i="1"/>
  <c r="DB233" i="1"/>
  <c r="DB211" i="1"/>
  <c r="DB267" i="1"/>
  <c r="DB251" i="1"/>
  <c r="DB235" i="1"/>
  <c r="DB252" i="1"/>
  <c r="DB182" i="1"/>
  <c r="DB183" i="1"/>
  <c r="DB184" i="1"/>
  <c r="DB185" i="1"/>
  <c r="DB169" i="1"/>
  <c r="DB180" i="1"/>
  <c r="DB170" i="1"/>
  <c r="DB179" i="1"/>
  <c r="DB164" i="1"/>
  <c r="DB168" i="1"/>
  <c r="DB172" i="1"/>
  <c r="DB167" i="1"/>
  <c r="DB181" i="1"/>
  <c r="DB176" i="1"/>
  <c r="DB165" i="1"/>
  <c r="DB173" i="1"/>
  <c r="DB171" i="1"/>
  <c r="DB78" i="1"/>
  <c r="DB76" i="1"/>
  <c r="DB74" i="1"/>
  <c r="DB75" i="1"/>
  <c r="DB73" i="1"/>
  <c r="DB37" i="1"/>
  <c r="DB29" i="1"/>
  <c r="DB32" i="1"/>
  <c r="DB24" i="1"/>
  <c r="DB27" i="1"/>
  <c r="DB39" i="1"/>
  <c r="DB34" i="1"/>
  <c r="DB33" i="1"/>
  <c r="DB30" i="1"/>
  <c r="DB35" i="1"/>
  <c r="DB28" i="1"/>
  <c r="DB25" i="1"/>
  <c r="DB22" i="1"/>
  <c r="DB23" i="1"/>
  <c r="CO318" i="1"/>
  <c r="CO317" i="1"/>
  <c r="CO316" i="1"/>
  <c r="CO206" i="1"/>
  <c r="CO254" i="1"/>
  <c r="CO279" i="1"/>
  <c r="CO241" i="1"/>
  <c r="CO278" i="1"/>
  <c r="CO268" i="1"/>
  <c r="CO217" i="1"/>
  <c r="CO187" i="1"/>
  <c r="CO204" i="1"/>
  <c r="CO192" i="1"/>
  <c r="CO220" i="1"/>
  <c r="CO281" i="1"/>
  <c r="CO294" i="1"/>
  <c r="CO270" i="1"/>
  <c r="CO298" i="1"/>
  <c r="CO201" i="1"/>
  <c r="CO230" i="1"/>
  <c r="CO175" i="1"/>
  <c r="CO237" i="1"/>
  <c r="CO261" i="1"/>
  <c r="CO195" i="1"/>
  <c r="CO238" i="1"/>
  <c r="CO259" i="1"/>
  <c r="CO292" i="1"/>
  <c r="CO253" i="1"/>
  <c r="CO264" i="1"/>
  <c r="CO283" i="1"/>
  <c r="CO216" i="1"/>
  <c r="CO272" i="1"/>
  <c r="CO258" i="1"/>
  <c r="CO255" i="1"/>
  <c r="CO277" i="1"/>
  <c r="CO257" i="1"/>
  <c r="CO202" i="1"/>
  <c r="CO231" i="1"/>
  <c r="CO248" i="1"/>
  <c r="CO200" i="1"/>
  <c r="CO271" i="1"/>
  <c r="CO293" i="1"/>
  <c r="CO295" i="1"/>
  <c r="CO280" i="1"/>
  <c r="CO221" i="1"/>
  <c r="CO226" i="1"/>
  <c r="CO290" i="1"/>
  <c r="CO266" i="1"/>
  <c r="CO276" i="1"/>
  <c r="CO197" i="1"/>
  <c r="CO215" i="1"/>
  <c r="CO232" i="1"/>
  <c r="CO275" i="1"/>
  <c r="CO274" i="1"/>
  <c r="CO273" i="1"/>
  <c r="CO218" i="1"/>
  <c r="CO198" i="1"/>
  <c r="CO193" i="1"/>
  <c r="CO250" i="1"/>
  <c r="CO249" i="1"/>
  <c r="CO212" i="1"/>
  <c r="CO199" i="1"/>
  <c r="CO225" i="1"/>
  <c r="CO244" i="1"/>
  <c r="CO300" i="1"/>
  <c r="CO269" i="1"/>
  <c r="CO214" i="1"/>
  <c r="CO236" i="1"/>
  <c r="CO243" i="1"/>
  <c r="CO297" i="1"/>
  <c r="CO208" i="1"/>
  <c r="CO285" i="1"/>
  <c r="CO205" i="1"/>
  <c r="CO219" i="1"/>
  <c r="CO210" i="1"/>
  <c r="CO228" i="1"/>
  <c r="CO287" i="1"/>
  <c r="CO262" i="1"/>
  <c r="CO189" i="1"/>
  <c r="CO303" i="1"/>
  <c r="CO196" i="1"/>
  <c r="CO282" i="1"/>
  <c r="CO245" i="1"/>
  <c r="CO213" i="1"/>
  <c r="CO209" i="1"/>
  <c r="CO284" i="1"/>
  <c r="CO291" i="1"/>
  <c r="CO265" i="1"/>
  <c r="CO302" i="1"/>
  <c r="CO299" i="1"/>
  <c r="CO227" i="1"/>
  <c r="CO301" i="1"/>
  <c r="CO194" i="1"/>
  <c r="CO203" i="1"/>
  <c r="CO288" i="1"/>
  <c r="CO234" i="1"/>
  <c r="CO242" i="1"/>
  <c r="CO246" i="1"/>
  <c r="CO247" i="1"/>
  <c r="CO229" i="1"/>
  <c r="CO190" i="1"/>
  <c r="CO240" i="1"/>
  <c r="CO224" i="1"/>
  <c r="CO188" i="1"/>
  <c r="CO207" i="1"/>
  <c r="CO239" i="1"/>
  <c r="CO296" i="1"/>
  <c r="CO191" i="1"/>
  <c r="CO223" i="1"/>
  <c r="CO256" i="1"/>
  <c r="CO233" i="1"/>
  <c r="CO211" i="1"/>
  <c r="CO267" i="1"/>
  <c r="CO222" i="1"/>
  <c r="CO251" i="1"/>
  <c r="CO235" i="1"/>
  <c r="CO252" i="1"/>
  <c r="CO182" i="1"/>
  <c r="CO183" i="1"/>
  <c r="CO184" i="1"/>
  <c r="CO186" i="1"/>
  <c r="CO185" i="1"/>
  <c r="CO169" i="1"/>
  <c r="CO180" i="1"/>
  <c r="CO174" i="1"/>
  <c r="CO170" i="1"/>
  <c r="CO179" i="1"/>
  <c r="CO164" i="1"/>
  <c r="CO178" i="1"/>
  <c r="CO168" i="1"/>
  <c r="CO172" i="1"/>
  <c r="CO167" i="1"/>
  <c r="CO177" i="1"/>
  <c r="CO181" i="1"/>
  <c r="CO176" i="1"/>
  <c r="CO165" i="1"/>
  <c r="CO166" i="1"/>
  <c r="CO173" i="1"/>
  <c r="CO171" i="1"/>
  <c r="CO78" i="1"/>
  <c r="CO77" i="1"/>
  <c r="CO76" i="1"/>
  <c r="CO74" i="1"/>
  <c r="CO75" i="1"/>
  <c r="CO72" i="1"/>
  <c r="CO73" i="1"/>
  <c r="CO37" i="1"/>
  <c r="CO29" i="1"/>
  <c r="CO31" i="1"/>
  <c r="CO32" i="1"/>
  <c r="CO24" i="1"/>
  <c r="CO27" i="1"/>
  <c r="CO26" i="1"/>
  <c r="CO39" i="1"/>
  <c r="CO34" i="1"/>
  <c r="CO33" i="1"/>
  <c r="CO36" i="1"/>
  <c r="CO30" i="1"/>
  <c r="CO35" i="1"/>
  <c r="CO28" i="1"/>
  <c r="CO38" i="1"/>
  <c r="CO25" i="1"/>
  <c r="CO22" i="1"/>
  <c r="CO23" i="1"/>
  <c r="W319" i="1" l="1"/>
  <c r="G7" i="14"/>
  <c r="C7" i="14"/>
  <c r="B7" i="14"/>
  <c r="E7" i="14"/>
  <c r="F7" i="14"/>
  <c r="D7" i="14"/>
  <c r="G6" i="14"/>
  <c r="C6" i="14"/>
  <c r="F24" i="33"/>
  <c r="F11" i="33"/>
  <c r="F6" i="14"/>
  <c r="B6" i="14"/>
  <c r="F25" i="33"/>
  <c r="F12" i="33"/>
  <c r="E6" i="14"/>
  <c r="D6" i="14"/>
  <c r="F28" i="33"/>
  <c r="F15" i="33"/>
  <c r="F14" i="33"/>
  <c r="F27" i="33"/>
  <c r="DO25" i="1"/>
  <c r="DO30" i="1"/>
  <c r="DO39" i="1"/>
  <c r="EP39" i="1" s="1"/>
  <c r="DO32" i="1"/>
  <c r="EP32" i="1" s="1"/>
  <c r="DO73" i="1"/>
  <c r="EP73" i="1" s="1"/>
  <c r="DO76" i="1"/>
  <c r="EP76" i="1" s="1"/>
  <c r="DO173" i="1"/>
  <c r="EP173" i="1" s="1"/>
  <c r="DO181" i="1"/>
  <c r="EP181" i="1" s="1"/>
  <c r="DO168" i="1"/>
  <c r="EP168" i="1" s="1"/>
  <c r="DO174" i="1"/>
  <c r="DO183" i="1"/>
  <c r="DO251" i="1"/>
  <c r="EP251" i="1" s="1"/>
  <c r="DO256" i="1"/>
  <c r="DO188" i="1"/>
  <c r="DO247" i="1"/>
  <c r="EP247" i="1" s="1"/>
  <c r="DO203" i="1"/>
  <c r="DO265" i="1"/>
  <c r="DO213" i="1"/>
  <c r="EP213" i="1" s="1"/>
  <c r="DO189" i="1"/>
  <c r="DO285" i="1"/>
  <c r="EP285" i="1" s="1"/>
  <c r="DO244" i="1"/>
  <c r="EP244" i="1" s="1"/>
  <c r="DO218" i="1"/>
  <c r="EP218" i="1" s="1"/>
  <c r="DO266" i="1"/>
  <c r="EP266" i="1" s="1"/>
  <c r="DO200" i="1"/>
  <c r="EP200" i="1" s="1"/>
  <c r="DO272" i="1"/>
  <c r="DO195" i="1"/>
  <c r="DO270" i="1"/>
  <c r="DO268" i="1"/>
  <c r="DB38" i="1"/>
  <c r="DB36" i="1"/>
  <c r="DB26" i="1"/>
  <c r="DB31" i="1"/>
  <c r="DB72" i="1"/>
  <c r="DB77" i="1"/>
  <c r="DB166" i="1"/>
  <c r="DB177" i="1"/>
  <c r="DB178" i="1"/>
  <c r="DB174" i="1"/>
  <c r="DB186" i="1"/>
  <c r="EP186" i="1" s="1"/>
  <c r="DB222" i="1"/>
  <c r="DB256" i="1"/>
  <c r="DB239" i="1"/>
  <c r="EP239" i="1" s="1"/>
  <c r="DB240" i="1"/>
  <c r="DB246" i="1"/>
  <c r="DB203" i="1"/>
  <c r="DB299" i="1"/>
  <c r="EP299" i="1" s="1"/>
  <c r="DB284" i="1"/>
  <c r="DB245" i="1"/>
  <c r="DB189" i="1"/>
  <c r="DB210" i="1"/>
  <c r="DB208" i="1"/>
  <c r="DB214" i="1"/>
  <c r="DB225" i="1"/>
  <c r="DB250" i="1"/>
  <c r="DB273" i="1"/>
  <c r="DB215" i="1"/>
  <c r="DB290" i="1"/>
  <c r="DB295" i="1"/>
  <c r="DB248" i="1"/>
  <c r="DB277" i="1"/>
  <c r="DB272" i="1"/>
  <c r="DB216" i="1"/>
  <c r="DB253" i="1"/>
  <c r="DB292" i="1"/>
  <c r="DB195" i="1"/>
  <c r="DB261" i="1"/>
  <c r="DB230" i="1"/>
  <c r="DB201" i="1"/>
  <c r="DB270" i="1"/>
  <c r="DB294" i="1"/>
  <c r="DB192" i="1"/>
  <c r="DB204" i="1"/>
  <c r="DB268" i="1"/>
  <c r="DB278" i="1"/>
  <c r="DB254" i="1"/>
  <c r="DB206" i="1"/>
  <c r="DB318" i="1"/>
  <c r="DO23" i="1"/>
  <c r="DO38" i="1"/>
  <c r="DO28" i="1"/>
  <c r="DO36" i="1"/>
  <c r="DO33" i="1"/>
  <c r="DO26" i="1"/>
  <c r="DO27" i="1"/>
  <c r="DO31" i="1"/>
  <c r="DO29" i="1"/>
  <c r="DO72" i="1"/>
  <c r="DO75" i="1"/>
  <c r="DO77" i="1"/>
  <c r="DO78" i="1"/>
  <c r="DO166" i="1"/>
  <c r="DO165" i="1"/>
  <c r="DO177" i="1"/>
  <c r="DO167" i="1"/>
  <c r="DO178" i="1"/>
  <c r="DO179" i="1"/>
  <c r="DO169" i="1"/>
  <c r="DO185" i="1"/>
  <c r="EP185" i="1" s="1"/>
  <c r="DO182" i="1"/>
  <c r="EP182" i="1" s="1"/>
  <c r="DO222" i="1"/>
  <c r="DO211" i="1"/>
  <c r="DO191" i="1"/>
  <c r="DO296" i="1"/>
  <c r="EP296" i="1" s="1"/>
  <c r="DO224" i="1"/>
  <c r="EP224" i="1" s="1"/>
  <c r="DO240" i="1"/>
  <c r="DO246" i="1"/>
  <c r="DO234" i="1"/>
  <c r="DO301" i="1"/>
  <c r="DO227" i="1"/>
  <c r="EP227" i="1" s="1"/>
  <c r="DO291" i="1"/>
  <c r="EP291" i="1" s="1"/>
  <c r="DO284" i="1"/>
  <c r="DO245" i="1"/>
  <c r="DO196" i="1"/>
  <c r="DO287" i="1"/>
  <c r="DO228" i="1"/>
  <c r="EP228" i="1" s="1"/>
  <c r="DO243" i="1"/>
  <c r="DO236" i="1"/>
  <c r="EP236" i="1" s="1"/>
  <c r="DO212" i="1"/>
  <c r="DO249" i="1"/>
  <c r="EP249" i="1" s="1"/>
  <c r="DO275" i="1"/>
  <c r="DO232" i="1"/>
  <c r="EP232" i="1" s="1"/>
  <c r="DO221" i="1"/>
  <c r="DO280" i="1"/>
  <c r="EP280" i="1" s="1"/>
  <c r="DO202" i="1"/>
  <c r="DO257" i="1"/>
  <c r="EP257" i="1" s="1"/>
  <c r="DO264" i="1"/>
  <c r="DO253" i="1"/>
  <c r="DO175" i="1"/>
  <c r="DO230" i="1"/>
  <c r="DO220" i="1"/>
  <c r="DO192" i="1"/>
  <c r="DO279" i="1"/>
  <c r="DO254" i="1"/>
  <c r="DO164" i="1"/>
  <c r="DO180" i="1"/>
  <c r="DO184" i="1"/>
  <c r="DO252" i="1"/>
  <c r="DO267" i="1"/>
  <c r="DO223" i="1"/>
  <c r="DO207" i="1"/>
  <c r="DO190" i="1"/>
  <c r="DO242" i="1"/>
  <c r="DO194" i="1"/>
  <c r="DO302" i="1"/>
  <c r="DO282" i="1"/>
  <c r="DO262" i="1"/>
  <c r="DO210" i="1"/>
  <c r="DO219" i="1"/>
  <c r="DO208" i="1"/>
  <c r="DO297" i="1"/>
  <c r="DO214" i="1"/>
  <c r="DO269" i="1"/>
  <c r="DO225" i="1"/>
  <c r="DO199" i="1"/>
  <c r="DO250" i="1"/>
  <c r="DO193" i="1"/>
  <c r="DO273" i="1"/>
  <c r="DO274" i="1"/>
  <c r="DO215" i="1"/>
  <c r="DO197" i="1"/>
  <c r="DO290" i="1"/>
  <c r="DO226" i="1"/>
  <c r="DO295" i="1"/>
  <c r="DO293" i="1"/>
  <c r="DO248" i="1"/>
  <c r="DO231" i="1"/>
  <c r="DO277" i="1"/>
  <c r="DO255" i="1"/>
  <c r="DO216" i="1"/>
  <c r="DO283" i="1"/>
  <c r="DO292" i="1"/>
  <c r="DO259" i="1"/>
  <c r="DO261" i="1"/>
  <c r="DO237" i="1"/>
  <c r="DO201" i="1"/>
  <c r="DO298" i="1"/>
  <c r="DO294" i="1"/>
  <c r="DO281" i="1"/>
  <c r="DO204" i="1"/>
  <c r="DO187" i="1"/>
  <c r="DO278" i="1"/>
  <c r="DO241" i="1"/>
  <c r="DO206" i="1"/>
  <c r="DO316" i="1"/>
  <c r="EB23" i="1"/>
  <c r="EB22" i="1"/>
  <c r="EP22" i="1" s="1"/>
  <c r="EB25" i="1"/>
  <c r="EB28" i="1"/>
  <c r="EB35" i="1"/>
  <c r="EP35" i="1" s="1"/>
  <c r="EB30" i="1"/>
  <c r="EB33" i="1"/>
  <c r="EB34" i="1"/>
  <c r="EP34" i="1" s="1"/>
  <c r="EB27" i="1"/>
  <c r="EB24" i="1"/>
  <c r="EP24" i="1" s="1"/>
  <c r="EB29" i="1"/>
  <c r="EB37" i="1"/>
  <c r="EP37" i="1" s="1"/>
  <c r="EB75" i="1"/>
  <c r="EB74" i="1"/>
  <c r="EP74" i="1" s="1"/>
  <c r="EB78" i="1"/>
  <c r="EB171" i="1"/>
  <c r="EP171" i="1" s="1"/>
  <c r="EB165" i="1"/>
  <c r="EB176" i="1"/>
  <c r="EP176" i="1" s="1"/>
  <c r="EB167" i="1"/>
  <c r="EB172" i="1"/>
  <c r="EP172" i="1" s="1"/>
  <c r="EB164" i="1"/>
  <c r="EB179" i="1"/>
  <c r="EB180" i="1"/>
  <c r="EB169" i="1"/>
  <c r="EB184" i="1"/>
  <c r="EB183" i="1"/>
  <c r="EB252" i="1"/>
  <c r="EB235" i="1"/>
  <c r="EP235" i="1" s="1"/>
  <c r="EB267" i="1"/>
  <c r="EB211" i="1"/>
  <c r="EB223" i="1"/>
  <c r="EB191" i="1"/>
  <c r="EB207" i="1"/>
  <c r="EB188" i="1"/>
  <c r="EB190" i="1"/>
  <c r="EB229" i="1"/>
  <c r="EP229" i="1" s="1"/>
  <c r="EB242" i="1"/>
  <c r="EB234" i="1"/>
  <c r="EB194" i="1"/>
  <c r="EB301" i="1"/>
  <c r="EB302" i="1"/>
  <c r="EB265" i="1"/>
  <c r="EB209" i="1"/>
  <c r="EP209" i="1" s="1"/>
  <c r="EB282" i="1"/>
  <c r="EB196" i="1"/>
  <c r="EB262" i="1"/>
  <c r="EB287" i="1"/>
  <c r="EB219" i="1"/>
  <c r="EB205" i="1"/>
  <c r="EP205" i="1" s="1"/>
  <c r="EB297" i="1"/>
  <c r="EB243" i="1"/>
  <c r="EB269" i="1"/>
  <c r="EB300" i="1"/>
  <c r="EP300" i="1" s="1"/>
  <c r="EB199" i="1"/>
  <c r="EB212" i="1"/>
  <c r="EB193" i="1"/>
  <c r="EB198" i="1"/>
  <c r="EP198" i="1" s="1"/>
  <c r="EB274" i="1"/>
  <c r="EB275" i="1"/>
  <c r="EB197" i="1"/>
  <c r="EB276" i="1"/>
  <c r="EP276" i="1" s="1"/>
  <c r="EB226" i="1"/>
  <c r="EB221" i="1"/>
  <c r="EB293" i="1"/>
  <c r="EB271" i="1"/>
  <c r="EP271" i="1" s="1"/>
  <c r="EB231" i="1"/>
  <c r="EB202" i="1"/>
  <c r="EB255" i="1"/>
  <c r="EB258" i="1"/>
  <c r="EP258" i="1" s="1"/>
  <c r="EB283" i="1"/>
  <c r="EB264" i="1"/>
  <c r="EB259" i="1"/>
  <c r="EB238" i="1"/>
  <c r="EP238" i="1" s="1"/>
  <c r="EB237" i="1"/>
  <c r="EB175" i="1"/>
  <c r="EB298" i="1"/>
  <c r="EB281" i="1"/>
  <c r="EB220" i="1"/>
  <c r="EB187" i="1"/>
  <c r="EB217" i="1"/>
  <c r="EP217" i="1" s="1"/>
  <c r="EB241" i="1"/>
  <c r="EB254" i="1"/>
  <c r="EP170" i="1"/>
  <c r="EP233" i="1"/>
  <c r="EP288" i="1"/>
  <c r="EP303" i="1"/>
  <c r="EB270" i="1"/>
  <c r="EB192" i="1"/>
  <c r="EB268" i="1"/>
  <c r="EB318" i="1"/>
  <c r="EB279" i="1"/>
  <c r="EB206" i="1"/>
  <c r="EB316" i="1"/>
  <c r="EB317" i="1"/>
  <c r="EP317" i="1" s="1"/>
  <c r="D167" i="22" l="1"/>
  <c r="D25" i="22"/>
  <c r="EP265" i="1"/>
  <c r="EP234" i="1"/>
  <c r="EP242" i="1"/>
  <c r="EP267" i="1"/>
  <c r="EP164" i="1"/>
  <c r="EP36" i="1"/>
  <c r="EP179" i="1"/>
  <c r="EP248" i="1"/>
  <c r="EP273" i="1"/>
  <c r="EP208" i="1"/>
  <c r="EP77" i="1"/>
  <c r="EP284" i="1"/>
  <c r="EP177" i="1"/>
  <c r="EP31" i="1"/>
  <c r="EP203" i="1"/>
  <c r="EP174" i="1"/>
  <c r="EP254" i="1"/>
  <c r="EP212" i="1"/>
  <c r="EP187" i="1"/>
  <c r="EP298" i="1"/>
  <c r="EP255" i="1"/>
  <c r="EP197" i="1"/>
  <c r="EP269" i="1"/>
  <c r="EP219" i="1"/>
  <c r="EP230" i="1"/>
  <c r="EP240" i="1"/>
  <c r="EP253" i="1"/>
  <c r="EP165" i="1"/>
  <c r="EP178" i="1"/>
  <c r="EP318" i="1"/>
  <c r="EP252" i="1"/>
  <c r="EP23" i="1"/>
  <c r="EP75" i="1"/>
  <c r="EP27" i="1"/>
  <c r="EP246" i="1"/>
  <c r="EP38" i="1"/>
  <c r="EP25" i="1"/>
  <c r="EP211" i="1"/>
  <c r="EP192" i="1"/>
  <c r="EP293" i="1"/>
  <c r="EP190" i="1"/>
  <c r="EP180" i="1"/>
  <c r="EP167" i="1"/>
  <c r="EP78" i="1"/>
  <c r="EP29" i="1"/>
  <c r="EP33" i="1"/>
  <c r="EP302" i="1"/>
  <c r="EP207" i="1"/>
  <c r="EP184" i="1"/>
  <c r="EP290" i="1"/>
  <c r="EP316" i="1"/>
  <c r="EP196" i="1"/>
  <c r="EP28" i="1"/>
  <c r="EP241" i="1"/>
  <c r="EP281" i="1"/>
  <c r="EP237" i="1"/>
  <c r="EP283" i="1"/>
  <c r="EP231" i="1"/>
  <c r="EP226" i="1"/>
  <c r="EP274" i="1"/>
  <c r="EP199" i="1"/>
  <c r="EP297" i="1"/>
  <c r="EP262" i="1"/>
  <c r="EP194" i="1"/>
  <c r="EP223" i="1"/>
  <c r="EP204" i="1"/>
  <c r="EP201" i="1"/>
  <c r="EP292" i="1"/>
  <c r="EP277" i="1"/>
  <c r="EP215" i="1"/>
  <c r="EP214" i="1"/>
  <c r="EP202" i="1"/>
  <c r="EP245" i="1"/>
  <c r="EP222" i="1"/>
  <c r="EP169" i="1"/>
  <c r="EP272" i="1"/>
  <c r="EP225" i="1"/>
  <c r="EP256" i="1"/>
  <c r="EP195" i="1"/>
  <c r="EP30" i="1"/>
  <c r="EP206" i="1"/>
  <c r="EP270" i="1"/>
  <c r="EP220" i="1"/>
  <c r="EP264" i="1"/>
  <c r="EP221" i="1"/>
  <c r="EP287" i="1"/>
  <c r="EP191" i="1"/>
  <c r="EP278" i="1"/>
  <c r="EP294" i="1"/>
  <c r="EP261" i="1"/>
  <c r="EP216" i="1"/>
  <c r="EP166" i="1"/>
  <c r="EP26" i="1"/>
  <c r="EP189" i="1"/>
  <c r="EP183" i="1"/>
  <c r="EP268" i="1"/>
  <c r="EP188" i="1"/>
  <c r="EP72" i="1"/>
  <c r="EP282" i="1"/>
  <c r="EP279" i="1"/>
  <c r="EP175" i="1"/>
  <c r="EP275" i="1"/>
  <c r="EP243" i="1"/>
  <c r="EP301" i="1"/>
  <c r="EP295" i="1"/>
  <c r="EP259" i="1"/>
  <c r="EP193" i="1"/>
  <c r="EP250" i="1"/>
  <c r="EP210" i="1"/>
  <c r="CA123" i="1" l="1"/>
  <c r="G22" i="33" l="1"/>
  <c r="D22" i="33"/>
  <c r="G9" i="33"/>
  <c r="D9" i="33"/>
  <c r="E13" i="33" l="1"/>
  <c r="AF330" i="32"/>
  <c r="AC330" i="32"/>
  <c r="AB330" i="32"/>
  <c r="AA330" i="32"/>
  <c r="Z330" i="32"/>
  <c r="W330" i="32"/>
  <c r="V330" i="32"/>
  <c r="Q330" i="32"/>
  <c r="N330" i="32"/>
  <c r="M330" i="32"/>
  <c r="AH329" i="32"/>
  <c r="U329" i="32"/>
  <c r="AH328" i="32"/>
  <c r="U328" i="32"/>
  <c r="AH327" i="32"/>
  <c r="U327" i="32"/>
  <c r="AH326" i="32"/>
  <c r="U326" i="32"/>
  <c r="AH325" i="32"/>
  <c r="U325" i="32"/>
  <c r="AH324" i="32"/>
  <c r="U324" i="32"/>
  <c r="AH323" i="32"/>
  <c r="U323" i="32"/>
  <c r="AH322" i="32"/>
  <c r="U322" i="32"/>
  <c r="AH321" i="32"/>
  <c r="U321" i="32"/>
  <c r="AH320" i="32"/>
  <c r="U320" i="32"/>
  <c r="AH319" i="32"/>
  <c r="U319" i="32"/>
  <c r="Y318" i="32"/>
  <c r="Y330" i="32" s="1"/>
  <c r="U318" i="32"/>
  <c r="AH317" i="32"/>
  <c r="U317" i="32"/>
  <c r="AH316" i="32"/>
  <c r="U316" i="32"/>
  <c r="AH315" i="32"/>
  <c r="U315" i="32"/>
  <c r="AH314" i="32"/>
  <c r="U314" i="32"/>
  <c r="AH313" i="32"/>
  <c r="U313" i="32"/>
  <c r="AH312" i="32"/>
  <c r="U312" i="32"/>
  <c r="AH311" i="32"/>
  <c r="U311" i="32"/>
  <c r="AH310" i="32"/>
  <c r="U310" i="32"/>
  <c r="AH309" i="32"/>
  <c r="U309" i="32"/>
  <c r="AH308" i="32"/>
  <c r="U308" i="32"/>
  <c r="AH307" i="32"/>
  <c r="U307" i="32"/>
  <c r="AH306" i="32"/>
  <c r="U306" i="32"/>
  <c r="AH305" i="32"/>
  <c r="U305" i="32"/>
  <c r="AH304" i="32"/>
  <c r="U304" i="32"/>
  <c r="AH303" i="32"/>
  <c r="U303" i="32"/>
  <c r="AH302" i="32"/>
  <c r="U302" i="32"/>
  <c r="AH301" i="32"/>
  <c r="U301" i="32"/>
  <c r="AH300" i="32"/>
  <c r="U300" i="32"/>
  <c r="AH299" i="32"/>
  <c r="U299" i="32"/>
  <c r="AH298" i="32"/>
  <c r="U298" i="32"/>
  <c r="AH297" i="32"/>
  <c r="U297" i="32"/>
  <c r="AH296" i="32"/>
  <c r="U296" i="32"/>
  <c r="AH295" i="32"/>
  <c r="U295" i="32"/>
  <c r="AH294" i="32"/>
  <c r="U294" i="32"/>
  <c r="AH293" i="32"/>
  <c r="U293" i="32"/>
  <c r="AH292" i="32"/>
  <c r="U292" i="32"/>
  <c r="AH291" i="32"/>
  <c r="U291" i="32"/>
  <c r="AH290" i="32"/>
  <c r="U290" i="32"/>
  <c r="AH289" i="32"/>
  <c r="U289" i="32"/>
  <c r="AH288" i="32"/>
  <c r="U288" i="32"/>
  <c r="AH287" i="32"/>
  <c r="U287" i="32"/>
  <c r="AH286" i="32"/>
  <c r="U286" i="32"/>
  <c r="AH285" i="32"/>
  <c r="U285" i="32"/>
  <c r="AH284" i="32"/>
  <c r="U284" i="32"/>
  <c r="AH283" i="32"/>
  <c r="U283" i="32"/>
  <c r="AH282" i="32"/>
  <c r="U282" i="32"/>
  <c r="AH281" i="32"/>
  <c r="U281" i="32"/>
  <c r="AH280" i="32"/>
  <c r="U280" i="32"/>
  <c r="AH279" i="32"/>
  <c r="U279" i="32"/>
  <c r="AH278" i="32"/>
  <c r="U278" i="32"/>
  <c r="AH277" i="32"/>
  <c r="U277" i="32"/>
  <c r="AH276" i="32"/>
  <c r="U276" i="32"/>
  <c r="AH275" i="32"/>
  <c r="U275" i="32"/>
  <c r="AH274" i="32"/>
  <c r="U274" i="32"/>
  <c r="AH273" i="32"/>
  <c r="U273" i="32"/>
  <c r="AH272" i="32"/>
  <c r="U272" i="32"/>
  <c r="AH271" i="32"/>
  <c r="U271" i="32"/>
  <c r="AH270" i="32"/>
  <c r="U270" i="32"/>
  <c r="AH269" i="32"/>
  <c r="U269" i="32"/>
  <c r="AH268" i="32"/>
  <c r="U268" i="32"/>
  <c r="AH267" i="32"/>
  <c r="U267" i="32"/>
  <c r="AH266" i="32"/>
  <c r="U266" i="32"/>
  <c r="AH265" i="32"/>
  <c r="U265" i="32"/>
  <c r="AH264" i="32"/>
  <c r="U264" i="32"/>
  <c r="AH263" i="32"/>
  <c r="U263" i="32"/>
  <c r="AH262" i="32"/>
  <c r="U262" i="32"/>
  <c r="AH261" i="32"/>
  <c r="U261" i="32"/>
  <c r="AH260" i="32"/>
  <c r="U260" i="32"/>
  <c r="AH259" i="32"/>
  <c r="U259" i="32"/>
  <c r="AH258" i="32"/>
  <c r="U258" i="32"/>
  <c r="AH257" i="32"/>
  <c r="U257" i="32"/>
  <c r="AH256" i="32"/>
  <c r="U256" i="32"/>
  <c r="AH255" i="32"/>
  <c r="U255" i="32"/>
  <c r="AH254" i="32"/>
  <c r="U254" i="32"/>
  <c r="AH253" i="32"/>
  <c r="U253" i="32"/>
  <c r="AH252" i="32"/>
  <c r="U252" i="32"/>
  <c r="AH251" i="32"/>
  <c r="U251" i="32"/>
  <c r="AH250" i="32"/>
  <c r="U250" i="32"/>
  <c r="AH249" i="32"/>
  <c r="U249" i="32"/>
  <c r="AH248" i="32"/>
  <c r="U248" i="32"/>
  <c r="AH247" i="32"/>
  <c r="U247" i="32"/>
  <c r="AH246" i="32"/>
  <c r="U246" i="32"/>
  <c r="AH245" i="32"/>
  <c r="U245" i="32"/>
  <c r="AH244" i="32"/>
  <c r="U244" i="32"/>
  <c r="AH243" i="32"/>
  <c r="U243" i="32"/>
  <c r="AH242" i="32"/>
  <c r="U242" i="32"/>
  <c r="AH241" i="32"/>
  <c r="U241" i="32"/>
  <c r="AH240" i="32"/>
  <c r="U240" i="32"/>
  <c r="AH239" i="32"/>
  <c r="U239" i="32"/>
  <c r="AH238" i="32"/>
  <c r="U238" i="32"/>
  <c r="AH237" i="32"/>
  <c r="U237" i="32"/>
  <c r="AH236" i="32"/>
  <c r="U236" i="32"/>
  <c r="AH235" i="32"/>
  <c r="U235" i="32"/>
  <c r="AH234" i="32"/>
  <c r="U234" i="32"/>
  <c r="AH233" i="32"/>
  <c r="U233" i="32"/>
  <c r="AH232" i="32"/>
  <c r="U232" i="32"/>
  <c r="AH231" i="32"/>
  <c r="U231" i="32"/>
  <c r="AH230" i="32"/>
  <c r="U230" i="32"/>
  <c r="AH229" i="32"/>
  <c r="U229" i="32"/>
  <c r="AH228" i="32"/>
  <c r="U228" i="32"/>
  <c r="AH227" i="32"/>
  <c r="U227" i="32"/>
  <c r="AH226" i="32"/>
  <c r="U226" i="32"/>
  <c r="AH225" i="32"/>
  <c r="U225" i="32"/>
  <c r="AH224" i="32"/>
  <c r="U224" i="32"/>
  <c r="AH223" i="32"/>
  <c r="U223" i="32"/>
  <c r="AH222" i="32"/>
  <c r="U222" i="32"/>
  <c r="AH221" i="32"/>
  <c r="U221" i="32"/>
  <c r="AH220" i="32"/>
  <c r="U220" i="32"/>
  <c r="AH219" i="32"/>
  <c r="U219" i="32"/>
  <c r="AH218" i="32"/>
  <c r="U218" i="32"/>
  <c r="AH217" i="32"/>
  <c r="U217" i="32"/>
  <c r="AH216" i="32"/>
  <c r="U216" i="32"/>
  <c r="AH215" i="32"/>
  <c r="U215" i="32"/>
  <c r="AH214" i="32"/>
  <c r="U214" i="32"/>
  <c r="AH213" i="32"/>
  <c r="U213" i="32"/>
  <c r="AH212" i="32"/>
  <c r="U212" i="32"/>
  <c r="AH211" i="32"/>
  <c r="U211" i="32"/>
  <c r="AH210" i="32"/>
  <c r="U210" i="32"/>
  <c r="AH209" i="32"/>
  <c r="U209" i="32"/>
  <c r="AH208" i="32"/>
  <c r="U208" i="32"/>
  <c r="AH207" i="32"/>
  <c r="U207" i="32"/>
  <c r="AH206" i="32"/>
  <c r="U206" i="32"/>
  <c r="AH205" i="32"/>
  <c r="U205" i="32"/>
  <c r="AH204" i="32"/>
  <c r="U204" i="32"/>
  <c r="AH203" i="32"/>
  <c r="U203" i="32"/>
  <c r="AH202" i="32"/>
  <c r="U202" i="32"/>
  <c r="AH201" i="32"/>
  <c r="U201" i="32"/>
  <c r="AH200" i="32"/>
  <c r="U200" i="32"/>
  <c r="AH199" i="32"/>
  <c r="U199" i="32"/>
  <c r="AH198" i="32"/>
  <c r="U198" i="32"/>
  <c r="AH197" i="32"/>
  <c r="U197" i="32"/>
  <c r="AH196" i="32"/>
  <c r="U196" i="32"/>
  <c r="AH195" i="32"/>
  <c r="U195" i="32"/>
  <c r="AH194" i="32"/>
  <c r="U194" i="32"/>
  <c r="AH193" i="32"/>
  <c r="U193" i="32"/>
  <c r="AH192" i="32"/>
  <c r="U192" i="32"/>
  <c r="AH191" i="32"/>
  <c r="U191" i="32"/>
  <c r="AH190" i="32"/>
  <c r="U190" i="32"/>
  <c r="AH189" i="32"/>
  <c r="U189" i="32"/>
  <c r="AH188" i="32"/>
  <c r="U188" i="32"/>
  <c r="AH187" i="32"/>
  <c r="U187" i="32"/>
  <c r="AH186" i="32"/>
  <c r="U186" i="32"/>
  <c r="AH185" i="32"/>
  <c r="U185" i="32"/>
  <c r="AH184" i="32"/>
  <c r="U184" i="32"/>
  <c r="AH183" i="32"/>
  <c r="U183" i="32"/>
  <c r="AH182" i="32"/>
  <c r="U182" i="32"/>
  <c r="AH181" i="32"/>
  <c r="U181" i="32"/>
  <c r="AH180" i="32"/>
  <c r="U180" i="32"/>
  <c r="AH179" i="32"/>
  <c r="U179" i="32"/>
  <c r="AH178" i="32"/>
  <c r="U178" i="32"/>
  <c r="AH177" i="32"/>
  <c r="U177" i="32"/>
  <c r="AH176" i="32"/>
  <c r="U176" i="32"/>
  <c r="AH175" i="32"/>
  <c r="U175" i="32"/>
  <c r="AH174" i="32"/>
  <c r="U174" i="32"/>
  <c r="AH173" i="32"/>
  <c r="U173" i="32"/>
  <c r="AH172" i="32"/>
  <c r="U172" i="32"/>
  <c r="AH171" i="32"/>
  <c r="U171" i="32"/>
  <c r="AH170" i="32"/>
  <c r="U170" i="32"/>
  <c r="AH169" i="32"/>
  <c r="U169" i="32"/>
  <c r="AH168" i="32"/>
  <c r="U168" i="32"/>
  <c r="AH167" i="32"/>
  <c r="U167" i="32"/>
  <c r="AH166" i="32"/>
  <c r="U166" i="32"/>
  <c r="AH165" i="32"/>
  <c r="U165" i="32"/>
  <c r="AH164" i="32"/>
  <c r="U164" i="32"/>
  <c r="AH163" i="32"/>
  <c r="U163" i="32"/>
  <c r="AH162" i="32"/>
  <c r="U162" i="32"/>
  <c r="AH161" i="32"/>
  <c r="U161" i="32"/>
  <c r="AH160" i="32"/>
  <c r="U160" i="32"/>
  <c r="AH159" i="32"/>
  <c r="U159" i="32"/>
  <c r="AH158" i="32"/>
  <c r="U158" i="32"/>
  <c r="AH157" i="32"/>
  <c r="U157" i="32"/>
  <c r="AH156" i="32"/>
  <c r="U156" i="32"/>
  <c r="AH155" i="32"/>
  <c r="U155" i="32"/>
  <c r="AH154" i="32"/>
  <c r="U154" i="32"/>
  <c r="AH153" i="32"/>
  <c r="P153" i="32"/>
  <c r="P330" i="32" s="1"/>
  <c r="AH152" i="32"/>
  <c r="U152" i="32"/>
  <c r="AH151" i="32"/>
  <c r="U151" i="32"/>
  <c r="AH150" i="32"/>
  <c r="U150" i="32"/>
  <c r="AH149" i="32"/>
  <c r="U149" i="32"/>
  <c r="AH148" i="32"/>
  <c r="U148" i="32"/>
  <c r="AH147" i="32"/>
  <c r="U147" i="32"/>
  <c r="AH146" i="32"/>
  <c r="U146" i="32"/>
  <c r="AH145" i="32"/>
  <c r="S145" i="32"/>
  <c r="AH144" i="32"/>
  <c r="U144" i="32"/>
  <c r="AH143" i="32"/>
  <c r="U143" i="32"/>
  <c r="AH142" i="32"/>
  <c r="U142" i="32"/>
  <c r="AH141" i="32"/>
  <c r="U141" i="32"/>
  <c r="AH140" i="32"/>
  <c r="U140" i="32"/>
  <c r="AH139" i="32"/>
  <c r="U139" i="32"/>
  <c r="AH138" i="32"/>
  <c r="U138" i="32"/>
  <c r="AH137" i="32"/>
  <c r="T137" i="32"/>
  <c r="U137" i="32" s="1"/>
  <c r="AH136" i="32"/>
  <c r="U136" i="32"/>
  <c r="AH135" i="32"/>
  <c r="U135" i="32"/>
  <c r="AH134" i="32"/>
  <c r="U134" i="32"/>
  <c r="AH133" i="32"/>
  <c r="U133" i="32"/>
  <c r="AH132" i="32"/>
  <c r="O132" i="32"/>
  <c r="O330" i="32" s="1"/>
  <c r="AH131" i="32"/>
  <c r="U131" i="32"/>
  <c r="AH130" i="32"/>
  <c r="U130" i="32"/>
  <c r="AH129" i="32"/>
  <c r="U129" i="32"/>
  <c r="AH128" i="32"/>
  <c r="U128" i="32"/>
  <c r="AH127" i="32"/>
  <c r="U127" i="32"/>
  <c r="AH126" i="32"/>
  <c r="U126" i="32"/>
  <c r="AH125" i="32"/>
  <c r="U125" i="32"/>
  <c r="AH124" i="32"/>
  <c r="U124" i="32"/>
  <c r="AH123" i="32"/>
  <c r="U123" i="32"/>
  <c r="AH122" i="32"/>
  <c r="U122" i="32"/>
  <c r="AD121" i="32"/>
  <c r="AD330" i="32" s="1"/>
  <c r="U121" i="32"/>
  <c r="AH120" i="32"/>
  <c r="U120" i="32"/>
  <c r="AH119" i="32"/>
  <c r="U119" i="32"/>
  <c r="AH118" i="32"/>
  <c r="U118" i="32"/>
  <c r="AH117" i="32"/>
  <c r="U117" i="32"/>
  <c r="AH116" i="32"/>
  <c r="U116" i="32"/>
  <c r="AH115" i="32"/>
  <c r="U115" i="32"/>
  <c r="AH114" i="32"/>
  <c r="U114" i="32"/>
  <c r="AH113" i="32"/>
  <c r="U113" i="32"/>
  <c r="AH112" i="32"/>
  <c r="U112" i="32"/>
  <c r="AH111" i="32"/>
  <c r="U111" i="32"/>
  <c r="AH110" i="32"/>
  <c r="U110" i="32"/>
  <c r="AH109" i="32"/>
  <c r="U109" i="32"/>
  <c r="AH108" i="32"/>
  <c r="U108" i="32"/>
  <c r="AH107" i="32"/>
  <c r="U107" i="32"/>
  <c r="AH106" i="32"/>
  <c r="U106" i="32"/>
  <c r="AH105" i="32"/>
  <c r="U105" i="32"/>
  <c r="AH104" i="32"/>
  <c r="R104" i="32"/>
  <c r="R330" i="32" s="1"/>
  <c r="AH103" i="32"/>
  <c r="U103" i="32"/>
  <c r="AH102" i="32"/>
  <c r="U102" i="32"/>
  <c r="AH101" i="32"/>
  <c r="U101" i="32"/>
  <c r="AG100" i="32"/>
  <c r="AG330" i="32" s="1"/>
  <c r="T100" i="32"/>
  <c r="AH99" i="32"/>
  <c r="U99" i="32"/>
  <c r="AH98" i="32"/>
  <c r="U98" i="32"/>
  <c r="AH97" i="32"/>
  <c r="U97" i="32"/>
  <c r="AH96" i="32"/>
  <c r="U96" i="32"/>
  <c r="AH95" i="32"/>
  <c r="U95" i="32"/>
  <c r="AH94" i="32"/>
  <c r="U94" i="32"/>
  <c r="AE93" i="32"/>
  <c r="AE330" i="32" s="1"/>
  <c r="U93" i="32"/>
  <c r="AH92" i="32"/>
  <c r="U92" i="32"/>
  <c r="AH91" i="32"/>
  <c r="U91" i="32"/>
  <c r="AH90" i="32"/>
  <c r="U90" i="32"/>
  <c r="AH89" i="32"/>
  <c r="U89" i="32"/>
  <c r="AH88" i="32"/>
  <c r="U88" i="32"/>
  <c r="AH87" i="32"/>
  <c r="U87" i="32"/>
  <c r="AH86" i="32"/>
  <c r="U86" i="32"/>
  <c r="X85" i="32"/>
  <c r="X330" i="32" s="1"/>
  <c r="U85" i="32"/>
  <c r="AH84" i="32"/>
  <c r="U84" i="32"/>
  <c r="AH83" i="32"/>
  <c r="U83" i="32"/>
  <c r="AH82" i="32"/>
  <c r="U82" i="32"/>
  <c r="AH81" i="32"/>
  <c r="U81" i="32"/>
  <c r="AH80" i="32"/>
  <c r="U80" i="32"/>
  <c r="AH79" i="32"/>
  <c r="U79" i="32"/>
  <c r="AH78" i="32"/>
  <c r="U78" i="32"/>
  <c r="AH77" i="32"/>
  <c r="U77" i="32"/>
  <c r="AH76" i="32"/>
  <c r="U76" i="32"/>
  <c r="AH75" i="32"/>
  <c r="U75" i="32"/>
  <c r="AH74" i="32"/>
  <c r="U74" i="32"/>
  <c r="AH73" i="32"/>
  <c r="U73" i="32"/>
  <c r="AH72" i="32"/>
  <c r="U72" i="32"/>
  <c r="AH71" i="32"/>
  <c r="U71" i="32"/>
  <c r="AH70" i="32"/>
  <c r="U70" i="32"/>
  <c r="AH69" i="32"/>
  <c r="U69" i="32"/>
  <c r="AH68" i="32"/>
  <c r="U68" i="32"/>
  <c r="AH67" i="32"/>
  <c r="U67" i="32"/>
  <c r="AH66" i="32"/>
  <c r="U66" i="32"/>
  <c r="AH65" i="32"/>
  <c r="U65" i="32"/>
  <c r="AH64" i="32"/>
  <c r="U64" i="32"/>
  <c r="AH63" i="32"/>
  <c r="U63" i="32"/>
  <c r="AH62" i="32"/>
  <c r="U62" i="32"/>
  <c r="AH61" i="32"/>
  <c r="U61" i="32"/>
  <c r="AH60" i="32"/>
  <c r="U60" i="32"/>
  <c r="AH59" i="32"/>
  <c r="U59" i="32"/>
  <c r="AH58" i="32"/>
  <c r="U58" i="32"/>
  <c r="AH57" i="32"/>
  <c r="U57" i="32"/>
  <c r="AH56" i="32"/>
  <c r="U56" i="32"/>
  <c r="AH55" i="32"/>
  <c r="U55" i="32"/>
  <c r="AH54" i="32"/>
  <c r="U54" i="32"/>
  <c r="AH53" i="32"/>
  <c r="U53" i="32"/>
  <c r="AH52" i="32"/>
  <c r="U52" i="32"/>
  <c r="AH51" i="32"/>
  <c r="U51" i="32"/>
  <c r="AH50" i="32"/>
  <c r="U50" i="32"/>
  <c r="AH49" i="32"/>
  <c r="U49" i="32"/>
  <c r="AH48" i="32"/>
  <c r="U48" i="32"/>
  <c r="AH47" i="32"/>
  <c r="U47" i="32"/>
  <c r="AH46" i="32"/>
  <c r="U46" i="32"/>
  <c r="AH45" i="32"/>
  <c r="U45" i="32"/>
  <c r="AH44" i="32"/>
  <c r="U44" i="32"/>
  <c r="AH43" i="32"/>
  <c r="U43" i="32"/>
  <c r="AH42" i="32"/>
  <c r="U42" i="32"/>
  <c r="AH41" i="32"/>
  <c r="U41" i="32"/>
  <c r="AH40" i="32"/>
  <c r="U40" i="32"/>
  <c r="AH39" i="32"/>
  <c r="U39" i="32"/>
  <c r="AH38" i="32"/>
  <c r="U38" i="32"/>
  <c r="AH37" i="32"/>
  <c r="U37" i="32"/>
  <c r="AH36" i="32"/>
  <c r="U36" i="32"/>
  <c r="AH35" i="32"/>
  <c r="U35" i="32"/>
  <c r="AH34" i="32"/>
  <c r="U34" i="32"/>
  <c r="AH33" i="32"/>
  <c r="U33" i="32"/>
  <c r="AH32" i="32"/>
  <c r="U32" i="32"/>
  <c r="AH31" i="32"/>
  <c r="U31" i="32"/>
  <c r="AH30" i="32"/>
  <c r="U30" i="32"/>
  <c r="AH29" i="32"/>
  <c r="U29" i="32"/>
  <c r="AH28" i="32"/>
  <c r="U28" i="32"/>
  <c r="AH27" i="32"/>
  <c r="U27" i="32"/>
  <c r="AH26" i="32"/>
  <c r="U26" i="32"/>
  <c r="AH25" i="32"/>
  <c r="U25" i="32"/>
  <c r="AH24" i="32"/>
  <c r="U24" i="32"/>
  <c r="AH23" i="32"/>
  <c r="U23" i="32"/>
  <c r="AH22" i="32"/>
  <c r="U22" i="32"/>
  <c r="AH21" i="32"/>
  <c r="U21" i="32"/>
  <c r="AH20" i="32"/>
  <c r="U20" i="32"/>
  <c r="AH19" i="32"/>
  <c r="U19" i="32"/>
  <c r="AH18" i="32"/>
  <c r="U18" i="32"/>
  <c r="AH17" i="32"/>
  <c r="U17" i="32"/>
  <c r="AH16" i="32"/>
  <c r="U16" i="32"/>
  <c r="AH15" i="32"/>
  <c r="U15" i="32"/>
  <c r="AH14" i="32"/>
  <c r="U14" i="32"/>
  <c r="AH13" i="32"/>
  <c r="U13" i="32"/>
  <c r="AH12" i="32"/>
  <c r="U12" i="32"/>
  <c r="AH11" i="32"/>
  <c r="U11" i="32"/>
  <c r="AH10" i="32"/>
  <c r="U10" i="32"/>
  <c r="AH9" i="32"/>
  <c r="U9" i="32"/>
  <c r="AH8" i="32"/>
  <c r="U8" i="32"/>
  <c r="AH7" i="32"/>
  <c r="U7" i="32"/>
  <c r="AH85" i="32" l="1"/>
  <c r="T330" i="32"/>
  <c r="U100" i="32"/>
  <c r="AH93" i="32"/>
  <c r="AH100" i="32"/>
  <c r="U104" i="32"/>
  <c r="AH121" i="32"/>
  <c r="U153" i="32"/>
  <c r="AH318" i="32"/>
  <c r="S330" i="32"/>
  <c r="U145" i="32"/>
  <c r="U132" i="32"/>
  <c r="C20" i="31"/>
  <c r="D20" i="31"/>
  <c r="E20" i="31"/>
  <c r="F20" i="31"/>
  <c r="G20" i="31"/>
  <c r="H20" i="31"/>
  <c r="B20" i="31"/>
  <c r="AH330" i="32" l="1"/>
  <c r="U330" i="32"/>
  <c r="E26" i="33" l="1"/>
  <c r="CA131" i="1" l="1"/>
  <c r="CA147" i="1"/>
  <c r="CA120" i="1"/>
  <c r="CA118" i="1"/>
  <c r="CA106" i="1"/>
  <c r="CA119" i="1"/>
  <c r="CA114" i="1"/>
  <c r="CA115" i="1"/>
  <c r="CA133" i="1"/>
  <c r="D17" i="33"/>
  <c r="D30" i="33"/>
  <c r="CA314" i="1" l="1"/>
  <c r="CA192" i="1" l="1"/>
  <c r="CA280" i="1"/>
  <c r="CA228" i="1"/>
  <c r="CA303" i="1"/>
  <c r="CA291" i="1"/>
  <c r="CA288" i="1"/>
  <c r="CA182" i="1"/>
  <c r="CA170" i="1"/>
  <c r="CA139" i="1"/>
  <c r="CA146" i="1"/>
  <c r="CA163" i="1"/>
  <c r="CA84" i="1"/>
  <c r="CA316" i="1"/>
  <c r="CA187" i="1"/>
  <c r="CA281" i="1"/>
  <c r="CA298" i="1"/>
  <c r="CA237" i="1"/>
  <c r="CA283" i="1"/>
  <c r="CA293" i="1"/>
  <c r="CA197" i="1"/>
  <c r="CA193" i="1"/>
  <c r="CA199" i="1"/>
  <c r="CA297" i="1"/>
  <c r="CA219" i="1"/>
  <c r="CA282" i="1"/>
  <c r="CA302" i="1"/>
  <c r="CA190" i="1"/>
  <c r="CA252" i="1"/>
  <c r="CA164" i="1"/>
  <c r="CA135" i="1"/>
  <c r="CA161" i="1"/>
  <c r="CA94" i="1"/>
  <c r="CA101" i="1"/>
  <c r="CA93" i="1"/>
  <c r="CA76" i="1"/>
  <c r="CA50" i="1"/>
  <c r="CA28" i="1"/>
  <c r="CA23" i="1"/>
  <c r="CA13" i="1"/>
  <c r="CA12" i="1"/>
  <c r="CA148" i="1"/>
  <c r="CA294" i="1"/>
  <c r="CA201" i="1"/>
  <c r="CA261" i="1"/>
  <c r="CA292" i="1"/>
  <c r="CA248" i="1"/>
  <c r="CA295" i="1"/>
  <c r="CA290" i="1"/>
  <c r="CA215" i="1"/>
  <c r="CA225" i="1"/>
  <c r="CA210" i="1"/>
  <c r="CA189" i="1"/>
  <c r="CA245" i="1"/>
  <c r="CA284" i="1"/>
  <c r="CA299" i="1"/>
  <c r="CA246" i="1"/>
  <c r="CA240" i="1"/>
  <c r="CA239" i="1"/>
  <c r="CA174" i="1"/>
  <c r="CA178" i="1"/>
  <c r="CA173" i="1"/>
  <c r="CA134" i="1"/>
  <c r="CA137" i="1"/>
  <c r="CA151" i="1"/>
  <c r="CA154" i="1"/>
  <c r="CA97" i="1"/>
  <c r="CA95" i="1"/>
  <c r="CA91" i="1"/>
  <c r="CA86" i="1"/>
  <c r="CA75" i="1"/>
  <c r="CA43" i="1"/>
  <c r="CA26" i="1"/>
  <c r="CA38" i="1"/>
  <c r="CA15" i="1"/>
  <c r="CA318" i="1"/>
  <c r="CA270" i="1"/>
  <c r="CA257" i="1"/>
  <c r="CA266" i="1"/>
  <c r="CA218" i="1"/>
  <c r="CA244" i="1"/>
  <c r="CA285" i="1"/>
  <c r="CA247" i="1"/>
  <c r="CA296" i="1"/>
  <c r="CA92" i="1"/>
  <c r="CA47" i="1"/>
  <c r="CA39" i="1"/>
  <c r="CA25" i="1"/>
  <c r="CA16" i="1"/>
  <c r="CA317" i="1"/>
  <c r="CA217" i="1"/>
  <c r="CA175" i="1"/>
  <c r="CA238" i="1"/>
  <c r="CA264" i="1"/>
  <c r="CA271" i="1"/>
  <c r="CA221" i="1"/>
  <c r="CA276" i="1"/>
  <c r="CA198" i="1"/>
  <c r="CA300" i="1"/>
  <c r="CA287" i="1"/>
  <c r="CA209" i="1"/>
  <c r="CA265" i="1"/>
  <c r="CA301" i="1"/>
  <c r="CA188" i="1"/>
  <c r="CA211" i="1"/>
  <c r="CA165" i="1"/>
  <c r="CA128" i="1"/>
  <c r="CA158" i="1"/>
  <c r="CA142" i="1"/>
  <c r="CA88" i="1"/>
  <c r="CA77" i="1"/>
  <c r="CA73" i="1"/>
  <c r="CA24" i="1"/>
  <c r="CA34" i="1"/>
  <c r="CA35" i="1"/>
  <c r="CA11" i="1"/>
  <c r="C16" i="33"/>
  <c r="E16" i="33" s="1"/>
  <c r="C12" i="33"/>
  <c r="E12" i="33" s="1"/>
  <c r="C15" i="33"/>
  <c r="E15" i="33" s="1"/>
  <c r="C14" i="33"/>
  <c r="E14" i="33" s="1"/>
  <c r="C29" i="33"/>
  <c r="E29" i="33" s="1"/>
  <c r="C28" i="33" l="1"/>
  <c r="E28" i="33" s="1"/>
  <c r="C25" i="33"/>
  <c r="E25" i="33" s="1"/>
  <c r="C27" i="33"/>
  <c r="E27" i="33" s="1"/>
  <c r="EO146" i="1"/>
  <c r="EB146" i="1"/>
  <c r="EB93" i="1"/>
  <c r="DO146" i="1"/>
  <c r="DB146" i="1"/>
  <c r="CO146" i="1"/>
  <c r="CO93" i="1"/>
  <c r="EP146" i="1" l="1"/>
  <c r="CA125" i="1" l="1"/>
  <c r="CA111" i="1" l="1"/>
  <c r="G27" i="33" l="1"/>
  <c r="H27" i="33" s="1"/>
  <c r="G28" i="33"/>
  <c r="H28" i="33" s="1"/>
  <c r="G14" i="33"/>
  <c r="H14" i="33" s="1"/>
  <c r="G15" i="33"/>
  <c r="H15" i="33" s="1"/>
  <c r="G29" i="33"/>
  <c r="H29" i="33" s="1"/>
  <c r="G16" i="33"/>
  <c r="H16" i="33" s="1"/>
  <c r="G25" i="33"/>
  <c r="H25" i="33" s="1"/>
  <c r="G12" i="33"/>
  <c r="H12" i="33" s="1"/>
  <c r="G26" i="33"/>
  <c r="H26" i="33" s="1"/>
  <c r="G13" i="33"/>
  <c r="H13" i="33" s="1"/>
  <c r="F17" i="33" l="1"/>
  <c r="G11" i="33"/>
  <c r="F30" i="33"/>
  <c r="G24" i="33"/>
  <c r="G30" i="33" l="1"/>
  <c r="G17" i="33"/>
  <c r="ES18" i="1" l="1"/>
  <c r="ES319" i="1" s="1"/>
  <c r="ET18" i="1"/>
  <c r="ET319" i="1" s="1"/>
  <c r="EU18" i="1"/>
  <c r="EU319" i="1" s="1"/>
  <c r="EV18" i="1"/>
  <c r="EV319" i="1" s="1"/>
  <c r="EQ18" i="1"/>
  <c r="EQ319" i="1" s="1"/>
  <c r="EQ323" i="1" s="1"/>
  <c r="ER18" i="1"/>
  <c r="ER319" i="1" s="1"/>
  <c r="EU323" i="1" l="1"/>
  <c r="ET323" i="1"/>
  <c r="EV323" i="1"/>
  <c r="EW323" i="1"/>
  <c r="ER323" i="1"/>
  <c r="ES323" i="1"/>
  <c r="U139" i="28"/>
  <c r="T139" i="28"/>
  <c r="S139" i="28"/>
  <c r="R139" i="28"/>
  <c r="Q139" i="28"/>
  <c r="P139" i="28"/>
  <c r="O139" i="28"/>
  <c r="N139" i="28"/>
  <c r="M139" i="28"/>
  <c r="L139" i="28"/>
  <c r="K139" i="28"/>
  <c r="J139" i="28"/>
  <c r="I139" i="28"/>
  <c r="H139" i="28"/>
  <c r="G139" i="28"/>
  <c r="F139" i="28"/>
  <c r="E139" i="28"/>
  <c r="D139" i="28"/>
  <c r="J2" i="28"/>
  <c r="U127" i="27"/>
  <c r="T127" i="27"/>
  <c r="S127" i="27"/>
  <c r="R127" i="27"/>
  <c r="Q127" i="27"/>
  <c r="P127" i="27"/>
  <c r="O127" i="27"/>
  <c r="N127" i="27"/>
  <c r="M127" i="27"/>
  <c r="L127" i="27"/>
  <c r="K127" i="27"/>
  <c r="J127" i="27"/>
  <c r="I127" i="27"/>
  <c r="H127" i="27"/>
  <c r="G127" i="27"/>
  <c r="F127" i="27"/>
  <c r="E127" i="27"/>
  <c r="D127" i="27"/>
  <c r="J2" i="27"/>
  <c r="EO12" i="1" l="1"/>
  <c r="EO11" i="1"/>
  <c r="EO13" i="1"/>
  <c r="EO16" i="1"/>
  <c r="EO9" i="1"/>
  <c r="EO10" i="1"/>
  <c r="EO14" i="1"/>
  <c r="EO17" i="1"/>
  <c r="EO18" i="1"/>
  <c r="EO40" i="1"/>
  <c r="EO43" i="1"/>
  <c r="EO47" i="1"/>
  <c r="EO50" i="1"/>
  <c r="EO42" i="1"/>
  <c r="EO41" i="1"/>
  <c r="EO44" i="1"/>
  <c r="EO48" i="1"/>
  <c r="EO49" i="1"/>
  <c r="EO51" i="1"/>
  <c r="EO45" i="1"/>
  <c r="EO52" i="1"/>
  <c r="EO53" i="1"/>
  <c r="EO54" i="1"/>
  <c r="EO55" i="1"/>
  <c r="EO56" i="1"/>
  <c r="EO57" i="1"/>
  <c r="EO63" i="1"/>
  <c r="EO66" i="1"/>
  <c r="EO67" i="1"/>
  <c r="EO68" i="1"/>
  <c r="EO69" i="1"/>
  <c r="EO70" i="1"/>
  <c r="EO71" i="1"/>
  <c r="EO79" i="1"/>
  <c r="EO80" i="1"/>
  <c r="EO86" i="1"/>
  <c r="EO81" i="1"/>
  <c r="EO88" i="1"/>
  <c r="EO92" i="1"/>
  <c r="EO91" i="1"/>
  <c r="EO94" i="1"/>
  <c r="EO93" i="1"/>
  <c r="EO95" i="1"/>
  <c r="EO97" i="1"/>
  <c r="EO101" i="1"/>
  <c r="EO96" i="1"/>
  <c r="EO89" i="1"/>
  <c r="EO98" i="1"/>
  <c r="EO99" i="1"/>
  <c r="EO100" i="1"/>
  <c r="EO102" i="1"/>
  <c r="EO111" i="1"/>
  <c r="EO125" i="1"/>
  <c r="EO134" i="1"/>
  <c r="EO148" i="1"/>
  <c r="EO151" i="1"/>
  <c r="EO158" i="1"/>
  <c r="EO142" i="1"/>
  <c r="EO139" i="1"/>
  <c r="EO152" i="1"/>
  <c r="EO133" i="1"/>
  <c r="EO141" i="1"/>
  <c r="EO154" i="1"/>
  <c r="EO161" i="1"/>
  <c r="EO163" i="1"/>
  <c r="EO145" i="1"/>
  <c r="EO116" i="1"/>
  <c r="EO117" i="1"/>
  <c r="EO127" i="1"/>
  <c r="EO129" i="1"/>
  <c r="EO132" i="1"/>
  <c r="EO136" i="1"/>
  <c r="EO138" i="1"/>
  <c r="EO140" i="1"/>
  <c r="EO150" i="1"/>
  <c r="EO153" i="1"/>
  <c r="EO156" i="1"/>
  <c r="EO157" i="1"/>
  <c r="EO159" i="1"/>
  <c r="EO306" i="1"/>
  <c r="EO305" i="1"/>
  <c r="EO311" i="1"/>
  <c r="EO315" i="1"/>
  <c r="EO312" i="1"/>
  <c r="EO307" i="1"/>
  <c r="EO309" i="1"/>
  <c r="EO304" i="1"/>
  <c r="EO308" i="1"/>
  <c r="EO310" i="1"/>
  <c r="EO313" i="1"/>
  <c r="EO20" i="1"/>
  <c r="EB12" i="1"/>
  <c r="EB11" i="1"/>
  <c r="EB13" i="1"/>
  <c r="EB16" i="1"/>
  <c r="EB9" i="1"/>
  <c r="EB10" i="1"/>
  <c r="EB14" i="1"/>
  <c r="EB17" i="1"/>
  <c r="EB18" i="1"/>
  <c r="EB40" i="1"/>
  <c r="EB43" i="1"/>
  <c r="EB47" i="1"/>
  <c r="EB50" i="1"/>
  <c r="EB42" i="1"/>
  <c r="EB41" i="1"/>
  <c r="EB44" i="1"/>
  <c r="EB48" i="1"/>
  <c r="EB49" i="1"/>
  <c r="EB51" i="1"/>
  <c r="EB45" i="1"/>
  <c r="EB52" i="1"/>
  <c r="EB53" i="1"/>
  <c r="EB54" i="1"/>
  <c r="EB55" i="1"/>
  <c r="EB56" i="1"/>
  <c r="EB57" i="1"/>
  <c r="EB63" i="1"/>
  <c r="EB66" i="1"/>
  <c r="EB67" i="1"/>
  <c r="EB68" i="1"/>
  <c r="EB69" i="1"/>
  <c r="EB70" i="1"/>
  <c r="EB71" i="1"/>
  <c r="EB79" i="1"/>
  <c r="EB80" i="1"/>
  <c r="EB86" i="1"/>
  <c r="EB81" i="1"/>
  <c r="EB88" i="1"/>
  <c r="EB92" i="1"/>
  <c r="EB91" i="1"/>
  <c r="EB94" i="1"/>
  <c r="EB95" i="1"/>
  <c r="EB97" i="1"/>
  <c r="EB101" i="1"/>
  <c r="EB96" i="1"/>
  <c r="EB89" i="1"/>
  <c r="EB98" i="1"/>
  <c r="EB99" i="1"/>
  <c r="EB100" i="1"/>
  <c r="EB102" i="1"/>
  <c r="EB111" i="1"/>
  <c r="EB125" i="1"/>
  <c r="EB134" i="1"/>
  <c r="EB148" i="1"/>
  <c r="EB151" i="1"/>
  <c r="EB158" i="1"/>
  <c r="EB142" i="1"/>
  <c r="EB139" i="1"/>
  <c r="EB152" i="1"/>
  <c r="EB133" i="1"/>
  <c r="EB141" i="1"/>
  <c r="EB154" i="1"/>
  <c r="EB161" i="1"/>
  <c r="EB163" i="1"/>
  <c r="EB145" i="1"/>
  <c r="EB116" i="1"/>
  <c r="EB117" i="1"/>
  <c r="EB127" i="1"/>
  <c r="EB129" i="1"/>
  <c r="EB132" i="1"/>
  <c r="EB136" i="1"/>
  <c r="EB138" i="1"/>
  <c r="EB140" i="1"/>
  <c r="EB150" i="1"/>
  <c r="EB153" i="1"/>
  <c r="EB156" i="1"/>
  <c r="EB157" i="1"/>
  <c r="EB159" i="1"/>
  <c r="EB306" i="1"/>
  <c r="EB305" i="1"/>
  <c r="EB311" i="1"/>
  <c r="EB315" i="1"/>
  <c r="EB312" i="1"/>
  <c r="EB307" i="1"/>
  <c r="EB309" i="1"/>
  <c r="EB304" i="1"/>
  <c r="EB308" i="1"/>
  <c r="EB310" i="1"/>
  <c r="EB313" i="1"/>
  <c r="EB20" i="1"/>
  <c r="DO12" i="1"/>
  <c r="DO11" i="1"/>
  <c r="DO13" i="1"/>
  <c r="DO16" i="1"/>
  <c r="DO9" i="1"/>
  <c r="DO10" i="1"/>
  <c r="DO14" i="1"/>
  <c r="DO17" i="1"/>
  <c r="DO18" i="1"/>
  <c r="DO40" i="1"/>
  <c r="DO43" i="1"/>
  <c r="DO47" i="1"/>
  <c r="DO50" i="1"/>
  <c r="DO42" i="1"/>
  <c r="DO41" i="1"/>
  <c r="DO44" i="1"/>
  <c r="DO48" i="1"/>
  <c r="DO49" i="1"/>
  <c r="DO51" i="1"/>
  <c r="DO45" i="1"/>
  <c r="DO52" i="1"/>
  <c r="DO53" i="1"/>
  <c r="DO54" i="1"/>
  <c r="DO55" i="1"/>
  <c r="DO56" i="1"/>
  <c r="DO57" i="1"/>
  <c r="DO63" i="1"/>
  <c r="DO66" i="1"/>
  <c r="DO67" i="1"/>
  <c r="DO68" i="1"/>
  <c r="DO69" i="1"/>
  <c r="DO70" i="1"/>
  <c r="DO71" i="1"/>
  <c r="DO79" i="1"/>
  <c r="DO80" i="1"/>
  <c r="DO86" i="1"/>
  <c r="DO81" i="1"/>
  <c r="DO88" i="1"/>
  <c r="DO92" i="1"/>
  <c r="DO91" i="1"/>
  <c r="DO94" i="1"/>
  <c r="DO93" i="1"/>
  <c r="DO95" i="1"/>
  <c r="DO97" i="1"/>
  <c r="DO101" i="1"/>
  <c r="DO96" i="1"/>
  <c r="DO89" i="1"/>
  <c r="DO98" i="1"/>
  <c r="DO99" i="1"/>
  <c r="DO100" i="1"/>
  <c r="DO102" i="1"/>
  <c r="DO111" i="1"/>
  <c r="DO125" i="1"/>
  <c r="DO134" i="1"/>
  <c r="DO148" i="1"/>
  <c r="DO151" i="1"/>
  <c r="DO158" i="1"/>
  <c r="DO142" i="1"/>
  <c r="DO139" i="1"/>
  <c r="DO152" i="1"/>
  <c r="DO133" i="1"/>
  <c r="DO141" i="1"/>
  <c r="DO154" i="1"/>
  <c r="DO161" i="1"/>
  <c r="DO163" i="1"/>
  <c r="DO145" i="1"/>
  <c r="DO116" i="1"/>
  <c r="DO117" i="1"/>
  <c r="DO127" i="1"/>
  <c r="DO129" i="1"/>
  <c r="DO132" i="1"/>
  <c r="DO136" i="1"/>
  <c r="DO138" i="1"/>
  <c r="DO140" i="1"/>
  <c r="DO150" i="1"/>
  <c r="DO153" i="1"/>
  <c r="DO156" i="1"/>
  <c r="DO157" i="1"/>
  <c r="DO159" i="1"/>
  <c r="DO306" i="1"/>
  <c r="DO305" i="1"/>
  <c r="DO311" i="1"/>
  <c r="DO315" i="1"/>
  <c r="DO312" i="1"/>
  <c r="DO307" i="1"/>
  <c r="DO309" i="1"/>
  <c r="DO304" i="1"/>
  <c r="DO308" i="1"/>
  <c r="DO310" i="1"/>
  <c r="DO313" i="1"/>
  <c r="DO20" i="1"/>
  <c r="DB12" i="1"/>
  <c r="DB11" i="1"/>
  <c r="DB13" i="1"/>
  <c r="DB16" i="1"/>
  <c r="DB9" i="1"/>
  <c r="DB10" i="1"/>
  <c r="DB14" i="1"/>
  <c r="DB17" i="1"/>
  <c r="DB18" i="1"/>
  <c r="DB40" i="1"/>
  <c r="DB43" i="1"/>
  <c r="DB47" i="1"/>
  <c r="DB50" i="1"/>
  <c r="DB42" i="1"/>
  <c r="DB41" i="1"/>
  <c r="DB44" i="1"/>
  <c r="DB48" i="1"/>
  <c r="DB49" i="1"/>
  <c r="DB51" i="1"/>
  <c r="DB52" i="1"/>
  <c r="DB53" i="1"/>
  <c r="DB54" i="1"/>
  <c r="DB55" i="1"/>
  <c r="DB56" i="1"/>
  <c r="DB57" i="1"/>
  <c r="DB60" i="1"/>
  <c r="DB63" i="1"/>
  <c r="DB66" i="1"/>
  <c r="DB67" i="1"/>
  <c r="DB68" i="1"/>
  <c r="DB69" i="1"/>
  <c r="DB70" i="1"/>
  <c r="DB71" i="1"/>
  <c r="DB79" i="1"/>
  <c r="DB80" i="1"/>
  <c r="DB86" i="1"/>
  <c r="DB81" i="1"/>
  <c r="DB88" i="1"/>
  <c r="DB92" i="1"/>
  <c r="DB91" i="1"/>
  <c r="DB94" i="1"/>
  <c r="DB93" i="1"/>
  <c r="DB95" i="1"/>
  <c r="DB97" i="1"/>
  <c r="DB101" i="1"/>
  <c r="DB96" i="1"/>
  <c r="DB89" i="1"/>
  <c r="DB98" i="1"/>
  <c r="DB99" i="1"/>
  <c r="DB100" i="1"/>
  <c r="DB102" i="1"/>
  <c r="DB111" i="1"/>
  <c r="DB125" i="1"/>
  <c r="DB134" i="1"/>
  <c r="DB148" i="1"/>
  <c r="DB151" i="1"/>
  <c r="DB158" i="1"/>
  <c r="DB142" i="1"/>
  <c r="DB139" i="1"/>
  <c r="DB152" i="1"/>
  <c r="DB133" i="1"/>
  <c r="DB141" i="1"/>
  <c r="DB154" i="1"/>
  <c r="DB161" i="1"/>
  <c r="DB163" i="1"/>
  <c r="DB145" i="1"/>
  <c r="DB116" i="1"/>
  <c r="DB117" i="1"/>
  <c r="DB127" i="1"/>
  <c r="DB129" i="1"/>
  <c r="DB132" i="1"/>
  <c r="DB136" i="1"/>
  <c r="DB138" i="1"/>
  <c r="DB140" i="1"/>
  <c r="DB150" i="1"/>
  <c r="DB153" i="1"/>
  <c r="DB156" i="1"/>
  <c r="DB157" i="1"/>
  <c r="DB159" i="1"/>
  <c r="DB306" i="1"/>
  <c r="DB305" i="1"/>
  <c r="DB311" i="1"/>
  <c r="DB315" i="1"/>
  <c r="DB312" i="1"/>
  <c r="DB307" i="1"/>
  <c r="DB309" i="1"/>
  <c r="DB304" i="1"/>
  <c r="DB308" i="1"/>
  <c r="DB310" i="1"/>
  <c r="DB313" i="1"/>
  <c r="DB20" i="1"/>
  <c r="CO12" i="1"/>
  <c r="CO11" i="1"/>
  <c r="CO13" i="1"/>
  <c r="CO16" i="1"/>
  <c r="CO9" i="1"/>
  <c r="CO10" i="1"/>
  <c r="CO14" i="1"/>
  <c r="CO17" i="1"/>
  <c r="CO18" i="1"/>
  <c r="CO40" i="1"/>
  <c r="CO43" i="1"/>
  <c r="CO47" i="1"/>
  <c r="CO50" i="1"/>
  <c r="CO42" i="1"/>
  <c r="CO41" i="1"/>
  <c r="CO44" i="1"/>
  <c r="CO48" i="1"/>
  <c r="CO49" i="1"/>
  <c r="CO51" i="1"/>
  <c r="CO45" i="1"/>
  <c r="CO52" i="1"/>
  <c r="CO53" i="1"/>
  <c r="CO54" i="1"/>
  <c r="CO55" i="1"/>
  <c r="CO56" i="1"/>
  <c r="CO57" i="1"/>
  <c r="CO63" i="1"/>
  <c r="CO66" i="1"/>
  <c r="CO67" i="1"/>
  <c r="CO68" i="1"/>
  <c r="CO69" i="1"/>
  <c r="CO70" i="1"/>
  <c r="CO71" i="1"/>
  <c r="CO79" i="1"/>
  <c r="CO80" i="1"/>
  <c r="CO81" i="1"/>
  <c r="CO92" i="1"/>
  <c r="CO91" i="1"/>
  <c r="CO94" i="1"/>
  <c r="CO95" i="1"/>
  <c r="CO97" i="1"/>
  <c r="CO101" i="1"/>
  <c r="CO96" i="1"/>
  <c r="CO89" i="1"/>
  <c r="CO98" i="1"/>
  <c r="CO99" i="1"/>
  <c r="CO100" i="1"/>
  <c r="CO102" i="1"/>
  <c r="CO111" i="1"/>
  <c r="CO125" i="1"/>
  <c r="CO134" i="1"/>
  <c r="CO148" i="1"/>
  <c r="CO151" i="1"/>
  <c r="CO158" i="1"/>
  <c r="CO142" i="1"/>
  <c r="CO139" i="1"/>
  <c r="CO152" i="1"/>
  <c r="CO133" i="1"/>
  <c r="CO141" i="1"/>
  <c r="CO154" i="1"/>
  <c r="CO161" i="1"/>
  <c r="CO145" i="1"/>
  <c r="CO116" i="1"/>
  <c r="CO117" i="1"/>
  <c r="CO127" i="1"/>
  <c r="CO129" i="1"/>
  <c r="CO132" i="1"/>
  <c r="CO136" i="1"/>
  <c r="CO138" i="1"/>
  <c r="CO140" i="1"/>
  <c r="CO150" i="1"/>
  <c r="CO153" i="1"/>
  <c r="CO156" i="1"/>
  <c r="CO157" i="1"/>
  <c r="CO159" i="1"/>
  <c r="CO306" i="1"/>
  <c r="CO305" i="1"/>
  <c r="CO311" i="1"/>
  <c r="CO315" i="1"/>
  <c r="CO312" i="1"/>
  <c r="CO307" i="1"/>
  <c r="CO309" i="1"/>
  <c r="CO304" i="1"/>
  <c r="CO308" i="1"/>
  <c r="CO310" i="1"/>
  <c r="CO313" i="1"/>
  <c r="CO20" i="1"/>
  <c r="BT319" i="1"/>
  <c r="BG319" i="1"/>
  <c r="AT319" i="1"/>
  <c r="AG319" i="1"/>
  <c r="EP47" i="1" l="1"/>
  <c r="T319" i="1"/>
  <c r="D127" i="22"/>
  <c r="D42" i="22"/>
  <c r="FE18" i="1"/>
  <c r="FE319" i="1" s="1"/>
  <c r="EP93" i="1"/>
  <c r="EP304" i="1"/>
  <c r="EP315" i="1"/>
  <c r="EP153" i="1"/>
  <c r="EP138" i="1"/>
  <c r="EP129" i="1"/>
  <c r="EP161" i="1"/>
  <c r="EP139" i="1"/>
  <c r="EP158" i="1"/>
  <c r="EP102" i="1"/>
  <c r="EP89" i="1"/>
  <c r="EP57" i="1"/>
  <c r="EP45" i="1"/>
  <c r="EP44" i="1"/>
  <c r="EP17" i="1"/>
  <c r="EP16" i="1"/>
  <c r="EP20" i="1"/>
  <c r="EP313" i="1"/>
  <c r="EP309" i="1"/>
  <c r="EP311" i="1"/>
  <c r="EP159" i="1"/>
  <c r="EP150" i="1"/>
  <c r="EP136" i="1"/>
  <c r="EP127" i="1"/>
  <c r="EP116" i="1"/>
  <c r="EP154" i="1"/>
  <c r="EP152" i="1"/>
  <c r="EP151" i="1"/>
  <c r="EP125" i="1"/>
  <c r="EP100" i="1"/>
  <c r="EP310" i="1"/>
  <c r="EP307" i="1"/>
  <c r="EP305" i="1"/>
  <c r="EP157" i="1"/>
  <c r="EP132" i="1"/>
  <c r="EP145" i="1"/>
  <c r="EP141" i="1"/>
  <c r="EP70" i="1"/>
  <c r="EP66" i="1"/>
  <c r="EP308" i="1"/>
  <c r="EP312" i="1"/>
  <c r="EP306" i="1"/>
  <c r="EP156" i="1"/>
  <c r="EP140" i="1"/>
  <c r="EP117" i="1"/>
  <c r="EP133" i="1"/>
  <c r="EP142" i="1"/>
  <c r="EP134" i="1"/>
  <c r="EP111" i="1"/>
  <c r="EP98" i="1"/>
  <c r="EP95" i="1"/>
  <c r="EP92" i="1"/>
  <c r="EP71" i="1"/>
  <c r="EP67" i="1"/>
  <c r="EP63" i="1"/>
  <c r="EP55" i="1"/>
  <c r="EP53" i="1"/>
  <c r="EP48" i="1"/>
  <c r="EP50" i="1"/>
  <c r="EP18" i="1"/>
  <c r="EP9" i="1"/>
  <c r="EP12" i="1"/>
  <c r="EP96" i="1"/>
  <c r="EP97" i="1"/>
  <c r="EP94" i="1"/>
  <c r="EP81" i="1"/>
  <c r="EP80" i="1"/>
  <c r="EP69" i="1"/>
  <c r="EP51" i="1"/>
  <c r="EP41" i="1"/>
  <c r="EP43" i="1"/>
  <c r="EP14" i="1"/>
  <c r="EP13" i="1"/>
  <c r="EP148" i="1"/>
  <c r="EP99" i="1"/>
  <c r="EP101" i="1"/>
  <c r="EP91" i="1"/>
  <c r="EP79" i="1"/>
  <c r="EP68" i="1"/>
  <c r="EP56" i="1"/>
  <c r="EP54" i="1"/>
  <c r="EP52" i="1"/>
  <c r="EP49" i="1"/>
  <c r="EP42" i="1"/>
  <c r="EP40" i="1"/>
  <c r="EP10" i="1"/>
  <c r="EP11" i="1"/>
  <c r="BU319" i="1" l="1"/>
  <c r="D55" i="22"/>
  <c r="D154" i="22"/>
  <c r="U220" i="26"/>
  <c r="T220" i="26"/>
  <c r="S220" i="26"/>
  <c r="R220" i="26"/>
  <c r="Q220" i="26"/>
  <c r="P220" i="26"/>
  <c r="O220" i="26"/>
  <c r="N220" i="26"/>
  <c r="M220" i="26"/>
  <c r="L220" i="26"/>
  <c r="K220" i="26"/>
  <c r="J220" i="26"/>
  <c r="I220" i="26"/>
  <c r="H220" i="26"/>
  <c r="G220" i="26"/>
  <c r="F220" i="26"/>
  <c r="E220" i="26"/>
  <c r="D220" i="26"/>
  <c r="J2" i="26"/>
  <c r="CA83" i="1" l="1"/>
  <c r="E210" i="24" l="1"/>
  <c r="F210" i="24"/>
  <c r="G210" i="24"/>
  <c r="H210" i="24"/>
  <c r="I210" i="24"/>
  <c r="J210" i="24"/>
  <c r="K210" i="24"/>
  <c r="L210" i="24"/>
  <c r="M210" i="24"/>
  <c r="N210" i="24"/>
  <c r="O210" i="24"/>
  <c r="P210" i="24"/>
  <c r="Q210" i="24"/>
  <c r="R210" i="24"/>
  <c r="S210" i="24"/>
  <c r="T210" i="24"/>
  <c r="U210" i="24"/>
  <c r="D210" i="24"/>
  <c r="C11" i="33" l="1"/>
  <c r="E11" i="33" s="1"/>
  <c r="L3" i="14"/>
  <c r="G3" i="14"/>
  <c r="B3" i="14"/>
  <c r="J3" i="14"/>
  <c r="I3" i="14"/>
  <c r="H3" i="14"/>
  <c r="C3" i="14"/>
  <c r="M3" i="14"/>
  <c r="D3" i="14"/>
  <c r="K3" i="14"/>
  <c r="F3" i="14"/>
  <c r="E3" i="14"/>
  <c r="Y39" i="23"/>
  <c r="AB39" i="23" s="1"/>
  <c r="BO45" i="23"/>
  <c r="BO44" i="23"/>
  <c r="BO43" i="23"/>
  <c r="BO42" i="23"/>
  <c r="BO41" i="23"/>
  <c r="BO40" i="23"/>
  <c r="BO39" i="23"/>
  <c r="BO38" i="23"/>
  <c r="BO37" i="23"/>
  <c r="BO36" i="23"/>
  <c r="BO35" i="23"/>
  <c r="BO34" i="23"/>
  <c r="BO33" i="23"/>
  <c r="BO32" i="23"/>
  <c r="BO31" i="23"/>
  <c r="BO30" i="23"/>
  <c r="BO29" i="23"/>
  <c r="BO28" i="23"/>
  <c r="BO27" i="23"/>
  <c r="BO26" i="23"/>
  <c r="BO25" i="23"/>
  <c r="BO24" i="23"/>
  <c r="BB45" i="23"/>
  <c r="BB44" i="23"/>
  <c r="BB43" i="23"/>
  <c r="BB42" i="23"/>
  <c r="BB41" i="23"/>
  <c r="BB40" i="23"/>
  <c r="BB39" i="23"/>
  <c r="BB38" i="23"/>
  <c r="BB37" i="23"/>
  <c r="BB36" i="23"/>
  <c r="BB35" i="23"/>
  <c r="BB34" i="23"/>
  <c r="BB33" i="23"/>
  <c r="BB32" i="23"/>
  <c r="BB31" i="23"/>
  <c r="BB30" i="23"/>
  <c r="BB29" i="23"/>
  <c r="BB28" i="23"/>
  <c r="BB27" i="23"/>
  <c r="BB26" i="23"/>
  <c r="BB25" i="23"/>
  <c r="BB24" i="23"/>
  <c r="AB45" i="23"/>
  <c r="AB44" i="23"/>
  <c r="AB43" i="23"/>
  <c r="AB42" i="23"/>
  <c r="AB41" i="23"/>
  <c r="AB40" i="23"/>
  <c r="AB38" i="23"/>
  <c r="AB37" i="23"/>
  <c r="AB36" i="23"/>
  <c r="AB35" i="23"/>
  <c r="AB34" i="23"/>
  <c r="AB33" i="23"/>
  <c r="AB32" i="23"/>
  <c r="AB31" i="23"/>
  <c r="AB25" i="23"/>
  <c r="AB26" i="23"/>
  <c r="AB27" i="23"/>
  <c r="AB28" i="23"/>
  <c r="AB29" i="23"/>
  <c r="AB30" i="23"/>
  <c r="AB24" i="23"/>
  <c r="H11" i="33" l="1"/>
  <c r="C17" i="33"/>
  <c r="CC40" i="23"/>
  <c r="CC33" i="23"/>
  <c r="CC26" i="23"/>
  <c r="CC30" i="23"/>
  <c r="CC34" i="23"/>
  <c r="CC38" i="23"/>
  <c r="CC28" i="23"/>
  <c r="CC24" i="23"/>
  <c r="CC32" i="23"/>
  <c r="CC36" i="23"/>
  <c r="CC44" i="23"/>
  <c r="CC39" i="23"/>
  <c r="CC25" i="23"/>
  <c r="CC29" i="23"/>
  <c r="CC37" i="23"/>
  <c r="CC45" i="23"/>
  <c r="CC27" i="23"/>
  <c r="CC31" i="23"/>
  <c r="CC35" i="23"/>
  <c r="CC43" i="23"/>
  <c r="CC41" i="23"/>
  <c r="CC42" i="23"/>
  <c r="E17" i="33" l="1"/>
  <c r="H17" i="33"/>
  <c r="CO86" i="1" l="1"/>
  <c r="EP86" i="1" s="1"/>
  <c r="C24" i="33" l="1"/>
  <c r="E24" i="33" l="1"/>
  <c r="H24" i="33"/>
  <c r="C30" i="33"/>
  <c r="I200" i="21"/>
  <c r="E30" i="33" l="1"/>
  <c r="H30" i="33"/>
  <c r="F74" i="22" l="1"/>
  <c r="F15" i="22"/>
  <c r="F44" i="22"/>
  <c r="F13" i="22"/>
  <c r="F76" i="22"/>
  <c r="F75" i="22"/>
  <c r="F43" i="22"/>
  <c r="F14" i="22"/>
  <c r="F87" i="22" l="1"/>
  <c r="F89" i="22"/>
  <c r="F56" i="22"/>
  <c r="F28" i="22"/>
  <c r="F27" i="22"/>
  <c r="F26" i="22"/>
  <c r="F57" i="22"/>
  <c r="F88" i="22"/>
  <c r="J2" i="24"/>
  <c r="V190" i="24"/>
  <c r="V189" i="24"/>
  <c r="V188" i="24"/>
  <c r="V187" i="24"/>
  <c r="V186" i="24"/>
  <c r="V185" i="24"/>
  <c r="V184" i="24"/>
  <c r="V183" i="24"/>
  <c r="V182" i="24"/>
  <c r="V181" i="24"/>
  <c r="V180" i="24"/>
  <c r="V179" i="24"/>
  <c r="V178" i="24"/>
  <c r="V177" i="24"/>
  <c r="V176" i="24"/>
  <c r="V175" i="24"/>
  <c r="V174" i="24"/>
  <c r="V173" i="24"/>
  <c r="V172" i="24"/>
  <c r="V171" i="24"/>
  <c r="V170" i="24"/>
  <c r="V169" i="24"/>
  <c r="V168" i="24"/>
  <c r="V167" i="24"/>
  <c r="V166" i="24"/>
  <c r="V165" i="24"/>
  <c r="V164" i="24"/>
  <c r="V163" i="24"/>
  <c r="V162" i="24"/>
  <c r="V161" i="24"/>
  <c r="V160" i="24"/>
  <c r="V159" i="24"/>
  <c r="V158" i="24"/>
  <c r="V157" i="24"/>
  <c r="V156" i="24"/>
  <c r="V155" i="24"/>
  <c r="V154" i="24"/>
  <c r="V153" i="24"/>
  <c r="V152" i="24"/>
  <c r="V151" i="24"/>
  <c r="V150" i="24"/>
  <c r="V149" i="24"/>
  <c r="V148" i="24"/>
  <c r="V147" i="24"/>
  <c r="V146" i="24"/>
  <c r="V145" i="24"/>
  <c r="V144" i="24"/>
  <c r="V143" i="24"/>
  <c r="V142" i="24"/>
  <c r="V141" i="24"/>
  <c r="V140" i="24"/>
  <c r="V139" i="24"/>
  <c r="V138" i="24"/>
  <c r="V137" i="24"/>
  <c r="V136" i="24"/>
  <c r="V135" i="24"/>
  <c r="V134" i="24"/>
  <c r="V133" i="24"/>
  <c r="V132" i="24"/>
  <c r="V131" i="24"/>
  <c r="V130" i="24"/>
  <c r="V129" i="24"/>
  <c r="V128" i="24"/>
  <c r="V127" i="24"/>
  <c r="V126" i="24"/>
  <c r="V125" i="24"/>
  <c r="V124" i="24"/>
  <c r="V123" i="24"/>
  <c r="V122" i="24"/>
  <c r="V121" i="24"/>
  <c r="V120" i="24"/>
  <c r="V119" i="24"/>
  <c r="V118" i="24"/>
  <c r="V117" i="24"/>
  <c r="V116" i="24"/>
  <c r="V115" i="24"/>
  <c r="V114" i="24"/>
  <c r="V113" i="24"/>
  <c r="V112" i="24"/>
  <c r="V111" i="24"/>
  <c r="V110" i="24"/>
  <c r="V109" i="24"/>
  <c r="V108" i="24"/>
  <c r="V107" i="24"/>
  <c r="V106" i="24"/>
  <c r="V105" i="24"/>
  <c r="V104" i="24"/>
  <c r="V103" i="24"/>
  <c r="V102" i="24"/>
  <c r="V101" i="24"/>
  <c r="V100" i="24"/>
  <c r="V99" i="24"/>
  <c r="V98" i="24"/>
  <c r="V97" i="24"/>
  <c r="V96" i="24"/>
  <c r="V95" i="24"/>
  <c r="V94" i="24"/>
  <c r="V93" i="24"/>
  <c r="V92" i="24"/>
  <c r="V91" i="24"/>
  <c r="V90" i="24"/>
  <c r="V89" i="24"/>
  <c r="V88" i="24"/>
  <c r="V87" i="24"/>
  <c r="V86" i="24"/>
  <c r="V85" i="24"/>
  <c r="V84" i="24"/>
  <c r="V83" i="24"/>
  <c r="V82" i="24"/>
  <c r="V81" i="24"/>
  <c r="V80" i="24"/>
  <c r="V79" i="24"/>
  <c r="V78" i="24"/>
  <c r="V77" i="24"/>
  <c r="V76" i="24"/>
  <c r="V75" i="24"/>
  <c r="V74" i="24"/>
  <c r="V73" i="24"/>
  <c r="V72" i="24"/>
  <c r="V71" i="24"/>
  <c r="V70" i="24"/>
  <c r="V69" i="24"/>
  <c r="V68" i="24"/>
  <c r="V67" i="24"/>
  <c r="V66" i="24"/>
  <c r="V65" i="24"/>
  <c r="V64" i="24"/>
  <c r="V63" i="24"/>
  <c r="V62" i="24"/>
  <c r="V61" i="24"/>
  <c r="V60" i="24"/>
  <c r="V59" i="24"/>
  <c r="V58" i="24"/>
  <c r="V57" i="24"/>
  <c r="V56" i="24"/>
  <c r="V55" i="24"/>
  <c r="V54" i="24"/>
  <c r="V53" i="24"/>
  <c r="V52" i="24"/>
  <c r="V51" i="24"/>
  <c r="V50" i="24"/>
  <c r="V49" i="24"/>
  <c r="V48" i="24"/>
  <c r="V47" i="24"/>
  <c r="V46" i="24"/>
  <c r="V45" i="24"/>
  <c r="V44" i="24"/>
  <c r="V43" i="24"/>
  <c r="V42" i="24"/>
  <c r="V41" i="24"/>
  <c r="V40" i="24"/>
  <c r="V39" i="24"/>
  <c r="V38" i="24"/>
  <c r="V37" i="24"/>
  <c r="V36" i="24"/>
  <c r="V35" i="24"/>
  <c r="V34" i="24"/>
  <c r="V33" i="24"/>
  <c r="V32" i="24"/>
  <c r="V31" i="24"/>
  <c r="V30" i="24"/>
  <c r="V29" i="24"/>
  <c r="V28" i="24"/>
  <c r="V27" i="24"/>
  <c r="V26" i="24"/>
  <c r="V25" i="24"/>
  <c r="V24" i="24"/>
  <c r="V23" i="24"/>
  <c r="V22" i="24"/>
  <c r="V21" i="24"/>
  <c r="V20" i="24"/>
  <c r="V19" i="24"/>
  <c r="V18" i="24"/>
  <c r="V17" i="24"/>
  <c r="V16" i="24"/>
  <c r="V15" i="24"/>
  <c r="V14" i="24"/>
  <c r="V13" i="24"/>
  <c r="V12" i="24"/>
  <c r="V11" i="24"/>
  <c r="V10" i="24"/>
  <c r="V9" i="24"/>
  <c r="V8" i="24"/>
  <c r="V7" i="24"/>
  <c r="V6" i="24"/>
  <c r="V5" i="24"/>
  <c r="V4" i="24"/>
  <c r="J200" i="21"/>
  <c r="K200" i="21"/>
  <c r="L200" i="21"/>
  <c r="M200" i="21"/>
  <c r="N200" i="21"/>
  <c r="O200" i="21"/>
  <c r="P200" i="21"/>
  <c r="Q200" i="21"/>
  <c r="R200" i="21"/>
  <c r="S200" i="21"/>
  <c r="T200" i="21"/>
  <c r="U200" i="21"/>
  <c r="GL23" i="23" l="1"/>
  <c r="GH23" i="23"/>
  <c r="FX23" i="23"/>
  <c r="FW23" i="23"/>
  <c r="FS23" i="23"/>
  <c r="FJ23" i="23"/>
  <c r="FB23" i="23"/>
  <c r="ES23" i="23"/>
  <c r="EF23" i="23"/>
  <c r="DS23" i="23"/>
  <c r="DF23" i="23"/>
  <c r="CS23" i="23"/>
  <c r="CB23" i="23"/>
  <c r="BO23" i="23"/>
  <c r="BB23" i="23"/>
  <c r="AO23" i="23"/>
  <c r="AB23" i="23"/>
  <c r="GL22" i="23"/>
  <c r="GH22" i="23"/>
  <c r="FX22" i="23"/>
  <c r="FW22" i="23"/>
  <c r="FS22" i="23"/>
  <c r="FJ22" i="23"/>
  <c r="FB22" i="23"/>
  <c r="ES22" i="23"/>
  <c r="EF22" i="23"/>
  <c r="DS22" i="23"/>
  <c r="DF22" i="23"/>
  <c r="CS22" i="23"/>
  <c r="CB22" i="23"/>
  <c r="BO22" i="23"/>
  <c r="BB22" i="23"/>
  <c r="AO22" i="23"/>
  <c r="AB22" i="23"/>
  <c r="GL21" i="23"/>
  <c r="GH21" i="23"/>
  <c r="FX21" i="23"/>
  <c r="FW21" i="23"/>
  <c r="FS21" i="23"/>
  <c r="FJ21" i="23"/>
  <c r="FB21" i="23"/>
  <c r="ES21" i="23"/>
  <c r="EF21" i="23"/>
  <c r="DS21" i="23"/>
  <c r="DF21" i="23"/>
  <c r="CS21" i="23"/>
  <c r="CB21" i="23"/>
  <c r="BO21" i="23"/>
  <c r="BB21" i="23"/>
  <c r="AO21" i="23"/>
  <c r="AB21" i="23"/>
  <c r="GL20" i="23"/>
  <c r="GH20" i="23"/>
  <c r="FX20" i="23"/>
  <c r="FW20" i="23"/>
  <c r="FS20" i="23"/>
  <c r="FJ20" i="23"/>
  <c r="FB20" i="23"/>
  <c r="ES20" i="23"/>
  <c r="EF20" i="23"/>
  <c r="DS20" i="23"/>
  <c r="DF20" i="23"/>
  <c r="CS20" i="23"/>
  <c r="CB20" i="23"/>
  <c r="BO20" i="23"/>
  <c r="BB20" i="23"/>
  <c r="AO20" i="23"/>
  <c r="AB20" i="23"/>
  <c r="GL19" i="23"/>
  <c r="GH19" i="23"/>
  <c r="FX19" i="23"/>
  <c r="FW19" i="23"/>
  <c r="FS19" i="23"/>
  <c r="FJ19" i="23"/>
  <c r="FB19" i="23"/>
  <c r="ES19" i="23"/>
  <c r="EF19" i="23"/>
  <c r="DS19" i="23"/>
  <c r="DF19" i="23"/>
  <c r="CS19" i="23"/>
  <c r="CB19" i="23"/>
  <c r="BO19" i="23"/>
  <c r="BB19" i="23"/>
  <c r="AO19" i="23"/>
  <c r="AB19" i="23"/>
  <c r="GL18" i="23"/>
  <c r="GH18" i="23"/>
  <c r="FX18" i="23"/>
  <c r="FW18" i="23"/>
  <c r="FS18" i="23"/>
  <c r="FJ18" i="23"/>
  <c r="FB18" i="23"/>
  <c r="ES18" i="23"/>
  <c r="EF18" i="23"/>
  <c r="DS18" i="23"/>
  <c r="DF18" i="23"/>
  <c r="CS18" i="23"/>
  <c r="CB18" i="23"/>
  <c r="BO18" i="23"/>
  <c r="BB18" i="23"/>
  <c r="AO18" i="23"/>
  <c r="AB18" i="23"/>
  <c r="GL17" i="23"/>
  <c r="GH17" i="23"/>
  <c r="FX17" i="23"/>
  <c r="FW17" i="23"/>
  <c r="FS17" i="23"/>
  <c r="FJ17" i="23"/>
  <c r="FB17" i="23"/>
  <c r="ES17" i="23"/>
  <c r="EF17" i="23"/>
  <c r="DS17" i="23"/>
  <c r="DF17" i="23"/>
  <c r="CS17" i="23"/>
  <c r="CB17" i="23"/>
  <c r="BO17" i="23"/>
  <c r="BB17" i="23"/>
  <c r="AO17" i="23"/>
  <c r="AB17" i="23"/>
  <c r="GL16" i="23"/>
  <c r="GH16" i="23"/>
  <c r="FX16" i="23"/>
  <c r="FW16" i="23"/>
  <c r="FS16" i="23"/>
  <c r="FJ16" i="23"/>
  <c r="FB16" i="23"/>
  <c r="ES16" i="23"/>
  <c r="EF16" i="23"/>
  <c r="DS16" i="23"/>
  <c r="DF16" i="23"/>
  <c r="CS16" i="23"/>
  <c r="CB16" i="23"/>
  <c r="BO16" i="23"/>
  <c r="BB16" i="23"/>
  <c r="AO16" i="23"/>
  <c r="AB16" i="23"/>
  <c r="GL15" i="23"/>
  <c r="GH15" i="23"/>
  <c r="FX15" i="23"/>
  <c r="FW15" i="23"/>
  <c r="FS15" i="23"/>
  <c r="FJ15" i="23"/>
  <c r="FB15" i="23"/>
  <c r="ES15" i="23"/>
  <c r="EF15" i="23"/>
  <c r="DS15" i="23"/>
  <c r="DF15" i="23"/>
  <c r="CS15" i="23"/>
  <c r="CB15" i="23"/>
  <c r="BO15" i="23"/>
  <c r="BB15" i="23"/>
  <c r="AO15" i="23"/>
  <c r="AB15" i="23"/>
  <c r="GL14" i="23"/>
  <c r="GH14" i="23"/>
  <c r="FX14" i="23"/>
  <c r="FW14" i="23"/>
  <c r="FS14" i="23"/>
  <c r="FJ14" i="23"/>
  <c r="FB14" i="23"/>
  <c r="ES14" i="23"/>
  <c r="EF14" i="23"/>
  <c r="DS14" i="23"/>
  <c r="DF14" i="23"/>
  <c r="CS14" i="23"/>
  <c r="CB14" i="23"/>
  <c r="BO14" i="23"/>
  <c r="BB14" i="23"/>
  <c r="AO14" i="23"/>
  <c r="AB14" i="23"/>
  <c r="GL13" i="23"/>
  <c r="GH13" i="23"/>
  <c r="FX13" i="23"/>
  <c r="FW13" i="23"/>
  <c r="FS13" i="23"/>
  <c r="FJ13" i="23"/>
  <c r="FB13" i="23"/>
  <c r="ES13" i="23"/>
  <c r="EF13" i="23"/>
  <c r="DS13" i="23"/>
  <c r="DF13" i="23"/>
  <c r="CS13" i="23"/>
  <c r="CB13" i="23"/>
  <c r="BO13" i="23"/>
  <c r="BB13" i="23"/>
  <c r="AO13" i="23"/>
  <c r="AB13" i="23"/>
  <c r="GL12" i="23"/>
  <c r="GH12" i="23"/>
  <c r="FX12" i="23"/>
  <c r="FW12" i="23"/>
  <c r="FS12" i="23"/>
  <c r="FJ12" i="23"/>
  <c r="FB12" i="23"/>
  <c r="ES12" i="23"/>
  <c r="EF12" i="23"/>
  <c r="DS12" i="23"/>
  <c r="DF12" i="23"/>
  <c r="CS12" i="23"/>
  <c r="CB12" i="23"/>
  <c r="BO12" i="23"/>
  <c r="BB12" i="23"/>
  <c r="AO12" i="23"/>
  <c r="AB12" i="23"/>
  <c r="GL11" i="23"/>
  <c r="GH11" i="23"/>
  <c r="FX11" i="23"/>
  <c r="FW11" i="23"/>
  <c r="FS11" i="23"/>
  <c r="FJ11" i="23"/>
  <c r="FB11" i="23"/>
  <c r="ES11" i="23"/>
  <c r="EF11" i="23"/>
  <c r="DS11" i="23"/>
  <c r="DF11" i="23"/>
  <c r="CS11" i="23"/>
  <c r="CB11" i="23"/>
  <c r="BO11" i="23"/>
  <c r="BB11" i="23"/>
  <c r="AO11" i="23"/>
  <c r="AB11" i="23"/>
  <c r="GL10" i="23"/>
  <c r="GH10" i="23"/>
  <c r="FX10" i="23"/>
  <c r="FW10" i="23"/>
  <c r="FS10" i="23"/>
  <c r="FJ10" i="23"/>
  <c r="FB10" i="23"/>
  <c r="ES10" i="23"/>
  <c r="EF10" i="23"/>
  <c r="DS10" i="23"/>
  <c r="DF10" i="23"/>
  <c r="CS10" i="23"/>
  <c r="CB10" i="23"/>
  <c r="BO10" i="23"/>
  <c r="BB10" i="23"/>
  <c r="AO10" i="23"/>
  <c r="AB10" i="23"/>
  <c r="GL9" i="23"/>
  <c r="GH9" i="23"/>
  <c r="FX9" i="23"/>
  <c r="FW9" i="23"/>
  <c r="FS9" i="23"/>
  <c r="FJ9" i="23"/>
  <c r="FB9" i="23"/>
  <c r="ES9" i="23"/>
  <c r="EF9" i="23"/>
  <c r="DS9" i="23"/>
  <c r="DF9" i="23"/>
  <c r="CS9" i="23"/>
  <c r="CB9" i="23"/>
  <c r="BO9" i="23"/>
  <c r="BB9" i="23"/>
  <c r="AO9" i="23"/>
  <c r="AB9" i="23"/>
  <c r="GG14" i="23" l="1"/>
  <c r="GI14" i="23" s="1"/>
  <c r="GJ14" i="23" s="1"/>
  <c r="GK9" i="23"/>
  <c r="GK21" i="23"/>
  <c r="ET18" i="23"/>
  <c r="GK23" i="23"/>
  <c r="CC12" i="23"/>
  <c r="GK13" i="23"/>
  <c r="GK17" i="23"/>
  <c r="GK11" i="23"/>
  <c r="GK15" i="23"/>
  <c r="ET19" i="23"/>
  <c r="ET23" i="23"/>
  <c r="ET12" i="23"/>
  <c r="GK12" i="23"/>
  <c r="CC13" i="23"/>
  <c r="GK16" i="23"/>
  <c r="CC17" i="23"/>
  <c r="CC18" i="23"/>
  <c r="GK19" i="23"/>
  <c r="ET20" i="23"/>
  <c r="GK20" i="23"/>
  <c r="CC21" i="23"/>
  <c r="ET15" i="23"/>
  <c r="CC16" i="23"/>
  <c r="CC10" i="23"/>
  <c r="CC14" i="23"/>
  <c r="CC15" i="23"/>
  <c r="ET16" i="23"/>
  <c r="ET17" i="23"/>
  <c r="ET21" i="23"/>
  <c r="CC22" i="23"/>
  <c r="ET11" i="23"/>
  <c r="CC9" i="23"/>
  <c r="ET9" i="23"/>
  <c r="ET10" i="23"/>
  <c r="GK10" i="23"/>
  <c r="CC11" i="23"/>
  <c r="ET13" i="23"/>
  <c r="ET14" i="23"/>
  <c r="GK18" i="23"/>
  <c r="CC19" i="23"/>
  <c r="CC20" i="23"/>
  <c r="ET22" i="23"/>
  <c r="GK22" i="23"/>
  <c r="CC23" i="23"/>
  <c r="GG23" i="23"/>
  <c r="GI23" i="23" s="1"/>
  <c r="GJ23" i="23" s="1"/>
  <c r="GG22" i="23"/>
  <c r="GI22" i="23" s="1"/>
  <c r="GJ22" i="23" s="1"/>
  <c r="GG19" i="23"/>
  <c r="GI19" i="23" s="1"/>
  <c r="GJ19" i="23" s="1"/>
  <c r="GG21" i="23"/>
  <c r="GI21" i="23" s="1"/>
  <c r="GJ21" i="23" s="1"/>
  <c r="GG20" i="23"/>
  <c r="GI20" i="23" s="1"/>
  <c r="GJ20" i="23" s="1"/>
  <c r="GG18" i="23"/>
  <c r="GI18" i="23" s="1"/>
  <c r="GJ18" i="23" s="1"/>
  <c r="GG17" i="23"/>
  <c r="GI17" i="23" s="1"/>
  <c r="GJ17" i="23" s="1"/>
  <c r="GG16" i="23"/>
  <c r="GI16" i="23" s="1"/>
  <c r="GJ16" i="23" s="1"/>
  <c r="GG15" i="23"/>
  <c r="GI15" i="23" s="1"/>
  <c r="GJ15" i="23" s="1"/>
  <c r="GK14" i="23"/>
  <c r="GG13" i="23"/>
  <c r="GI13" i="23" s="1"/>
  <c r="GJ13" i="23" s="1"/>
  <c r="GG12" i="23"/>
  <c r="GI12" i="23" s="1"/>
  <c r="GJ12" i="23" s="1"/>
  <c r="GG11" i="23"/>
  <c r="GI11" i="23" s="1"/>
  <c r="GJ11" i="23" s="1"/>
  <c r="GG10" i="23"/>
  <c r="GI10" i="23" s="1"/>
  <c r="GJ10" i="23" s="1"/>
  <c r="GG9" i="23"/>
  <c r="GI9" i="23" s="1"/>
  <c r="GJ9" i="23" s="1"/>
  <c r="GL8" i="23"/>
  <c r="GH8" i="23"/>
  <c r="FX8" i="23"/>
  <c r="FW8" i="23"/>
  <c r="FS8" i="23"/>
  <c r="FJ8" i="23"/>
  <c r="FB8" i="23"/>
  <c r="ES8" i="23"/>
  <c r="EF8" i="23"/>
  <c r="DS8" i="23"/>
  <c r="DF8" i="23"/>
  <c r="CS8" i="23"/>
  <c r="CB8" i="23"/>
  <c r="BO8" i="23"/>
  <c r="BB8" i="23"/>
  <c r="AO8" i="23"/>
  <c r="AB8" i="23"/>
  <c r="GL7" i="23"/>
  <c r="GH7" i="23"/>
  <c r="FX7" i="23"/>
  <c r="FW7" i="23"/>
  <c r="FS7" i="23"/>
  <c r="FJ7" i="23"/>
  <c r="FB7" i="23"/>
  <c r="ES7" i="23"/>
  <c r="EF7" i="23"/>
  <c r="DS7" i="23"/>
  <c r="DF7" i="23"/>
  <c r="CS7" i="23"/>
  <c r="CB7" i="23"/>
  <c r="BO7" i="23"/>
  <c r="BB7" i="23"/>
  <c r="AO7" i="23"/>
  <c r="AB7" i="23"/>
  <c r="GL6" i="23"/>
  <c r="GH6" i="23"/>
  <c r="FX6" i="23"/>
  <c r="FW6" i="23"/>
  <c r="FS6" i="23"/>
  <c r="FJ6" i="23"/>
  <c r="FB6" i="23"/>
  <c r="ES6" i="23"/>
  <c r="EF6" i="23"/>
  <c r="DS6" i="23"/>
  <c r="DF6" i="23"/>
  <c r="CS6" i="23"/>
  <c r="CB6" i="23"/>
  <c r="BO6" i="23"/>
  <c r="BB6" i="23"/>
  <c r="AO6" i="23"/>
  <c r="AB6" i="23"/>
  <c r="GL5" i="23"/>
  <c r="GH5" i="23"/>
  <c r="FX5" i="23"/>
  <c r="FW5" i="23"/>
  <c r="FS5" i="23"/>
  <c r="FJ5" i="23"/>
  <c r="FB5" i="23"/>
  <c r="ES5" i="23"/>
  <c r="EF5" i="23"/>
  <c r="DS5" i="23"/>
  <c r="DF5" i="23"/>
  <c r="CS5" i="23"/>
  <c r="CB5" i="23"/>
  <c r="BO5" i="23"/>
  <c r="BB5" i="23"/>
  <c r="AO5" i="23"/>
  <c r="AB5" i="23"/>
  <c r="GL4" i="23"/>
  <c r="GH4" i="23"/>
  <c r="FX4" i="23"/>
  <c r="FW4" i="23"/>
  <c r="FS4" i="23"/>
  <c r="FJ4" i="23"/>
  <c r="FB4" i="23"/>
  <c r="ES4" i="23"/>
  <c r="EF4" i="23"/>
  <c r="DS4" i="23"/>
  <c r="DF4" i="23"/>
  <c r="CS4" i="23"/>
  <c r="CB4" i="23"/>
  <c r="BO4" i="23"/>
  <c r="BB4" i="23"/>
  <c r="AO4" i="23"/>
  <c r="AB4" i="23"/>
  <c r="GK6" i="23" l="1"/>
  <c r="GK4" i="23"/>
  <c r="GK8" i="23"/>
  <c r="ET4" i="23"/>
  <c r="CC5" i="23"/>
  <c r="CC6" i="23"/>
  <c r="ET8" i="23"/>
  <c r="GG5" i="23"/>
  <c r="GI5" i="23" s="1"/>
  <c r="GJ5" i="23" s="1"/>
  <c r="CC7" i="23"/>
  <c r="ET5" i="23"/>
  <c r="CC4" i="23"/>
  <c r="ET6" i="23"/>
  <c r="ET7" i="23"/>
  <c r="GK7" i="23"/>
  <c r="CC8" i="23"/>
  <c r="GG8" i="23"/>
  <c r="GI8" i="23" s="1"/>
  <c r="GJ8" i="23" s="1"/>
  <c r="GG6" i="23"/>
  <c r="GI6" i="23" s="1"/>
  <c r="GJ6" i="23" s="1"/>
  <c r="GG7" i="23"/>
  <c r="GI7" i="23" s="1"/>
  <c r="GJ7" i="23" s="1"/>
  <c r="GK5" i="23"/>
  <c r="GG4" i="23"/>
  <c r="GI4" i="23" s="1"/>
  <c r="GJ4" i="23" s="1"/>
  <c r="V5" i="21" l="1"/>
  <c r="V6" i="2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36" i="21"/>
  <c r="V37" i="21"/>
  <c r="V38" i="21"/>
  <c r="V39" i="21"/>
  <c r="V40" i="21"/>
  <c r="V41" i="21"/>
  <c r="V42" i="21"/>
  <c r="V43" i="21"/>
  <c r="V44" i="21"/>
  <c r="V45" i="21"/>
  <c r="V46" i="21"/>
  <c r="V47" i="21"/>
  <c r="V48" i="21"/>
  <c r="V49" i="21"/>
  <c r="V50" i="21"/>
  <c r="V51" i="21"/>
  <c r="V52" i="21"/>
  <c r="V53" i="21"/>
  <c r="V54" i="21"/>
  <c r="V55" i="21"/>
  <c r="V56" i="21"/>
  <c r="V57" i="21"/>
  <c r="V58" i="21"/>
  <c r="V59" i="21"/>
  <c r="V60" i="21"/>
  <c r="V61" i="21"/>
  <c r="V62" i="21"/>
  <c r="V63" i="21"/>
  <c r="V64" i="21"/>
  <c r="V65" i="21"/>
  <c r="V66" i="21"/>
  <c r="V67" i="21"/>
  <c r="V68" i="21"/>
  <c r="V69" i="21"/>
  <c r="V70" i="21"/>
  <c r="V71" i="21"/>
  <c r="V72" i="21"/>
  <c r="V73" i="21"/>
  <c r="V74" i="21"/>
  <c r="V75" i="21"/>
  <c r="V76" i="21"/>
  <c r="V77" i="21"/>
  <c r="V78" i="21"/>
  <c r="V79" i="21"/>
  <c r="V80" i="21"/>
  <c r="V81" i="21"/>
  <c r="V82" i="21"/>
  <c r="V83" i="21"/>
  <c r="V84" i="21"/>
  <c r="V85" i="21"/>
  <c r="V86" i="21"/>
  <c r="V87" i="21"/>
  <c r="V88" i="21"/>
  <c r="V89" i="21"/>
  <c r="V90" i="21"/>
  <c r="V91" i="21"/>
  <c r="V92" i="21"/>
  <c r="V93" i="21"/>
  <c r="V94" i="21"/>
  <c r="V95" i="21"/>
  <c r="V96" i="21"/>
  <c r="V97" i="21"/>
  <c r="V98" i="21"/>
  <c r="V99" i="21"/>
  <c r="V100" i="21"/>
  <c r="V101" i="21"/>
  <c r="V102" i="21"/>
  <c r="V103" i="21"/>
  <c r="V104" i="21"/>
  <c r="V105" i="21"/>
  <c r="V106" i="21"/>
  <c r="V107" i="21"/>
  <c r="V108" i="21"/>
  <c r="V109" i="21"/>
  <c r="V110" i="21"/>
  <c r="V111" i="21"/>
  <c r="V112" i="21"/>
  <c r="V113" i="21"/>
  <c r="V114" i="21"/>
  <c r="V115" i="21"/>
  <c r="V116" i="21"/>
  <c r="V117" i="21"/>
  <c r="V118" i="21"/>
  <c r="V119" i="21"/>
  <c r="V120" i="21"/>
  <c r="V121" i="21"/>
  <c r="V122" i="21"/>
  <c r="V123" i="21"/>
  <c r="V124" i="21"/>
  <c r="V125" i="21"/>
  <c r="V126" i="21"/>
  <c r="V127" i="21"/>
  <c r="V128" i="21"/>
  <c r="V129" i="21"/>
  <c r="V130" i="21"/>
  <c r="V131" i="21"/>
  <c r="V132" i="21"/>
  <c r="V133" i="21"/>
  <c r="V134" i="21"/>
  <c r="V135" i="21"/>
  <c r="V136" i="21"/>
  <c r="V137" i="21"/>
  <c r="V138" i="21"/>
  <c r="V139" i="21"/>
  <c r="V140" i="21"/>
  <c r="V141" i="21"/>
  <c r="V142" i="21"/>
  <c r="V143" i="21"/>
  <c r="V144" i="21"/>
  <c r="V145" i="21"/>
  <c r="V146" i="21"/>
  <c r="V147" i="21"/>
  <c r="V148" i="21"/>
  <c r="V149" i="21"/>
  <c r="V150" i="21"/>
  <c r="V151" i="21"/>
  <c r="V152" i="21"/>
  <c r="V153" i="21"/>
  <c r="V154" i="21"/>
  <c r="V155" i="21"/>
  <c r="V156" i="21"/>
  <c r="V157" i="21"/>
  <c r="V158" i="21"/>
  <c r="V159" i="21"/>
  <c r="V160" i="21"/>
  <c r="V161" i="21"/>
  <c r="V162" i="21"/>
  <c r="V163" i="21"/>
  <c r="V164" i="21"/>
  <c r="V165" i="21"/>
  <c r="V166" i="21"/>
  <c r="V167" i="21"/>
  <c r="V168" i="21"/>
  <c r="V169" i="21"/>
  <c r="V170" i="21"/>
  <c r="V171" i="21"/>
  <c r="V172" i="21"/>
  <c r="V173" i="21"/>
  <c r="V174" i="21"/>
  <c r="V175" i="21"/>
  <c r="V176" i="21"/>
  <c r="V177" i="21"/>
  <c r="V178" i="21"/>
  <c r="V179" i="21"/>
  <c r="V180" i="21"/>
  <c r="V181" i="21"/>
  <c r="V182" i="21"/>
  <c r="V183" i="21"/>
  <c r="V184" i="21"/>
  <c r="V185" i="21"/>
  <c r="V186" i="21"/>
  <c r="V187" i="21"/>
  <c r="V188" i="21"/>
  <c r="V189" i="21"/>
  <c r="V190" i="21"/>
  <c r="H9" i="22" l="1"/>
  <c r="E9" i="22"/>
  <c r="V4" i="21"/>
  <c r="G115" i="22" l="1"/>
  <c r="G92" i="22" l="1"/>
  <c r="G174" i="22"/>
  <c r="G147" i="22"/>
  <c r="G79" i="22"/>
  <c r="G106" i="22"/>
  <c r="G61" i="22"/>
  <c r="G48" i="22"/>
  <c r="G30" i="22" l="1"/>
  <c r="H77" i="22" l="1"/>
  <c r="H76" i="22"/>
  <c r="I76" i="22" s="1"/>
  <c r="H74" i="22"/>
  <c r="I74" i="22" s="1"/>
  <c r="H75" i="22"/>
  <c r="I75" i="22" s="1"/>
  <c r="H78" i="22"/>
  <c r="H105" i="22"/>
  <c r="I105" i="22" s="1"/>
  <c r="H43" i="22"/>
  <c r="I43" i="22" s="1"/>
  <c r="H45" i="22"/>
  <c r="H47" i="22"/>
  <c r="H44" i="22"/>
  <c r="I44" i="22" s="1"/>
  <c r="H46" i="22"/>
  <c r="H16" i="22"/>
  <c r="H14" i="22"/>
  <c r="I14" i="22" s="1"/>
  <c r="H12" i="22"/>
  <c r="H15" i="22"/>
  <c r="I15" i="22" s="1"/>
  <c r="H13" i="22"/>
  <c r="I13" i="22" s="1"/>
  <c r="H157" i="22" l="1"/>
  <c r="H128" i="22"/>
  <c r="I128" i="22" s="1"/>
  <c r="H173" i="22"/>
  <c r="I173" i="22" s="1"/>
  <c r="H165" i="22"/>
  <c r="H135" i="22"/>
  <c r="I135" i="22" s="1"/>
  <c r="H140" i="22"/>
  <c r="H141" i="22"/>
  <c r="I141" i="22" s="1"/>
  <c r="E174" i="22"/>
  <c r="H154" i="22"/>
  <c r="H163" i="22"/>
  <c r="I163" i="22" s="1"/>
  <c r="H132" i="22"/>
  <c r="H130" i="22"/>
  <c r="H155" i="22"/>
  <c r="I155" i="22" s="1"/>
  <c r="H146" i="22"/>
  <c r="I146" i="22" s="1"/>
  <c r="H138" i="22"/>
  <c r="H162" i="22"/>
  <c r="I162" i="22" s="1"/>
  <c r="H167" i="22"/>
  <c r="H168" i="22"/>
  <c r="I168" i="22" s="1"/>
  <c r="H127" i="22"/>
  <c r="E147" i="22"/>
  <c r="H136" i="22"/>
  <c r="I136" i="22" s="1"/>
  <c r="H159" i="22"/>
  <c r="H131" i="22"/>
  <c r="H160" i="22"/>
  <c r="H139" i="22"/>
  <c r="H169" i="22"/>
  <c r="I169" i="22" s="1"/>
  <c r="H143" i="22"/>
  <c r="I143" i="22" s="1"/>
  <c r="H161" i="22"/>
  <c r="I161" i="22" s="1"/>
  <c r="H144" i="22"/>
  <c r="H145" i="22"/>
  <c r="I145" i="22" s="1"/>
  <c r="H164" i="22"/>
  <c r="H156" i="22"/>
  <c r="I156" i="22" s="1"/>
  <c r="H137" i="22"/>
  <c r="H158" i="22"/>
  <c r="H129" i="22"/>
  <c r="I129" i="22" s="1"/>
  <c r="H133" i="22"/>
  <c r="H166" i="22"/>
  <c r="H142" i="22"/>
  <c r="I142" i="22" s="1"/>
  <c r="H170" i="22"/>
  <c r="I170" i="22" s="1"/>
  <c r="H134" i="22"/>
  <c r="I134" i="22" s="1"/>
  <c r="H171" i="22"/>
  <c r="H172" i="22"/>
  <c r="I172" i="22" s="1"/>
  <c r="E106" i="22"/>
  <c r="H104" i="22"/>
  <c r="I104" i="22" s="1"/>
  <c r="E115" i="22"/>
  <c r="H113" i="22"/>
  <c r="I113" i="22" s="1"/>
  <c r="H91" i="22"/>
  <c r="H88" i="22"/>
  <c r="I88" i="22" s="1"/>
  <c r="H89" i="22"/>
  <c r="I89" i="22" s="1"/>
  <c r="H73" i="22"/>
  <c r="E79" i="22"/>
  <c r="H114" i="22"/>
  <c r="I114" i="22" s="1"/>
  <c r="H86" i="22"/>
  <c r="E92" i="22"/>
  <c r="H87" i="22"/>
  <c r="I87" i="22" s="1"/>
  <c r="H90" i="22"/>
  <c r="H55" i="22"/>
  <c r="H42" i="22"/>
  <c r="H57" i="22"/>
  <c r="I57" i="22" s="1"/>
  <c r="H58" i="22"/>
  <c r="E61" i="22"/>
  <c r="H56" i="22"/>
  <c r="I56" i="22" s="1"/>
  <c r="H59" i="22"/>
  <c r="H60" i="22"/>
  <c r="E48" i="22"/>
  <c r="E17" i="22"/>
  <c r="H28" i="22"/>
  <c r="I28" i="22" s="1"/>
  <c r="H26" i="22"/>
  <c r="I26" i="22" s="1"/>
  <c r="E30" i="22"/>
  <c r="H24" i="22"/>
  <c r="H27" i="22"/>
  <c r="I27" i="22" s="1"/>
  <c r="H25" i="22"/>
  <c r="H29" i="22"/>
  <c r="H147" i="22" l="1"/>
  <c r="H174" i="22"/>
  <c r="H92" i="22"/>
  <c r="H106" i="22"/>
  <c r="H115" i="22"/>
  <c r="H79" i="22"/>
  <c r="H48" i="22"/>
  <c r="H61" i="22"/>
  <c r="H30" i="22"/>
  <c r="E179" i="19" l="1"/>
  <c r="F179" i="19"/>
  <c r="G179" i="19"/>
  <c r="H179" i="19"/>
  <c r="I179" i="19"/>
  <c r="J179" i="19"/>
  <c r="K179" i="19"/>
  <c r="L179" i="19"/>
  <c r="M179" i="19"/>
  <c r="N179" i="19"/>
  <c r="O179" i="19"/>
  <c r="P179" i="19"/>
  <c r="Q179" i="19"/>
  <c r="R179" i="19"/>
  <c r="S179" i="19"/>
  <c r="T179" i="19"/>
  <c r="U179" i="19"/>
  <c r="D179" i="19"/>
  <c r="CO88" i="1" l="1"/>
  <c r="EP88" i="1" s="1"/>
  <c r="CO130" i="1"/>
  <c r="CO122" i="1"/>
  <c r="CO110" i="1"/>
  <c r="CO109" i="1"/>
  <c r="CO112" i="1"/>
  <c r="CO105" i="1"/>
  <c r="CO144" i="1"/>
  <c r="CO137" i="1"/>
  <c r="CO131" i="1"/>
  <c r="CO147" i="1"/>
  <c r="CO119" i="1"/>
  <c r="CO113" i="1"/>
  <c r="CO108" i="1"/>
  <c r="CO114" i="1"/>
  <c r="CO115" i="1"/>
  <c r="CO149" i="1"/>
  <c r="CO155" i="1"/>
  <c r="CO124" i="1"/>
  <c r="CO135" i="1"/>
  <c r="CO106" i="1"/>
  <c r="CO128" i="1"/>
  <c r="DB131" i="1" l="1"/>
  <c r="DB137" i="1"/>
  <c r="DB144" i="1"/>
  <c r="DB105" i="1"/>
  <c r="DB112" i="1"/>
  <c r="DB109" i="1"/>
  <c r="DB110" i="1"/>
  <c r="DB122" i="1"/>
  <c r="DB130" i="1"/>
  <c r="DO128" i="1"/>
  <c r="DO106" i="1"/>
  <c r="DO135" i="1"/>
  <c r="DO124" i="1"/>
  <c r="DO155" i="1"/>
  <c r="DO149" i="1"/>
  <c r="DB113" i="1"/>
  <c r="DB119" i="1"/>
  <c r="DB147" i="1"/>
  <c r="DO115" i="1"/>
  <c r="DO114" i="1"/>
  <c r="DB128" i="1"/>
  <c r="DB106" i="1"/>
  <c r="DB135" i="1"/>
  <c r="DB124" i="1"/>
  <c r="DB155" i="1"/>
  <c r="DB149" i="1"/>
  <c r="DB115" i="1"/>
  <c r="DB114" i="1"/>
  <c r="DO113" i="1"/>
  <c r="DO119" i="1"/>
  <c r="DO147" i="1"/>
  <c r="DO131" i="1"/>
  <c r="DO137" i="1"/>
  <c r="DO144" i="1"/>
  <c r="DO105" i="1"/>
  <c r="DO112" i="1"/>
  <c r="DO109" i="1"/>
  <c r="DO110" i="1"/>
  <c r="DO122" i="1"/>
  <c r="DO130" i="1"/>
  <c r="EB128" i="1"/>
  <c r="EB106" i="1"/>
  <c r="EB135" i="1"/>
  <c r="EB124" i="1"/>
  <c r="EB155" i="1"/>
  <c r="EB149" i="1"/>
  <c r="EB115" i="1"/>
  <c r="EB114" i="1"/>
  <c r="EB108" i="1"/>
  <c r="EB113" i="1"/>
  <c r="EB119" i="1"/>
  <c r="EB147" i="1"/>
  <c r="EB131" i="1"/>
  <c r="EB137" i="1"/>
  <c r="EB144" i="1"/>
  <c r="EB105" i="1"/>
  <c r="EB112" i="1"/>
  <c r="EB109" i="1"/>
  <c r="EB110" i="1"/>
  <c r="EB122" i="1"/>
  <c r="EB130" i="1"/>
  <c r="EO128" i="1"/>
  <c r="EO106" i="1"/>
  <c r="EO135" i="1"/>
  <c r="EO124" i="1"/>
  <c r="EO155" i="1"/>
  <c r="EO149" i="1"/>
  <c r="EO115" i="1"/>
  <c r="EO114" i="1"/>
  <c r="EO108" i="1"/>
  <c r="EO113" i="1"/>
  <c r="EO119" i="1"/>
  <c r="EO147" i="1"/>
  <c r="EO131" i="1"/>
  <c r="EO137" i="1"/>
  <c r="EO144" i="1"/>
  <c r="EO105" i="1"/>
  <c r="EO112" i="1"/>
  <c r="EO109" i="1"/>
  <c r="EO110" i="1"/>
  <c r="EO122" i="1"/>
  <c r="EO130" i="1"/>
  <c r="EP131" i="1" l="1"/>
  <c r="EP149" i="1"/>
  <c r="EP106" i="1"/>
  <c r="EP109" i="1"/>
  <c r="EP115" i="1"/>
  <c r="EP130" i="1"/>
  <c r="EP144" i="1"/>
  <c r="EP119" i="1"/>
  <c r="EP124" i="1"/>
  <c r="EP122" i="1"/>
  <c r="EP112" i="1"/>
  <c r="EP137" i="1"/>
  <c r="EP113" i="1"/>
  <c r="EP135" i="1"/>
  <c r="EP110" i="1"/>
  <c r="EP105" i="1"/>
  <c r="EP147" i="1"/>
  <c r="EP114" i="1"/>
  <c r="EP155" i="1"/>
  <c r="EP128" i="1"/>
  <c r="CO163" i="1"/>
  <c r="EP163" i="1" s="1"/>
  <c r="EB64" i="1" l="1"/>
  <c r="DO60" i="1"/>
  <c r="EO60" i="1"/>
  <c r="CO60" i="1"/>
  <c r="EB65" i="1"/>
  <c r="EB59" i="1"/>
  <c r="EB61" i="1"/>
  <c r="EB62" i="1"/>
  <c r="CO83" i="1"/>
  <c r="CO84" i="1"/>
  <c r="CO118" i="1"/>
  <c r="CO7" i="1" l="1"/>
  <c r="EB118" i="1"/>
  <c r="DO61" i="1"/>
  <c r="DO62" i="1"/>
  <c r="DO64" i="1"/>
  <c r="DO65" i="1"/>
  <c r="EO59" i="1"/>
  <c r="EO61" i="1"/>
  <c r="EO62" i="1"/>
  <c r="EO64" i="1"/>
  <c r="EO65" i="1"/>
  <c r="DO84" i="1"/>
  <c r="DO83" i="1"/>
  <c r="EB84" i="1"/>
  <c r="EB83" i="1"/>
  <c r="EO84" i="1"/>
  <c r="EO83" i="1"/>
  <c r="CO59" i="1"/>
  <c r="CO61" i="1"/>
  <c r="CO62" i="1"/>
  <c r="CO64" i="1"/>
  <c r="CO65" i="1"/>
  <c r="DB118" i="1"/>
  <c r="DB7" i="1"/>
  <c r="DO118" i="1"/>
  <c r="DO7" i="1"/>
  <c r="EO118" i="1"/>
  <c r="EO7" i="1"/>
  <c r="DB84" i="1"/>
  <c r="EB7" i="1"/>
  <c r="DB61" i="1"/>
  <c r="DB62" i="1"/>
  <c r="DB64" i="1"/>
  <c r="DB65" i="1"/>
  <c r="E3" i="10"/>
  <c r="E5" i="10" s="1"/>
  <c r="EP62" i="1" l="1"/>
  <c r="EP65" i="1"/>
  <c r="EP61" i="1"/>
  <c r="EP64" i="1"/>
  <c r="EP7" i="1"/>
  <c r="EP118" i="1"/>
  <c r="EP84" i="1"/>
  <c r="E15" i="10"/>
  <c r="C66" i="12"/>
  <c r="E147" i="12"/>
  <c r="E10" i="10"/>
  <c r="E105" i="12"/>
  <c r="E66" i="12"/>
  <c r="F8" i="12"/>
  <c r="G147" i="12"/>
  <c r="F105" i="12"/>
  <c r="D147" i="12"/>
  <c r="G105" i="12"/>
  <c r="E8" i="12"/>
  <c r="D66" i="12"/>
  <c r="D105" i="12"/>
  <c r="C8" i="12"/>
  <c r="C105" i="12"/>
  <c r="F66" i="12"/>
  <c r="G66" i="12"/>
  <c r="C147" i="12"/>
  <c r="F147" i="12"/>
  <c r="D8" i="12"/>
  <c r="G8" i="12"/>
  <c r="C67" i="12" l="1"/>
  <c r="C9" i="12"/>
  <c r="E11" i="10"/>
  <c r="E16" i="10" s="1"/>
  <c r="E17" i="10" s="1"/>
  <c r="D64" i="12" l="1"/>
  <c r="E64" i="12"/>
  <c r="F64" i="12"/>
  <c r="G64" i="12"/>
  <c r="C64" i="12"/>
  <c r="DO59" i="1" l="1"/>
  <c r="DB59" i="1"/>
  <c r="EB60" i="1" l="1"/>
  <c r="EP60" i="1" s="1"/>
  <c r="DB83" i="1"/>
  <c r="EP83" i="1" s="1"/>
  <c r="EP59" i="1"/>
  <c r="G6" i="12"/>
  <c r="H145" i="12"/>
  <c r="H146" i="12" s="1"/>
  <c r="C103" i="12"/>
  <c r="C148" i="12" l="1"/>
  <c r="C106" i="12"/>
  <c r="F128" i="22"/>
  <c r="I127" i="22" l="1"/>
  <c r="F11" i="22"/>
  <c r="F129" i="22"/>
  <c r="F104" i="22"/>
  <c r="F145" i="22"/>
  <c r="F142" i="22"/>
  <c r="F134" i="22"/>
  <c r="F136" i="22"/>
  <c r="F105" i="22"/>
  <c r="F146" i="22"/>
  <c r="F143" i="22"/>
  <c r="F141" i="22"/>
  <c r="F135" i="22"/>
  <c r="C6" i="12"/>
  <c r="D6" i="12"/>
  <c r="E6" i="12"/>
  <c r="F6" i="12"/>
  <c r="F77" i="22" l="1"/>
  <c r="I77" i="22"/>
  <c r="F132" i="22"/>
  <c r="I132" i="22"/>
  <c r="F46" i="22"/>
  <c r="I46" i="22"/>
  <c r="F144" i="22"/>
  <c r="I144" i="22"/>
  <c r="F42" i="22"/>
  <c r="I42" i="22"/>
  <c r="F47" i="22"/>
  <c r="I47" i="22"/>
  <c r="F139" i="22"/>
  <c r="I139" i="22"/>
  <c r="F131" i="22"/>
  <c r="I131" i="22"/>
  <c r="F16" i="22"/>
  <c r="I16" i="22"/>
  <c r="F73" i="22"/>
  <c r="I73" i="22"/>
  <c r="F133" i="22"/>
  <c r="I133" i="22"/>
  <c r="F137" i="22"/>
  <c r="I137" i="22"/>
  <c r="D106" i="22"/>
  <c r="F163" i="22"/>
  <c r="F162" i="22"/>
  <c r="F113" i="22"/>
  <c r="F172" i="22"/>
  <c r="F155" i="22"/>
  <c r="F168" i="22"/>
  <c r="F156" i="22"/>
  <c r="F169" i="22"/>
  <c r="F161" i="22"/>
  <c r="F170" i="22"/>
  <c r="D115" i="22"/>
  <c r="F173" i="22"/>
  <c r="F127" i="22"/>
  <c r="H8" i="12"/>
  <c r="H6" i="12"/>
  <c r="H7" i="12" s="1"/>
  <c r="F60" i="22" l="1"/>
  <c r="I60" i="22"/>
  <c r="F159" i="22"/>
  <c r="I159" i="22"/>
  <c r="F158" i="22"/>
  <c r="I158" i="22"/>
  <c r="F166" i="22"/>
  <c r="I166" i="22"/>
  <c r="F115" i="22"/>
  <c r="I115" i="22"/>
  <c r="F59" i="22"/>
  <c r="I59" i="22"/>
  <c r="F164" i="22"/>
  <c r="I164" i="22"/>
  <c r="F171" i="22"/>
  <c r="I171" i="22"/>
  <c r="F86" i="22"/>
  <c r="I86" i="22"/>
  <c r="F24" i="22"/>
  <c r="I24" i="22"/>
  <c r="F106" i="22"/>
  <c r="I106" i="22"/>
  <c r="F90" i="22"/>
  <c r="I90" i="22"/>
  <c r="F29" i="22"/>
  <c r="I29" i="22"/>
  <c r="F160" i="22"/>
  <c r="I160" i="22"/>
  <c r="F114" i="22"/>
  <c r="G17" i="22"/>
  <c r="H11" i="22"/>
  <c r="I11" i="22" s="1"/>
  <c r="C184" i="12"/>
  <c r="D148" i="12"/>
  <c r="E148" i="12" s="1"/>
  <c r="F148" i="12" s="1"/>
  <c r="G148" i="12" s="1"/>
  <c r="H148" i="12" s="1"/>
  <c r="D9" i="12"/>
  <c r="E9" i="12" s="1"/>
  <c r="F9" i="12" s="1"/>
  <c r="G9" i="12" s="1"/>
  <c r="D67" i="12"/>
  <c r="E67" i="12" s="1"/>
  <c r="F67" i="12" s="1"/>
  <c r="G67" i="12" s="1"/>
  <c r="H67" i="12" s="1"/>
  <c r="D106" i="12"/>
  <c r="E106" i="12" s="1"/>
  <c r="F106" i="12" s="1"/>
  <c r="G106" i="12" s="1"/>
  <c r="H106" i="12" s="1"/>
  <c r="H103" i="12"/>
  <c r="H64" i="12"/>
  <c r="D184" i="12" s="1"/>
  <c r="H17" i="22" l="1"/>
  <c r="E184" i="12"/>
  <c r="G184" i="12" s="1"/>
  <c r="H104" i="12"/>
  <c r="H65" i="12"/>
  <c r="H9" i="12"/>
  <c r="C185" i="12" l="1"/>
  <c r="I40" i="12"/>
  <c r="M32" i="14" l="1"/>
  <c r="L32" i="14"/>
  <c r="K32" i="14"/>
  <c r="J32" i="14"/>
  <c r="I32" i="14"/>
  <c r="H32" i="14"/>
  <c r="G32" i="14"/>
  <c r="F32" i="14"/>
  <c r="E32" i="14"/>
  <c r="D32" i="14"/>
  <c r="C32" i="14"/>
  <c r="B32" i="14"/>
  <c r="AR55" i="14" l="1"/>
  <c r="AS55" i="14" s="1"/>
  <c r="AT55" i="14" s="1"/>
  <c r="AU55" i="14" s="1"/>
  <c r="AV55" i="14" s="1"/>
  <c r="AW55" i="14" s="1"/>
  <c r="AX55" i="14" s="1"/>
  <c r="AY55" i="14" s="1"/>
  <c r="AZ55" i="14" s="1"/>
  <c r="BA55" i="14" s="1"/>
  <c r="BB55" i="14" s="1"/>
  <c r="BC55" i="14" s="1"/>
  <c r="AR30" i="14"/>
  <c r="AS30" i="14" s="1"/>
  <c r="AT30" i="14" s="1"/>
  <c r="AU30" i="14" s="1"/>
  <c r="AV30" i="14" s="1"/>
  <c r="AW30" i="14" s="1"/>
  <c r="AX30" i="14" s="1"/>
  <c r="AY30" i="14" s="1"/>
  <c r="AZ30" i="14" s="1"/>
  <c r="BA30" i="14" s="1"/>
  <c r="BB30" i="14" s="1"/>
  <c r="BC30" i="14" s="1"/>
  <c r="AR4" i="14"/>
  <c r="AS4" i="14" s="1"/>
  <c r="AT4" i="14" s="1"/>
  <c r="AU4" i="14" s="1"/>
  <c r="AV4" i="14" s="1"/>
  <c r="AW4" i="14" s="1"/>
  <c r="AX4" i="14" s="1"/>
  <c r="AY4" i="14" s="1"/>
  <c r="AZ4" i="14" s="1"/>
  <c r="BA4" i="14" s="1"/>
  <c r="BB4" i="14" s="1"/>
  <c r="BC4" i="14" s="1"/>
  <c r="AD155" i="14"/>
  <c r="AE155" i="14" s="1"/>
  <c r="AF155" i="14" s="1"/>
  <c r="AG155" i="14" s="1"/>
  <c r="AH155" i="14" s="1"/>
  <c r="AI155" i="14" s="1"/>
  <c r="AJ155" i="14" s="1"/>
  <c r="AK155" i="14" s="1"/>
  <c r="AL155" i="14" s="1"/>
  <c r="AM155" i="14" s="1"/>
  <c r="AN155" i="14" s="1"/>
  <c r="AO155" i="14" s="1"/>
  <c r="AD130" i="14"/>
  <c r="AE130" i="14" s="1"/>
  <c r="AF130" i="14" s="1"/>
  <c r="AG130" i="14" s="1"/>
  <c r="AH130" i="14" s="1"/>
  <c r="AI130" i="14" s="1"/>
  <c r="AJ130" i="14" s="1"/>
  <c r="AK130" i="14" s="1"/>
  <c r="AL130" i="14" s="1"/>
  <c r="AM130" i="14" s="1"/>
  <c r="AN130" i="14" s="1"/>
  <c r="AO130" i="14" s="1"/>
  <c r="AD105" i="14"/>
  <c r="AE105" i="14" s="1"/>
  <c r="AF105" i="14" s="1"/>
  <c r="AG105" i="14" s="1"/>
  <c r="AH105" i="14" s="1"/>
  <c r="AI105" i="14" s="1"/>
  <c r="AJ105" i="14" s="1"/>
  <c r="AK105" i="14" s="1"/>
  <c r="AL105" i="14" s="1"/>
  <c r="AM105" i="14" s="1"/>
  <c r="AN105" i="14" s="1"/>
  <c r="AO105" i="14" s="1"/>
  <c r="AD80" i="14"/>
  <c r="AE80" i="14" s="1"/>
  <c r="AF80" i="14" s="1"/>
  <c r="AG80" i="14" s="1"/>
  <c r="AH80" i="14" s="1"/>
  <c r="AI80" i="14" s="1"/>
  <c r="AJ80" i="14" s="1"/>
  <c r="AK80" i="14" s="1"/>
  <c r="AL80" i="14" s="1"/>
  <c r="AM80" i="14" s="1"/>
  <c r="AN80" i="14" s="1"/>
  <c r="AO80" i="14" s="1"/>
  <c r="AD55" i="14"/>
  <c r="AE55" i="14" s="1"/>
  <c r="AF55" i="14" s="1"/>
  <c r="AG55" i="14" s="1"/>
  <c r="AH55" i="14" s="1"/>
  <c r="AI55" i="14" s="1"/>
  <c r="AJ55" i="14" s="1"/>
  <c r="AK55" i="14" s="1"/>
  <c r="AL55" i="14" s="1"/>
  <c r="AM55" i="14" s="1"/>
  <c r="AN55" i="14" s="1"/>
  <c r="AO55" i="14" s="1"/>
  <c r="AD30" i="14"/>
  <c r="AE30" i="14" s="1"/>
  <c r="AF30" i="14" s="1"/>
  <c r="AG30" i="14" s="1"/>
  <c r="AH30" i="14" s="1"/>
  <c r="AI30" i="14" s="1"/>
  <c r="AJ30" i="14" s="1"/>
  <c r="AK30" i="14" s="1"/>
  <c r="AL30" i="14" s="1"/>
  <c r="AM30" i="14" s="1"/>
  <c r="AN30" i="14" s="1"/>
  <c r="AO30" i="14" s="1"/>
  <c r="AD4" i="14"/>
  <c r="AE4" i="14" s="1"/>
  <c r="AF4" i="14" s="1"/>
  <c r="AG4" i="14" s="1"/>
  <c r="AH4" i="14" s="1"/>
  <c r="AI4" i="14" s="1"/>
  <c r="AJ4" i="14" s="1"/>
  <c r="AK4" i="14" s="1"/>
  <c r="AL4" i="14" s="1"/>
  <c r="AM4" i="14" s="1"/>
  <c r="AN4" i="14" s="1"/>
  <c r="AO4" i="14" s="1"/>
  <c r="P180" i="14"/>
  <c r="Q180" i="14" s="1"/>
  <c r="R180" i="14" s="1"/>
  <c r="S180" i="14" s="1"/>
  <c r="T180" i="14" s="1"/>
  <c r="U180" i="14" s="1"/>
  <c r="V180" i="14" s="1"/>
  <c r="W180" i="14" s="1"/>
  <c r="X180" i="14" s="1"/>
  <c r="Y180" i="14" s="1"/>
  <c r="Z180" i="14" s="1"/>
  <c r="AA180" i="14" s="1"/>
  <c r="P155" i="14"/>
  <c r="Q155" i="14" s="1"/>
  <c r="R155" i="14" s="1"/>
  <c r="S155" i="14" s="1"/>
  <c r="T155" i="14" s="1"/>
  <c r="U155" i="14" s="1"/>
  <c r="V155" i="14" s="1"/>
  <c r="W155" i="14" s="1"/>
  <c r="X155" i="14" s="1"/>
  <c r="Y155" i="14" s="1"/>
  <c r="Z155" i="14" s="1"/>
  <c r="AA155" i="14" s="1"/>
  <c r="P130" i="14"/>
  <c r="Q130" i="14" s="1"/>
  <c r="R130" i="14" s="1"/>
  <c r="S130" i="14" s="1"/>
  <c r="T130" i="14" s="1"/>
  <c r="U130" i="14" s="1"/>
  <c r="V130" i="14" s="1"/>
  <c r="W130" i="14" s="1"/>
  <c r="X130" i="14" s="1"/>
  <c r="Y130" i="14" s="1"/>
  <c r="Z130" i="14" s="1"/>
  <c r="AA130" i="14" s="1"/>
  <c r="P105" i="14"/>
  <c r="Q105" i="14" s="1"/>
  <c r="R105" i="14" s="1"/>
  <c r="S105" i="14" s="1"/>
  <c r="T105" i="14" s="1"/>
  <c r="U105" i="14" s="1"/>
  <c r="V105" i="14" s="1"/>
  <c r="W105" i="14" s="1"/>
  <c r="X105" i="14" s="1"/>
  <c r="Y105" i="14" s="1"/>
  <c r="Z105" i="14" s="1"/>
  <c r="AA105" i="14" s="1"/>
  <c r="P80" i="14"/>
  <c r="Q80" i="14" s="1"/>
  <c r="R80" i="14" s="1"/>
  <c r="S80" i="14" s="1"/>
  <c r="T80" i="14" s="1"/>
  <c r="U80" i="14" s="1"/>
  <c r="V80" i="14" s="1"/>
  <c r="W80" i="14" s="1"/>
  <c r="X80" i="14" s="1"/>
  <c r="Y80" i="14" s="1"/>
  <c r="Z80" i="14" s="1"/>
  <c r="AA80" i="14" s="1"/>
  <c r="P55" i="14"/>
  <c r="Q55" i="14" s="1"/>
  <c r="R55" i="14" s="1"/>
  <c r="S55" i="14" s="1"/>
  <c r="T55" i="14" s="1"/>
  <c r="U55" i="14" s="1"/>
  <c r="V55" i="14" s="1"/>
  <c r="W55" i="14" s="1"/>
  <c r="X55" i="14" s="1"/>
  <c r="Y55" i="14" s="1"/>
  <c r="Z55" i="14" s="1"/>
  <c r="AA55" i="14" s="1"/>
  <c r="P30" i="14"/>
  <c r="Q30" i="14" s="1"/>
  <c r="R30" i="14" s="1"/>
  <c r="S30" i="14" s="1"/>
  <c r="T30" i="14" s="1"/>
  <c r="U30" i="14" s="1"/>
  <c r="V30" i="14" s="1"/>
  <c r="W30" i="14" s="1"/>
  <c r="X30" i="14" s="1"/>
  <c r="Y30" i="14" s="1"/>
  <c r="Z30" i="14" s="1"/>
  <c r="AA30" i="14" s="1"/>
  <c r="P4" i="14"/>
  <c r="Q4" i="14" s="1"/>
  <c r="R4" i="14" s="1"/>
  <c r="S4" i="14" s="1"/>
  <c r="T4" i="14" s="1"/>
  <c r="U4" i="14" s="1"/>
  <c r="V4" i="14" s="1"/>
  <c r="W4" i="14" s="1"/>
  <c r="X4" i="14" s="1"/>
  <c r="Y4" i="14" s="1"/>
  <c r="Z4" i="14" s="1"/>
  <c r="AA4" i="14" s="1"/>
  <c r="B155" i="14" l="1"/>
  <c r="C155" i="14" s="1"/>
  <c r="D155" i="14" s="1"/>
  <c r="E155" i="14" s="1"/>
  <c r="F155" i="14" s="1"/>
  <c r="G155" i="14" s="1"/>
  <c r="H155" i="14" s="1"/>
  <c r="I155" i="14" s="1"/>
  <c r="J155" i="14" s="1"/>
  <c r="K155" i="14" s="1"/>
  <c r="L155" i="14" s="1"/>
  <c r="M155" i="14" s="1"/>
  <c r="B130" i="14"/>
  <c r="C130" i="14" s="1"/>
  <c r="D130" i="14" s="1"/>
  <c r="E130" i="14" s="1"/>
  <c r="F130" i="14" s="1"/>
  <c r="G130" i="14" s="1"/>
  <c r="H130" i="14" s="1"/>
  <c r="I130" i="14" s="1"/>
  <c r="J130" i="14" s="1"/>
  <c r="K130" i="14" s="1"/>
  <c r="L130" i="14" s="1"/>
  <c r="M130" i="14" s="1"/>
  <c r="B105" i="14"/>
  <c r="C105" i="14" s="1"/>
  <c r="D105" i="14" s="1"/>
  <c r="E105" i="14" s="1"/>
  <c r="F105" i="14" s="1"/>
  <c r="G105" i="14" s="1"/>
  <c r="H105" i="14" s="1"/>
  <c r="I105" i="14" s="1"/>
  <c r="J105" i="14" s="1"/>
  <c r="K105" i="14" s="1"/>
  <c r="L105" i="14" s="1"/>
  <c r="M105" i="14" s="1"/>
  <c r="B80" i="14"/>
  <c r="C80" i="14" s="1"/>
  <c r="D80" i="14" s="1"/>
  <c r="E80" i="14" s="1"/>
  <c r="F80" i="14" s="1"/>
  <c r="G80" i="14" s="1"/>
  <c r="H80" i="14" s="1"/>
  <c r="I80" i="14" s="1"/>
  <c r="J80" i="14" s="1"/>
  <c r="K80" i="14" s="1"/>
  <c r="L80" i="14" s="1"/>
  <c r="M80" i="14" s="1"/>
  <c r="B55" i="14"/>
  <c r="C55" i="14" s="1"/>
  <c r="D55" i="14" s="1"/>
  <c r="E55" i="14" s="1"/>
  <c r="F55" i="14" s="1"/>
  <c r="G55" i="14" s="1"/>
  <c r="H55" i="14" s="1"/>
  <c r="I55" i="14" s="1"/>
  <c r="J55" i="14" s="1"/>
  <c r="K55" i="14" s="1"/>
  <c r="L55" i="14" s="1"/>
  <c r="M55" i="14" s="1"/>
  <c r="B30" i="14"/>
  <c r="C30" i="14" s="1"/>
  <c r="D30" i="14" s="1"/>
  <c r="E30" i="14" s="1"/>
  <c r="F30" i="14" s="1"/>
  <c r="G30" i="14" s="1"/>
  <c r="H30" i="14" s="1"/>
  <c r="I30" i="14" s="1"/>
  <c r="J30" i="14" s="1"/>
  <c r="K30" i="14" s="1"/>
  <c r="L30" i="14" s="1"/>
  <c r="M30" i="14" s="1"/>
  <c r="B4" i="14"/>
  <c r="C4" i="14" s="1"/>
  <c r="D4" i="14" s="1"/>
  <c r="E4" i="14" s="1"/>
  <c r="F4" i="14" l="1"/>
  <c r="G4" i="14" s="1"/>
  <c r="H66" i="12" l="1"/>
  <c r="D185" i="12" s="1"/>
  <c r="H105" i="12"/>
  <c r="E185" i="12" s="1"/>
  <c r="H147" i="12"/>
  <c r="F185" i="12" s="1"/>
  <c r="G185" i="12" l="1"/>
  <c r="B5" i="14" l="1"/>
  <c r="C5" i="14" l="1"/>
  <c r="D5" i="14" s="1"/>
  <c r="E5" i="14" s="1"/>
  <c r="F5" i="14" s="1"/>
  <c r="G5" i="14" s="1"/>
  <c r="BA29" i="14" l="1"/>
  <c r="AW29" i="14"/>
  <c r="AS29" i="14"/>
  <c r="AY29" i="14"/>
  <c r="AX29" i="14"/>
  <c r="AZ29" i="14"/>
  <c r="AV29" i="14"/>
  <c r="AR29" i="14"/>
  <c r="BC29" i="14"/>
  <c r="AU29" i="14"/>
  <c r="BB29" i="14"/>
  <c r="AT29" i="14"/>
  <c r="BA54" i="14"/>
  <c r="AW54" i="14"/>
  <c r="AS54" i="14"/>
  <c r="BC54" i="14"/>
  <c r="AU54" i="14"/>
  <c r="BB54" i="14"/>
  <c r="AT54" i="14"/>
  <c r="AZ54" i="14"/>
  <c r="AV54" i="14"/>
  <c r="AR54" i="14"/>
  <c r="AY54" i="14"/>
  <c r="AX54" i="14"/>
  <c r="BC3" i="14"/>
  <c r="AY3" i="14"/>
  <c r="AU3" i="14"/>
  <c r="AR3" i="14"/>
  <c r="BB3" i="14"/>
  <c r="AX3" i="14"/>
  <c r="AT3" i="14"/>
  <c r="AV3" i="14"/>
  <c r="BA3" i="14"/>
  <c r="AW3" i="14"/>
  <c r="AS3" i="14"/>
  <c r="AZ3" i="14"/>
  <c r="AO154" i="14"/>
  <c r="AK154" i="14"/>
  <c r="AG154" i="14"/>
  <c r="AD154" i="14"/>
  <c r="AN154" i="14"/>
  <c r="AJ154" i="14"/>
  <c r="AF154" i="14"/>
  <c r="AH154" i="14"/>
  <c r="AM154" i="14"/>
  <c r="AI154" i="14"/>
  <c r="AE154" i="14"/>
  <c r="AL154" i="14"/>
  <c r="AO129" i="14"/>
  <c r="AK129" i="14"/>
  <c r="AG129" i="14"/>
  <c r="AN129" i="14"/>
  <c r="AJ129" i="14"/>
  <c r="AF129" i="14"/>
  <c r="AM129" i="14"/>
  <c r="AI129" i="14"/>
  <c r="AE129" i="14"/>
  <c r="AL129" i="14"/>
  <c r="AH129" i="14"/>
  <c r="AD129" i="14"/>
  <c r="AO104" i="14"/>
  <c r="AK104" i="14"/>
  <c r="AG104" i="14"/>
  <c r="AE104" i="14"/>
  <c r="AN104" i="14"/>
  <c r="AJ104" i="14"/>
  <c r="AF104" i="14"/>
  <c r="AM104" i="14"/>
  <c r="AL104" i="14"/>
  <c r="AH104" i="14"/>
  <c r="AD104" i="14"/>
  <c r="AI104" i="14"/>
  <c r="AO54" i="14"/>
  <c r="AK54" i="14"/>
  <c r="AG54" i="14"/>
  <c r="AM54" i="14"/>
  <c r="AE54" i="14"/>
  <c r="AN54" i="14"/>
  <c r="AJ54" i="14"/>
  <c r="AF54" i="14"/>
  <c r="AL54" i="14"/>
  <c r="AH54" i="14"/>
  <c r="AD54" i="14"/>
  <c r="AI54" i="14"/>
  <c r="AO29" i="14"/>
  <c r="AK29" i="14"/>
  <c r="AG29" i="14"/>
  <c r="AE29" i="14"/>
  <c r="AN29" i="14"/>
  <c r="AJ29" i="14"/>
  <c r="AF29" i="14"/>
  <c r="AM29" i="14"/>
  <c r="AL29" i="14"/>
  <c r="AH29" i="14"/>
  <c r="AD29" i="14"/>
  <c r="AI29" i="14"/>
  <c r="AA179" i="14"/>
  <c r="W179" i="14"/>
  <c r="S179" i="14"/>
  <c r="U179" i="14"/>
  <c r="Q179" i="14"/>
  <c r="T179" i="14"/>
  <c r="Z179" i="14"/>
  <c r="V179" i="14"/>
  <c r="R179" i="14"/>
  <c r="Y179" i="14"/>
  <c r="X179" i="14"/>
  <c r="P179" i="14"/>
  <c r="AA129" i="14"/>
  <c r="Z129" i="14"/>
  <c r="V129" i="14"/>
  <c r="R129" i="14"/>
  <c r="Y129" i="14"/>
  <c r="U129" i="14"/>
  <c r="Q129" i="14"/>
  <c r="X129" i="14"/>
  <c r="T129" i="14"/>
  <c r="P129" i="14"/>
  <c r="W129" i="14"/>
  <c r="S129" i="14"/>
  <c r="AA104" i="14"/>
  <c r="W104" i="14"/>
  <c r="S104" i="14"/>
  <c r="Z104" i="14"/>
  <c r="V104" i="14"/>
  <c r="R104" i="14"/>
  <c r="Y104" i="14"/>
  <c r="U104" i="14"/>
  <c r="Q104" i="14"/>
  <c r="X104" i="14"/>
  <c r="T104" i="14"/>
  <c r="P104" i="14"/>
  <c r="AA79" i="14"/>
  <c r="W79" i="14"/>
  <c r="S79" i="14"/>
  <c r="P79" i="14"/>
  <c r="Z79" i="14"/>
  <c r="V79" i="14"/>
  <c r="R79" i="14"/>
  <c r="T79" i="14"/>
  <c r="Y79" i="14"/>
  <c r="U79" i="14"/>
  <c r="Q79" i="14"/>
  <c r="X79" i="14"/>
  <c r="AA54" i="14"/>
  <c r="W54" i="14"/>
  <c r="S54" i="14"/>
  <c r="Y54" i="14"/>
  <c r="Q54" i="14"/>
  <c r="T54" i="14"/>
  <c r="Z54" i="14"/>
  <c r="V54" i="14"/>
  <c r="R54" i="14"/>
  <c r="U54" i="14"/>
  <c r="X54" i="14"/>
  <c r="P54" i="14"/>
  <c r="M129" i="14"/>
  <c r="L129" i="14"/>
  <c r="H129" i="14"/>
  <c r="D129" i="14"/>
  <c r="E129" i="14"/>
  <c r="K129" i="14"/>
  <c r="G129" i="14"/>
  <c r="C129" i="14"/>
  <c r="J129" i="14"/>
  <c r="F129" i="14"/>
  <c r="B129" i="14"/>
  <c r="I129" i="14"/>
  <c r="M104" i="14"/>
  <c r="I104" i="14"/>
  <c r="E104" i="14"/>
  <c r="B104" i="14"/>
  <c r="L104" i="14"/>
  <c r="H104" i="14"/>
  <c r="D104" i="14"/>
  <c r="J104" i="14"/>
  <c r="K104" i="14"/>
  <c r="G104" i="14"/>
  <c r="C104" i="14"/>
  <c r="F104" i="14"/>
  <c r="M54" i="14"/>
  <c r="I54" i="14"/>
  <c r="E54" i="14"/>
  <c r="G54" i="14"/>
  <c r="J54" i="14"/>
  <c r="B54" i="14"/>
  <c r="L54" i="14"/>
  <c r="H54" i="14"/>
  <c r="D54" i="14"/>
  <c r="K54" i="14"/>
  <c r="C54" i="14"/>
  <c r="F54" i="14"/>
  <c r="M29" i="14"/>
  <c r="I29" i="14"/>
  <c r="E29" i="14"/>
  <c r="G29" i="14"/>
  <c r="C29" i="14"/>
  <c r="F29" i="14"/>
  <c r="L29" i="14"/>
  <c r="H29" i="14"/>
  <c r="D29" i="14"/>
  <c r="K29" i="14"/>
  <c r="J29" i="14"/>
  <c r="B29" i="14"/>
  <c r="D31" i="11"/>
  <c r="D70" i="11"/>
  <c r="D71" i="11"/>
  <c r="D69" i="11"/>
  <c r="D59" i="11"/>
  <c r="D58" i="11"/>
  <c r="D72" i="11"/>
  <c r="D61" i="11"/>
  <c r="D51" i="11"/>
  <c r="D40" i="11"/>
  <c r="D41" i="11"/>
  <c r="D6" i="11"/>
  <c r="D32" i="11"/>
  <c r="D30" i="11"/>
  <c r="D48" i="11"/>
  <c r="D50" i="11"/>
  <c r="D21" i="11"/>
  <c r="D19" i="11"/>
  <c r="D65" i="11"/>
  <c r="D49" i="11"/>
  <c r="D20" i="11"/>
  <c r="D33" i="11"/>
  <c r="D63" i="11"/>
  <c r="D62" i="11"/>
  <c r="D22" i="11"/>
  <c r="D18" i="11"/>
  <c r="D17" i="11"/>
  <c r="D7" i="11"/>
  <c r="D23" i="11" l="1"/>
  <c r="D64" i="11"/>
  <c r="D67" i="11"/>
  <c r="D60" i="11"/>
  <c r="D66" i="11"/>
  <c r="D68" i="11"/>
  <c r="D52" i="11"/>
  <c r="D42" i="11"/>
  <c r="D34" i="11"/>
  <c r="D5" i="11"/>
  <c r="D8" i="11" s="1"/>
  <c r="D73" i="11" l="1"/>
  <c r="F154" i="22" l="1"/>
  <c r="I154" i="22"/>
  <c r="F55" i="22"/>
  <c r="I55" i="22"/>
  <c r="H5" i="14"/>
  <c r="DO108" i="1" l="1"/>
  <c r="DB108" i="1"/>
  <c r="I140" i="22"/>
  <c r="I5" i="14"/>
  <c r="J5" i="14" s="1"/>
  <c r="K5" i="14" s="1"/>
  <c r="L5" i="14" s="1"/>
  <c r="M5" i="14" s="1"/>
  <c r="E79" i="14"/>
  <c r="F79" i="14"/>
  <c r="J79" i="14"/>
  <c r="L79" i="14"/>
  <c r="K79" i="14"/>
  <c r="B79" i="14"/>
  <c r="M79" i="14"/>
  <c r="H79" i="14"/>
  <c r="G79" i="14"/>
  <c r="I79" i="14"/>
  <c r="D79" i="14"/>
  <c r="C79" i="14"/>
  <c r="AO79" i="14"/>
  <c r="AN79" i="14"/>
  <c r="AL79" i="14"/>
  <c r="AK79" i="14"/>
  <c r="AJ79" i="14"/>
  <c r="AH79" i="14"/>
  <c r="AG79" i="14"/>
  <c r="AF79" i="14"/>
  <c r="AD79" i="14"/>
  <c r="AE79" i="14"/>
  <c r="AM79" i="14"/>
  <c r="AI79" i="14"/>
  <c r="F12" i="22" l="1"/>
  <c r="I12" i="22"/>
  <c r="EP108" i="1"/>
  <c r="I167" i="22"/>
  <c r="F140" i="22"/>
  <c r="D17" i="22"/>
  <c r="E12" i="10"/>
  <c r="F17" i="22" l="1"/>
  <c r="I17" i="22"/>
  <c r="F25" i="22"/>
  <c r="I25" i="22"/>
  <c r="F167" i="22"/>
  <c r="D30" i="22"/>
  <c r="F30" i="22" s="1"/>
  <c r="Q29" i="14" l="1"/>
  <c r="U29" i="14"/>
  <c r="Y29" i="14"/>
  <c r="R29" i="14"/>
  <c r="V29" i="14"/>
  <c r="Z29" i="14"/>
  <c r="S29" i="14"/>
  <c r="W29" i="14"/>
  <c r="AA29" i="14"/>
  <c r="T29" i="14"/>
  <c r="X29" i="14"/>
  <c r="P29" i="14"/>
  <c r="EO15" i="1"/>
  <c r="EO319" i="1" s="1"/>
  <c r="EB15" i="1"/>
  <c r="EB319" i="1" s="1"/>
  <c r="DO15" i="1"/>
  <c r="DO319" i="1" s="1"/>
  <c r="DB15" i="1"/>
  <c r="DB319" i="1" s="1"/>
  <c r="CO15" i="1"/>
  <c r="CO319" i="1" s="1"/>
  <c r="EP15" i="1" l="1"/>
  <c r="EP319" i="1" s="1"/>
  <c r="I154" i="14" l="1"/>
  <c r="H154" i="14"/>
  <c r="G154" i="14"/>
  <c r="F154" i="14"/>
  <c r="E154" i="14"/>
  <c r="D154" i="14"/>
  <c r="C154" i="14"/>
  <c r="J154" i="14"/>
  <c r="M154" i="14"/>
  <c r="L154" i="14"/>
  <c r="K154" i="14"/>
  <c r="B154" i="14"/>
  <c r="AO3" i="14" l="1"/>
  <c r="AF3" i="14"/>
  <c r="AD3" i="14"/>
  <c r="AI3" i="14"/>
  <c r="AE3" i="14"/>
  <c r="AN3" i="14"/>
  <c r="AM3" i="14"/>
  <c r="AG3" i="14"/>
  <c r="AH3" i="14"/>
  <c r="AK3" i="14"/>
  <c r="AJ3" i="14"/>
  <c r="AL3" i="14"/>
  <c r="F138" i="22" l="1"/>
  <c r="I138" i="22"/>
  <c r="F78" i="22"/>
  <c r="I78" i="22"/>
  <c r="I165" i="22"/>
  <c r="D79" i="22"/>
  <c r="F79" i="22" l="1"/>
  <c r="I79" i="22"/>
  <c r="F91" i="22"/>
  <c r="I91" i="22"/>
  <c r="D92" i="22"/>
  <c r="F165" i="22"/>
  <c r="F92" i="22" l="1"/>
  <c r="I92" i="22"/>
  <c r="BZ319" i="1" l="1"/>
  <c r="CA29" i="1"/>
  <c r="CA319" i="1" s="1"/>
  <c r="S154" i="14"/>
  <c r="X154" i="14"/>
  <c r="R3" i="14"/>
  <c r="I130" i="22"/>
  <c r="W154" i="14"/>
  <c r="T154" i="14"/>
  <c r="AA3" i="14"/>
  <c r="U154" i="14"/>
  <c r="Q154" i="14"/>
  <c r="T3" i="14"/>
  <c r="V154" i="14"/>
  <c r="X3" i="14"/>
  <c r="Q3" i="14"/>
  <c r="V3" i="14"/>
  <c r="W3" i="14"/>
  <c r="Z154" i="14"/>
  <c r="R154" i="14"/>
  <c r="Z3" i="14"/>
  <c r="Y3" i="14"/>
  <c r="S3" i="14"/>
  <c r="U3" i="14"/>
  <c r="Y154" i="14"/>
  <c r="P154" i="14"/>
  <c r="P3" i="14"/>
  <c r="AA154" i="14"/>
  <c r="F45" i="22" l="1"/>
  <c r="I45" i="22"/>
  <c r="F130" i="22"/>
  <c r="D147" i="22"/>
  <c r="I157" i="22"/>
  <c r="D48" i="22"/>
  <c r="F48" i="22" l="1"/>
  <c r="I48" i="22"/>
  <c r="F58" i="22"/>
  <c r="I58" i="22"/>
  <c r="F147" i="22"/>
  <c r="I147" i="22"/>
  <c r="D61" i="22"/>
  <c r="F157" i="22"/>
  <c r="D174" i="22"/>
  <c r="F61" i="22" l="1"/>
  <c r="I61" i="22"/>
  <c r="F174" i="22"/>
  <c r="I174" i="22"/>
</calcChain>
</file>

<file path=xl/comments1.xml><?xml version="1.0" encoding="utf-8"?>
<comments xmlns="http://schemas.openxmlformats.org/spreadsheetml/2006/main">
  <authors>
    <author>C056191</author>
    <author>c055300</author>
    <author>e217761</author>
    <author>c056525</author>
    <author>Jorge</author>
  </authors>
  <commentList>
    <comment ref="CB4" authorId="0" shapeId="0">
      <text>
        <r>
          <rPr>
            <sz val="9"/>
            <color indexed="81"/>
            <rFont val="Segoe UI"/>
            <family val="2"/>
          </rPr>
          <t>Programação da execução física do projeto (mensal/anual).</t>
        </r>
      </text>
    </comment>
    <comment ref="CB5" authorId="0" shapeId="0">
      <text>
        <r>
          <rPr>
            <sz val="9"/>
            <color indexed="81"/>
            <rFont val="Segoe UI"/>
            <family val="2"/>
          </rPr>
          <t>Métrica física para acompanhamento da execução do projeto.
Ex: Nº Equipamentos, Nº Mobiliário, m2 de obra civil</t>
        </r>
      </text>
    </comment>
    <comment ref="B6" authorId="0" shapeId="0">
      <text>
        <r>
          <rPr>
            <sz val="9"/>
            <color indexed="81"/>
            <rFont val="Segoe UI"/>
            <family val="2"/>
          </rPr>
          <t xml:space="preserve">Negócio ao qual o projeto proposto deverá ser vinculado
</t>
        </r>
      </text>
    </comment>
    <comment ref="C6" authorId="0" shapeId="0">
      <text>
        <r>
          <rPr>
            <sz val="9"/>
            <color indexed="81"/>
            <rFont val="Segoe UI"/>
            <family val="2"/>
          </rPr>
          <t>Agrupamento ao qual pertence o projeto proposto.</t>
        </r>
      </text>
    </comment>
    <comment ref="D6" authorId="0" shapeId="0">
      <text>
        <r>
          <rPr>
            <sz val="9"/>
            <color indexed="81"/>
            <rFont val="Segoe UI"/>
            <family val="2"/>
          </rPr>
          <t xml:space="preserve">Orgão responsável pela execução do projeto.
</t>
        </r>
      </text>
    </comment>
    <comment ref="E6" authorId="0" shapeId="0">
      <text>
        <r>
          <rPr>
            <sz val="9"/>
            <color indexed="81"/>
            <rFont val="Segoe UI"/>
            <family val="2"/>
          </rPr>
          <t xml:space="preserve">Empregado que responde pelas informações e resultados do projeto.
</t>
        </r>
      </text>
    </comment>
    <comment ref="G6" authorId="0" shapeId="0">
      <text>
        <r>
          <rPr>
            <sz val="9"/>
            <color indexed="81"/>
            <rFont val="Segoe UI"/>
            <family val="2"/>
          </rPr>
          <t xml:space="preserve">Empregado que responde pelas informações e resultados do projeto.
</t>
        </r>
      </text>
    </comment>
    <comment ref="H6" authorId="0" shapeId="0">
      <text>
        <r>
          <rPr>
            <sz val="9"/>
            <color indexed="81"/>
            <rFont val="Segoe UI"/>
            <family val="2"/>
          </rPr>
          <t xml:space="preserve">Diretoria ao qual o órgão responsável está subordinado.
</t>
        </r>
      </text>
    </comment>
    <comment ref="K6" authorId="0" shapeId="0">
      <text>
        <r>
          <rPr>
            <sz val="9"/>
            <color indexed="81"/>
            <rFont val="Segoe UI"/>
            <family val="2"/>
          </rPr>
          <t xml:space="preserve">O título do Projeto deverá indicar, de maneira sintética, o conteúdo do projeto (fornecer uma ideia inicial).
</t>
        </r>
      </text>
    </comment>
    <comment ref="L6" authorId="0" shapeId="0">
      <text>
        <r>
          <rPr>
            <sz val="9"/>
            <color indexed="81"/>
            <rFont val="Segoe UI"/>
            <family val="2"/>
          </rPr>
          <t xml:space="preserve">Apresenta a finalidade principal do projeto, com clareza e objetividade. 
</t>
        </r>
      </text>
    </comment>
    <comment ref="M6" authorId="0" shapeId="0">
      <text>
        <r>
          <rPr>
            <sz val="9"/>
            <color indexed="81"/>
            <rFont val="Segoe UI"/>
            <family val="2"/>
          </rPr>
          <t>Relacionar os riscos que a não execução do projeto implica.
(impacto nos Negócios, Legais, Regulatórios).</t>
        </r>
      </text>
    </comment>
    <comment ref="CB6" authorId="0" shapeId="0">
      <text>
        <r>
          <rPr>
            <sz val="9"/>
            <color indexed="81"/>
            <rFont val="Segoe UI"/>
            <family val="2"/>
          </rPr>
          <t>Métrica física para acompanhamento da execução do projeto.
Ex: Nº Equipamentos, Nº Mobiliário, m2 de obra civil</t>
        </r>
      </text>
    </comment>
    <comment ref="K9" authorId="1" shapeId="0">
      <text>
        <r>
          <rPr>
            <b/>
            <sz val="9"/>
            <color indexed="81"/>
            <rFont val="Segoe UI"/>
            <family val="2"/>
          </rPr>
          <t>Aquisição de 41 Equipamentos de Ar condicionado e 3 bebedouros</t>
        </r>
      </text>
    </comment>
    <comment ref="K10" authorId="1" shapeId="0">
      <text>
        <r>
          <rPr>
            <b/>
            <sz val="9"/>
            <color indexed="81"/>
            <rFont val="Segoe UI"/>
            <family val="2"/>
          </rPr>
          <t xml:space="preserve">Aquisição de mobiliário para EEA – R$ 131 mil – desembolso 50% 2019 e 50% 2020 – Possibilita redução aproximadamente 50 m²
Aquisição de mobiliário para reposição – R$ 200 mil – desembolso 25% em 2019 – 2020 – 2021- 2022
</t>
        </r>
      </text>
    </comment>
    <comment ref="K12" authorId="1" shapeId="0">
      <text>
        <r>
          <rPr>
            <sz val="9"/>
            <color indexed="81"/>
            <rFont val="Segoe UI"/>
            <family val="2"/>
          </rPr>
          <t>Aquisição de 41 Equipamentos de Ar condicionado e 3 bebedouros.</t>
        </r>
        <r>
          <rPr>
            <b/>
            <sz val="9"/>
            <color indexed="81"/>
            <rFont val="Segoe UI"/>
            <family val="2"/>
          </rPr>
          <t xml:space="preserve">
26/06/2018 </t>
        </r>
        <r>
          <rPr>
            <sz val="9"/>
            <color indexed="81"/>
            <rFont val="Segoe UI"/>
            <family val="2"/>
          </rPr>
          <t>- Laudo do projeto 132 mil.</t>
        </r>
      </text>
    </comment>
    <comment ref="K13" authorId="1" shapeId="0">
      <text>
        <r>
          <rPr>
            <b/>
            <sz val="9"/>
            <color indexed="81"/>
            <rFont val="Segoe UI"/>
            <family val="2"/>
          </rPr>
          <t>11/09/18:
Recurso deR$ 127 em 2018 veio de projeto da SC que era despesa. Para o REP foram necessários R$ 40 mil. O restante (R$ 87 mil) foi transferido para o Saldo de NA de edificações da G em 2019.</t>
        </r>
      </text>
    </comment>
    <comment ref="K19" authorId="1" shapeId="0">
      <text>
        <r>
          <rPr>
            <b/>
            <sz val="9"/>
            <color indexed="81"/>
            <rFont val="Segoe UI"/>
            <family val="2"/>
          </rPr>
          <t>11/09/18:
Recurso deR$ 127 em 2018 veio de projeto da SC que era despesa. Para o REP foram necessários R$ 40 mil. O restante (R$ 87 mil) foi transferido para o Saldo de NA de edificações da G em 2019.</t>
        </r>
      </text>
    </comment>
    <comment ref="K50" authorId="1" shapeId="0">
      <text>
        <r>
          <rPr>
            <b/>
            <sz val="9"/>
            <color indexed="81"/>
            <rFont val="Segoe UI"/>
            <family val="2"/>
          </rPr>
          <t xml:space="preserve">03/09 - valor original R$ 78 mil. Valor liberado SAP R$ 74 mil. Transferido R$ 4 mil para saldo de NA.
</t>
        </r>
      </text>
    </comment>
    <comment ref="K58" authorId="1" shapeId="0">
      <text>
        <r>
          <rPr>
            <b/>
            <sz val="9"/>
            <color indexed="81"/>
            <rFont val="Segoe UI"/>
            <family val="2"/>
          </rPr>
          <t xml:space="preserve">03/09/18 - R$ 4 mil veio do projeto PO00117.
</t>
        </r>
        <r>
          <rPr>
            <sz val="9"/>
            <color indexed="81"/>
            <rFont val="Segoe UI"/>
            <family val="2"/>
          </rPr>
          <t xml:space="preserve">
</t>
        </r>
      </text>
    </comment>
    <comment ref="K83" authorId="1" shapeId="0">
      <text>
        <r>
          <rPr>
            <b/>
            <sz val="9"/>
            <color indexed="81"/>
            <rFont val="Segoe UI"/>
            <family val="2"/>
          </rPr>
          <t xml:space="preserve">26/06/2018; Cedido R$200 mil desse projeto para o Macroprojeto sistemas da T.
 </t>
        </r>
        <r>
          <rPr>
            <sz val="9"/>
            <color indexed="81"/>
            <rFont val="Segoe UI"/>
            <family val="2"/>
          </rPr>
          <t xml:space="preserve">
</t>
        </r>
      </text>
    </comment>
    <comment ref="K84" authorId="1" shapeId="0">
      <text>
        <r>
          <rPr>
            <b/>
            <sz val="9"/>
            <color indexed="81"/>
            <rFont val="Segoe UI"/>
            <family val="2"/>
          </rPr>
          <t xml:space="preserve">08/05/2018
Retirado R$3,48 mil para cobrir realização do projeto MT00516 em 2018.
</t>
        </r>
      </text>
    </comment>
    <comment ref="K87" authorId="1" shapeId="0">
      <text>
        <r>
          <rPr>
            <b/>
            <sz val="9"/>
            <color indexed="81"/>
            <rFont val="Segoe UI"/>
            <family val="2"/>
          </rPr>
          <t xml:space="preserve">Projeto MD00118 cedeu R$ 12,704649 mil para cobrir o projeto CD00315.
10.07.2018: O projeto RH00118  cedeu R$ 24 mil em 2019 para devolver para o Projeto MD00118 que emprestou esse valor em 2018 para o projeto RH00218.
</t>
        </r>
      </text>
    </comment>
    <comment ref="K88" authorId="1" shapeId="0">
      <text>
        <r>
          <rPr>
            <b/>
            <sz val="9"/>
            <color indexed="81"/>
            <rFont val="Segoe UI"/>
            <family val="2"/>
          </rPr>
          <t xml:space="preserve">Projeto MD00118 cedeu R$ 12,704649 mil para cobrir o projeto CD00315.
10.07.2018: O projeto RH00118  cedeu R$ 24 mil em 2019 para devolver para o Projeto MD00118 que emprestou esse valor em 2018 para o projeto RH00218.
Projeto MD00118 cedeu 155 mil para o EM00118.
Transferido 240 mil de 2018 para 2019.
</t>
        </r>
      </text>
    </comment>
    <comment ref="K93" authorId="1" shapeId="0">
      <text>
        <r>
          <rPr>
            <b/>
            <sz val="9"/>
            <color indexed="81"/>
            <rFont val="Segoe UI"/>
            <family val="2"/>
          </rPr>
          <t>10.07.2018: O projeto RH00118  cedeu R$ 24 mil em 2019 para devolver para o Projeto MD00118 que emprestou esse valor em 2018 para o projeto RH00218.</t>
        </r>
      </text>
    </comment>
    <comment ref="K95" authorId="1" shapeId="0">
      <text>
        <r>
          <rPr>
            <b/>
            <sz val="9"/>
            <color indexed="81"/>
            <rFont val="Segoe UI"/>
            <family val="2"/>
          </rPr>
          <t>31/08/2018 - AD00118 cedeu R$ 10 mil em 2018 para o EA00118.</t>
        </r>
      </text>
    </comment>
    <comment ref="K96" authorId="1" shapeId="0">
      <text>
        <r>
          <rPr>
            <b/>
            <sz val="9"/>
            <color indexed="81"/>
            <rFont val="Segoe UI"/>
            <family val="2"/>
          </rPr>
          <t>10.07.2018: O projeto RH00118  cedeu R$ 24 mil em 2019 para devolver para o Projeto MD00118 que emprestou esse valor em 2018 para o projeto RH00218.</t>
        </r>
      </text>
    </comment>
    <comment ref="K101" authorId="1" shapeId="0">
      <text>
        <r>
          <rPr>
            <b/>
            <sz val="9"/>
            <color indexed="81"/>
            <rFont val="Segoe UI"/>
            <family val="2"/>
          </rPr>
          <t xml:space="preserve">Recusros cedido pelo projeto MD00118 para cobrir a realização de R$12,70464 mil
</t>
        </r>
      </text>
    </comment>
    <comment ref="K107" authorId="1" shapeId="0">
      <text>
        <r>
          <rPr>
            <b/>
            <sz val="9"/>
            <color indexed="81"/>
            <rFont val="Segoe UI"/>
            <family val="2"/>
          </rPr>
          <t xml:space="preserve">12/09/18:  Projeto Sotware para GR (antigo saldo da DDC - meio ambiente) cedeu R$ 45 mil paara cobrir deficit do projeto EA00118 (do Afonso Vanderlei).
</t>
        </r>
      </text>
    </comment>
    <comment ref="K108" authorId="2" shapeId="0">
      <text>
        <r>
          <rPr>
            <b/>
            <sz val="9"/>
            <color indexed="81"/>
            <rFont val="Segoe UI"/>
            <family val="2"/>
          </rPr>
          <t>e217761:</t>
        </r>
        <r>
          <rPr>
            <sz val="9"/>
            <color indexed="81"/>
            <rFont val="Segoe UI"/>
            <family val="2"/>
          </rPr>
          <t xml:space="preserve">
Adelaide: 60% da área é utilizada pela Distribuição para guarda de mobiliário
12% é ocupada por benheiro e vestiário
28% é utilzada pela EP/EC - GerÇencia de Expansão da Geração.
</t>
        </r>
        <r>
          <rPr>
            <b/>
            <sz val="9"/>
            <color indexed="81"/>
            <rFont val="Segoe UI"/>
            <family val="2"/>
          </rPr>
          <t xml:space="preserve">24/05/2018: </t>
        </r>
        <r>
          <rPr>
            <sz val="9"/>
            <color indexed="81"/>
            <rFont val="Segoe UI"/>
            <family val="2"/>
          </rPr>
          <t xml:space="preserve">Projeto cedeu R$ 10,1 mil em 2018 para o projeto SC00418 para aquisiçõ e instalação de ar condicionado no escritório de Brasília.
</t>
        </r>
        <r>
          <rPr>
            <b/>
            <sz val="9"/>
            <color indexed="81"/>
            <rFont val="Segoe UI"/>
            <family val="2"/>
          </rPr>
          <t>25/05/2018:</t>
        </r>
        <r>
          <rPr>
            <sz val="9"/>
            <color indexed="81"/>
            <rFont val="Segoe UI"/>
            <family val="2"/>
          </rPr>
          <t xml:space="preserve">Projeto cedeu R$ 23,331 mil em 2018 para o projeto SC00518 - Extintores e R$ 60 mil para o projeto de aquisição de equipamentos de video/imagem para CE.
</t>
        </r>
      </text>
    </comment>
    <comment ref="K111" authorId="1" shapeId="0">
      <text>
        <r>
          <rPr>
            <b/>
            <sz val="9"/>
            <color indexed="81"/>
            <rFont val="Segoe UI"/>
            <family val="2"/>
          </rPr>
          <t xml:space="preserve">08/06/18: 08/06/18: Esse projeto recebeu R$ 45 mil em 2018 do projeto Controle de Acesso do Interior.
</t>
        </r>
      </text>
    </comment>
    <comment ref="K116"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02/05/2018 - Aquisição em 2018: 18 aparelhos de ar condicionado, 21 Bebedouros, 10 projetores e 4 microondas. Retirado R$ 12 mil do projetos de equipamentos de conzinha e passado para esse projeto (SC00418).
</t>
        </r>
      </text>
    </comment>
    <comment ref="K124" authorId="1" shapeId="0">
      <text>
        <r>
          <rPr>
            <b/>
            <sz val="9"/>
            <color indexed="81"/>
            <rFont val="Segoe UI"/>
            <family val="2"/>
          </rPr>
          <t xml:space="preserve">13/06 - Projeto cedeu R$ 65 mil para o Sistema Multiponto.
</t>
        </r>
        <r>
          <rPr>
            <sz val="9"/>
            <color indexed="81"/>
            <rFont val="Segoe UI"/>
            <family val="2"/>
          </rPr>
          <t xml:space="preserve">
</t>
        </r>
      </text>
    </comment>
    <comment ref="K125" authorId="1" shapeId="0">
      <text>
        <r>
          <rPr>
            <b/>
            <sz val="9"/>
            <color indexed="81"/>
            <rFont val="Segoe UI"/>
            <family val="2"/>
          </rPr>
          <t>10.07.2018: O projeto RH00118  cedeu R$ 24 mil em 2019 para devolver para o Projeto MD00118 que emprestou esse valor em 2018 para o projeto RH00218.</t>
        </r>
      </text>
    </comment>
    <comment ref="K134" authorId="1" shapeId="0">
      <text>
        <r>
          <rPr>
            <b/>
            <sz val="9"/>
            <color indexed="81"/>
            <rFont val="Segoe UI"/>
            <family val="2"/>
          </rPr>
          <t xml:space="preserve">02/05/2018 - Transferido R$ 12 mil deste projeto para o SC00418 (Aquisição de EG) para aquisição de 4 fornos microondas.
- Transferido R$6,5 mil deste projeto para o SC00818 (aquisição de carrinho cozinha Diretoria)
</t>
        </r>
      </text>
    </comment>
    <comment ref="K135" authorId="1" shapeId="0">
      <text>
        <r>
          <rPr>
            <b/>
            <sz val="9"/>
            <color indexed="81"/>
            <rFont val="Segoe UI"/>
            <family val="2"/>
          </rPr>
          <t xml:space="preserve">16/11/2017: </t>
        </r>
        <r>
          <rPr>
            <sz val="9"/>
            <color indexed="81"/>
            <rFont val="Segoe UI"/>
            <family val="2"/>
          </rPr>
          <t xml:space="preserve">antecipado desembolso de R$220 mil previsto para 2019 para 2018 em função de urgência do projeto à pedido dos diretores da DGE e DDC (Lins e Ronaldo).
</t>
        </r>
        <r>
          <rPr>
            <b/>
            <sz val="9"/>
            <color indexed="81"/>
            <rFont val="Segoe UI"/>
            <family val="2"/>
          </rPr>
          <t xml:space="preserve">25/06/2018 - </t>
        </r>
        <r>
          <rPr>
            <sz val="9"/>
            <color indexed="81"/>
            <rFont val="Segoe UI"/>
            <family val="2"/>
          </rPr>
          <t xml:space="preserve">Laudo do projeto R$ 250 mil para 2018. Foi postergado R$ 198 para 2019 e deixado (SC) apenas R$ 52 mil para 2018.
</t>
        </r>
      </text>
    </comment>
    <comment ref="K139" authorId="1" shapeId="0">
      <text>
        <r>
          <rPr>
            <b/>
            <sz val="9"/>
            <color indexed="81"/>
            <rFont val="Segoe UI"/>
            <family val="2"/>
          </rPr>
          <t xml:space="preserve">11/09/18: Projeto não pertencia à carteira de investimento. O recurso dele veio de projeto da SC que foi classificado como despesa.
Inicilmente o valor era de 16 mil e depois foi adicionado mais 160 mil.
</t>
        </r>
      </text>
    </comment>
    <comment ref="K141" authorId="1" shapeId="0">
      <text>
        <r>
          <rPr>
            <b/>
            <sz val="9"/>
            <color indexed="81"/>
            <rFont val="Segoe UI"/>
            <family val="2"/>
          </rPr>
          <t xml:space="preserve">08/06/18: Esse projeto cedeu R$ 45 mil em 2018 para o projeto sistema Multiponto de videoconferência.
13/06- Cedeu mais 15 mil para o mesmo projeto.
</t>
        </r>
      </text>
    </comment>
    <comment ref="K142"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02/05/2018 - Aquisição em 2018: 18 aparelhos de ar condicionado, 21 Bebedouros, 10 projetores e 4 microondas. 
Retirado R$ 12 mil do projetos de equipamentos de cozinha e passado para esse projeto (SC00418).
</t>
        </r>
      </text>
    </comment>
    <comment ref="K146" authorId="1" shapeId="0">
      <text>
        <r>
          <rPr>
            <sz val="9"/>
            <color indexed="81"/>
            <rFont val="Segoe UI"/>
            <family val="2"/>
          </rPr>
          <t xml:space="preserve">26/06/2018: Recurso (R$ 125 mil) cedido dos projetos de meio ambiente da CD que foram para o PDD.
</t>
        </r>
      </text>
    </comment>
    <comment ref="K148" authorId="1" shapeId="0">
      <text>
        <r>
          <rPr>
            <b/>
            <sz val="9"/>
            <color indexed="81"/>
            <rFont val="Segoe UI"/>
            <family val="2"/>
          </rPr>
          <t xml:space="preserve">27/06/2018: Transferido 36 mil para Microinformática para aquisição de Notebooks.
</t>
        </r>
      </text>
    </comment>
    <comment ref="K154" authorId="1" shapeId="0">
      <text>
        <r>
          <rPr>
            <sz val="9"/>
            <color indexed="81"/>
            <rFont val="Segoe UI"/>
            <family val="2"/>
          </rPr>
          <t>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t>
        </r>
      </text>
    </comment>
    <comment ref="CH161" authorId="1" shapeId="0">
      <text>
        <r>
          <rPr>
            <b/>
            <sz val="9"/>
            <color indexed="81"/>
            <rFont val="Segoe UI"/>
            <family val="2"/>
          </rPr>
          <t xml:space="preserve">6 cadeiras
1 Geladeira
</t>
        </r>
      </text>
    </comment>
    <comment ref="K163" authorId="1" shapeId="0">
      <text>
        <r>
          <rPr>
            <sz val="9"/>
            <color indexed="81"/>
            <rFont val="Segoe UI"/>
            <family val="2"/>
          </rPr>
          <t>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t>
        </r>
      </text>
    </comment>
    <comment ref="K209" authorId="3" shapeId="0">
      <text>
        <r>
          <rPr>
            <b/>
            <sz val="9"/>
            <color indexed="81"/>
            <rFont val="Segoe UI"/>
            <family val="2"/>
          </rPr>
          <t>c056525:</t>
        </r>
        <r>
          <rPr>
            <sz val="9"/>
            <color indexed="81"/>
            <rFont val="Segoe UI"/>
            <family val="2"/>
          </rPr>
          <t xml:space="preserve">
Antigo: IE3000/ISE/AS Rede/Analise Vuln./Calculo Enlace</t>
        </r>
      </text>
    </comment>
    <comment ref="K257" authorId="3" shapeId="0">
      <text>
        <r>
          <rPr>
            <b/>
            <sz val="9"/>
            <color indexed="81"/>
            <rFont val="Segoe UI"/>
            <family val="2"/>
          </rPr>
          <t>c056525:</t>
        </r>
        <r>
          <rPr>
            <sz val="9"/>
            <color indexed="81"/>
            <rFont val="Segoe UI"/>
            <family val="2"/>
          </rPr>
          <t xml:space="preserve">
Substituição de Terminais Servers nas salas de telemática</t>
        </r>
      </text>
    </comment>
    <comment ref="K260" authorId="3" shapeId="0">
      <text>
        <r>
          <rPr>
            <b/>
            <sz val="9"/>
            <color indexed="81"/>
            <rFont val="Segoe UI"/>
            <family val="2"/>
          </rPr>
          <t>c056525:</t>
        </r>
        <r>
          <rPr>
            <sz val="9"/>
            <color indexed="81"/>
            <rFont val="Segoe UI"/>
            <family val="2"/>
          </rPr>
          <t xml:space="preserve">
Software: Automatização de Processos de Suprimentos - BPMS</t>
        </r>
      </text>
    </comment>
    <comment ref="K264" authorId="4" shapeId="0">
      <text>
        <r>
          <rPr>
            <sz val="9"/>
            <color indexed="81"/>
            <rFont val="Tahoma"/>
            <family val="2"/>
          </rPr>
          <t>Antes nomeado como "Versionamento GeoÁrvores - Adequação e Integração ao G-DIS MN, G-DIS GE e Atlântis" será captalizado como GDIS AR e integra o portfólio de soluções GDIS.</t>
        </r>
      </text>
    </comment>
    <comment ref="K271" authorId="3" shapeId="0">
      <text>
        <r>
          <rPr>
            <b/>
            <sz val="9"/>
            <color indexed="81"/>
            <rFont val="Segoe UI"/>
            <family val="2"/>
          </rPr>
          <t>c056525:</t>
        </r>
        <r>
          <rPr>
            <sz val="9"/>
            <color indexed="81"/>
            <rFont val="Segoe UI"/>
            <family val="2"/>
          </rPr>
          <t xml:space="preserve">
Projeto: Uso Mútuo</t>
        </r>
      </text>
    </comment>
    <comment ref="K305" authorId="1" shapeId="0">
      <text>
        <r>
          <rPr>
            <b/>
            <sz val="9"/>
            <color indexed="81"/>
            <rFont val="Segoe UI"/>
            <family val="2"/>
          </rPr>
          <t>11/06/18:
Projeto MD00218 (R$ 720 mil) recebeu recurso de 2018 dos projetos: 
1) MD00318 -Aquisição cesto aéreo acoplado - R$ 500 mil;
2) 3240/12 - Substituição do King Air - R$ 346 mil;
3) Aquisição de caminhão para linha viva - R$ 180 mil.
Total do projeto: 720+500+346+180= 1746 que será transferido para 2019 devido a equipamento importado que não terá prazo hábil para pagamento em 2018.</t>
        </r>
        <r>
          <rPr>
            <sz val="9"/>
            <color indexed="81"/>
            <rFont val="Segoe UI"/>
            <family val="2"/>
          </rPr>
          <t xml:space="preserve">
</t>
        </r>
      </text>
    </comment>
  </commentList>
</comments>
</file>

<file path=xl/comments2.xml><?xml version="1.0" encoding="utf-8"?>
<comments xmlns="http://schemas.openxmlformats.org/spreadsheetml/2006/main">
  <authors>
    <author>C056191</author>
    <author>c055300</author>
    <author>e217761</author>
    <author>c056525</author>
    <author>Jorge</author>
  </authors>
  <commentList>
    <comment ref="B6" authorId="0" shapeId="0">
      <text>
        <r>
          <rPr>
            <sz val="9"/>
            <color indexed="81"/>
            <rFont val="Segoe UI"/>
            <family val="2"/>
          </rPr>
          <t xml:space="preserve">Negócio ao qual o projeto proposto deverá ser vinculado
</t>
        </r>
      </text>
    </comment>
    <comment ref="C6" authorId="0" shapeId="0">
      <text>
        <r>
          <rPr>
            <sz val="9"/>
            <color indexed="81"/>
            <rFont val="Segoe UI"/>
            <family val="2"/>
          </rPr>
          <t>Agrupamento ao qual pertence o projeto proposto.</t>
        </r>
      </text>
    </comment>
    <comment ref="D6" authorId="0" shapeId="0">
      <text>
        <r>
          <rPr>
            <sz val="9"/>
            <color indexed="81"/>
            <rFont val="Segoe UI"/>
            <family val="2"/>
          </rPr>
          <t xml:space="preserve">Orgão responsável pela execução do projeto.
</t>
        </r>
      </text>
    </comment>
    <comment ref="E6" authorId="0" shapeId="0">
      <text>
        <r>
          <rPr>
            <sz val="9"/>
            <color indexed="81"/>
            <rFont val="Segoe UI"/>
            <family val="2"/>
          </rPr>
          <t xml:space="preserve">Diretoria ao qual o órgão responsável está subordinado.
</t>
        </r>
      </text>
    </comment>
    <comment ref="F6" authorId="0" shapeId="0">
      <text>
        <r>
          <rPr>
            <sz val="9"/>
            <color indexed="81"/>
            <rFont val="Segoe UI"/>
            <family val="2"/>
          </rPr>
          <t xml:space="preserve">Empregado que responde pelas informações e resultados do projeto.
</t>
        </r>
      </text>
    </comment>
    <comment ref="I6" authorId="0" shapeId="0">
      <text>
        <r>
          <rPr>
            <sz val="9"/>
            <color indexed="81"/>
            <rFont val="Segoe UI"/>
            <family val="2"/>
          </rPr>
          <t xml:space="preserve">O título do Projeto deverá indicar, de maneira sintética, o conteúdo do projeto (fornecer uma ideia inicial).
</t>
        </r>
      </text>
    </comment>
    <comment ref="J6" authorId="0" shapeId="0">
      <text>
        <r>
          <rPr>
            <sz val="9"/>
            <color indexed="81"/>
            <rFont val="Segoe UI"/>
            <family val="2"/>
          </rPr>
          <t xml:space="preserve">Apresenta a finalidade principal do projeto, com clareza e objetividade. 
</t>
        </r>
      </text>
    </comment>
    <comment ref="K6" authorId="0" shapeId="0">
      <text>
        <r>
          <rPr>
            <sz val="9"/>
            <color indexed="81"/>
            <rFont val="Segoe UI"/>
            <family val="2"/>
          </rPr>
          <t>Relacionar os riscos que a não execução do projeto implica.
(impacto nos Negócios, Legais, Regulatórios).</t>
        </r>
      </text>
    </comment>
    <comment ref="I9" authorId="1" shapeId="0">
      <text>
        <r>
          <rPr>
            <b/>
            <sz val="9"/>
            <color indexed="81"/>
            <rFont val="Segoe UI"/>
            <family val="2"/>
          </rPr>
          <t>Aquisição de 41 Equipamentos de Ar condicionado e 3 bebedouros</t>
        </r>
      </text>
    </comment>
    <comment ref="I10" authorId="1" shapeId="0">
      <text>
        <r>
          <rPr>
            <sz val="9"/>
            <color indexed="81"/>
            <rFont val="Segoe UI"/>
            <family val="2"/>
          </rPr>
          <t>Aquisição de 41 Equipamentos de Ar condicionado e 3 bebedouros.</t>
        </r>
        <r>
          <rPr>
            <b/>
            <sz val="9"/>
            <color indexed="81"/>
            <rFont val="Segoe UI"/>
            <family val="2"/>
          </rPr>
          <t xml:space="preserve">
26/06/2018 </t>
        </r>
        <r>
          <rPr>
            <sz val="9"/>
            <color indexed="81"/>
            <rFont val="Segoe UI"/>
            <family val="2"/>
          </rPr>
          <t>- Laudo do projeto 132 mil.</t>
        </r>
      </text>
    </comment>
    <comment ref="I12" authorId="1" shapeId="0">
      <text>
        <r>
          <rPr>
            <b/>
            <sz val="9"/>
            <color indexed="81"/>
            <rFont val="Segoe UI"/>
            <family val="2"/>
          </rPr>
          <t xml:space="preserve">Aquisição de mobiliário para EEA – R$ 131 mil – desembolso 50% 2019 e 50% 2020 – Possibilita redução aproximadamente 50 m²
Aquisição de mobiliário para reposição – R$ 200 mil – desembolso 25% em 2019 – 2020 – 2021- 2022
</t>
        </r>
      </text>
    </comment>
    <comment ref="I98" authorId="1" shapeId="0">
      <text>
        <r>
          <rPr>
            <b/>
            <sz val="9"/>
            <color indexed="81"/>
            <rFont val="Segoe UI"/>
            <family val="2"/>
          </rPr>
          <t xml:space="preserve">08/05/2018
Retirado R$3,48 mil para cobrir realização do projeto MT00516 em 2018.
</t>
        </r>
      </text>
    </comment>
    <comment ref="I100" authorId="1" shapeId="0">
      <text>
        <r>
          <rPr>
            <b/>
            <sz val="9"/>
            <color indexed="81"/>
            <rFont val="Segoe UI"/>
            <family val="2"/>
          </rPr>
          <t xml:space="preserve">26/06/2018; Cedido R$200 mil desse projeto para o Macroprojeto sistemas da T.
 </t>
        </r>
        <r>
          <rPr>
            <sz val="9"/>
            <color indexed="81"/>
            <rFont val="Segoe UI"/>
            <family val="2"/>
          </rPr>
          <t xml:space="preserve">
</t>
        </r>
      </text>
    </comment>
    <comment ref="I114" authorId="1" shapeId="0">
      <text>
        <r>
          <rPr>
            <b/>
            <sz val="9"/>
            <color indexed="81"/>
            <rFont val="Segoe UI"/>
            <family val="2"/>
          </rPr>
          <t xml:space="preserve">Recusros cedido pelo projeto MD00118 para cobrir a realização de R$12,70464 mil
</t>
        </r>
      </text>
    </comment>
    <comment ref="I121" authorId="1" shapeId="0">
      <text>
        <r>
          <rPr>
            <b/>
            <sz val="9"/>
            <color indexed="81"/>
            <rFont val="Segoe UI"/>
            <family val="2"/>
          </rPr>
          <t xml:space="preserve">Projeto MD00118 cedeu R$ 12,704649 mil para cobrir o projeto CD00315.
</t>
        </r>
      </text>
    </comment>
    <comment ref="I122" authorId="1" shapeId="0">
      <text>
        <r>
          <rPr>
            <sz val="9"/>
            <color indexed="81"/>
            <rFont val="Segoe UI"/>
            <family val="2"/>
          </rPr>
          <t>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t>
        </r>
      </text>
    </comment>
    <comment ref="I123" authorId="1" shapeId="0">
      <text>
        <r>
          <rPr>
            <sz val="9"/>
            <color indexed="81"/>
            <rFont val="Segoe UI"/>
            <family val="2"/>
          </rPr>
          <t>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t>
        </r>
      </text>
    </comment>
    <comment ref="I124" authorId="1" shapeId="0">
      <text>
        <r>
          <rPr>
            <b/>
            <sz val="9"/>
            <color indexed="81"/>
            <rFont val="Segoe UI"/>
            <family val="2"/>
          </rPr>
          <t>26/062018: Retirado R$ 125 mil em 2018 para projeto EM00218 - Aquisição de câmeras fotográficas para EM/CE e R$ 500 mil em 2019 para aquisição de Porta Pallets para MS/LA (José Flávio).</t>
        </r>
      </text>
    </comment>
    <comment ref="I128"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02/05/2018 - Aquisição em 2018: 18 aparelhos de ar condicionado, 21 Bebedouros, 10 projetores e 4 microondas. Retirado R$ 12 mil do projetos de equipamentos de conzinha e passado para esse projeto (SC00418).
</t>
        </r>
      </text>
    </comment>
    <comment ref="I129"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02/05/2018 - Aquisição em 2018: 18 aparelhos de ar condicionado, 21 Bebedouros, 10 projetores e 4 microondas. 
Retirado R$ 12 mil do projetos de equipamentos de cozinha e passado para esse projeto (SC00418).
</t>
        </r>
      </text>
    </comment>
    <comment ref="I130" authorId="1" shapeId="0">
      <text>
        <r>
          <rPr>
            <sz val="9"/>
            <color indexed="81"/>
            <rFont val="Segoe UI"/>
            <family val="2"/>
          </rPr>
          <t xml:space="preserve">26/06/2018: Recurso (R$ 125 mil) cedido dos projetos de meio ambiente da CD que foram para o PDD.
</t>
        </r>
      </text>
    </comment>
    <comment ref="I132" authorId="1" shapeId="0">
      <text>
        <r>
          <rPr>
            <b/>
            <sz val="9"/>
            <color indexed="81"/>
            <rFont val="Segoe UI"/>
            <family val="2"/>
          </rPr>
          <t xml:space="preserve">27/06/2018: Transferido 36 mil para Microinformática para aquisição de Notebooks.
</t>
        </r>
      </text>
    </comment>
    <comment ref="I137" authorId="1" shapeId="0">
      <text>
        <r>
          <rPr>
            <b/>
            <sz val="9"/>
            <color indexed="81"/>
            <rFont val="Segoe UI"/>
            <family val="2"/>
          </rPr>
          <t xml:space="preserve">08/06/18: 08/06/18: Esse projeto recebeu R$ 45 mil em 2018 do projeto Controle de Acesso do Interior.
</t>
        </r>
      </text>
    </comment>
    <comment ref="I142" authorId="1" shapeId="0">
      <text>
        <r>
          <rPr>
            <b/>
            <sz val="9"/>
            <color indexed="81"/>
            <rFont val="Segoe UI"/>
            <family val="2"/>
          </rPr>
          <t xml:space="preserve">16/11/2017: </t>
        </r>
        <r>
          <rPr>
            <sz val="9"/>
            <color indexed="81"/>
            <rFont val="Segoe UI"/>
            <family val="2"/>
          </rPr>
          <t xml:space="preserve">antecipado desembolso de R$220 mil previsto para 2019 para 2018 em função de urgência do projeto à pedido dos diretores da DGE e DDC (Lins e Ronaldo).
</t>
        </r>
        <r>
          <rPr>
            <b/>
            <sz val="9"/>
            <color indexed="81"/>
            <rFont val="Segoe UI"/>
            <family val="2"/>
          </rPr>
          <t xml:space="preserve">25/06/2018 - </t>
        </r>
        <r>
          <rPr>
            <sz val="9"/>
            <color indexed="81"/>
            <rFont val="Segoe UI"/>
            <family val="2"/>
          </rPr>
          <t xml:space="preserve">Laudo do projeto R$ 250 mil para 2018. Foi postergado R$ 198 para 2019 e deixado (SC) apenas R$ 52 mil para 2018.
</t>
        </r>
      </text>
    </comment>
    <comment ref="I144" authorId="1" shapeId="0">
      <text>
        <r>
          <rPr>
            <b/>
            <sz val="9"/>
            <color indexed="81"/>
            <rFont val="Segoe UI"/>
            <family val="2"/>
          </rPr>
          <t xml:space="preserve">13/06 - Projeto cedeu R$ 65 mil para o Sistema Multiponto.
</t>
        </r>
        <r>
          <rPr>
            <sz val="9"/>
            <color indexed="81"/>
            <rFont val="Segoe UI"/>
            <family val="2"/>
          </rPr>
          <t xml:space="preserve">
</t>
        </r>
      </text>
    </comment>
    <comment ref="I145" authorId="1" shapeId="0">
      <text>
        <r>
          <rPr>
            <b/>
            <sz val="9"/>
            <color indexed="81"/>
            <rFont val="Segoe UI"/>
            <family val="2"/>
          </rPr>
          <t xml:space="preserve">08/06/18: Esse projeto cedeu R$ 45 mil em 2018 para o projeto sistema Multiponto de videoconferência.
13/06- Cedeu mais 15 mil para o mesmo projeto.
</t>
        </r>
      </text>
    </comment>
    <comment ref="I146" authorId="1" shapeId="0">
      <text>
        <r>
          <rPr>
            <b/>
            <sz val="9"/>
            <color indexed="81"/>
            <rFont val="Segoe UI"/>
            <family val="2"/>
          </rPr>
          <t xml:space="preserve">02/05/2018 - Transferido R$ 12 mil deste projeto para o SC00418 (Aquisição de EG) para aquisição de 4 fornos microondas.
</t>
        </r>
      </text>
    </comment>
    <comment ref="I169" authorId="2" shapeId="0">
      <text>
        <r>
          <rPr>
            <b/>
            <sz val="9"/>
            <color indexed="81"/>
            <rFont val="Segoe UI"/>
            <family val="2"/>
          </rPr>
          <t>e217761:</t>
        </r>
        <r>
          <rPr>
            <sz val="9"/>
            <color indexed="81"/>
            <rFont val="Segoe UI"/>
            <family val="2"/>
          </rPr>
          <t xml:space="preserve">
Adelaide: 60% da área é utilizada pela Distribuição para guarda de mobiliário
12% é ocupada por benheiro e vestiário
28% é utilzada pela EP/EC - GerÇencia de Expansão da Geração.
</t>
        </r>
        <r>
          <rPr>
            <b/>
            <sz val="9"/>
            <color indexed="81"/>
            <rFont val="Segoe UI"/>
            <family val="2"/>
          </rPr>
          <t xml:space="preserve">24/05/2018: </t>
        </r>
        <r>
          <rPr>
            <sz val="9"/>
            <color indexed="81"/>
            <rFont val="Segoe UI"/>
            <family val="2"/>
          </rPr>
          <t xml:space="preserve">Projeto cedeu R$ 10,1 mil em 2018 para o projeto SC00418 para aquisiçõ e instalação de ar condicionado no escritório de Brasília.
</t>
        </r>
        <r>
          <rPr>
            <b/>
            <sz val="9"/>
            <color indexed="81"/>
            <rFont val="Segoe UI"/>
            <family val="2"/>
          </rPr>
          <t>25/05/2018:</t>
        </r>
        <r>
          <rPr>
            <sz val="9"/>
            <color indexed="81"/>
            <rFont val="Segoe UI"/>
            <family val="2"/>
          </rPr>
          <t xml:space="preserve">Projeto cedeu R$ 23,331 mil em 2018 para o projeto SC00518 - Extintores e R$ 60 mil para o projeto de aquisição de equipamentos de video/imagem para CE.
</t>
        </r>
      </text>
    </comment>
    <comment ref="I232" authorId="3" shapeId="0">
      <text>
        <r>
          <rPr>
            <b/>
            <sz val="9"/>
            <color indexed="81"/>
            <rFont val="Segoe UI"/>
            <family val="2"/>
          </rPr>
          <t>c056525:</t>
        </r>
        <r>
          <rPr>
            <sz val="9"/>
            <color indexed="81"/>
            <rFont val="Segoe UI"/>
            <family val="2"/>
          </rPr>
          <t xml:space="preserve">
Antigo: IE3000/ISE/AS Rede/Analise Vuln./Calculo Enlace</t>
        </r>
      </text>
    </comment>
    <comment ref="I276" authorId="3" shapeId="0">
      <text>
        <r>
          <rPr>
            <b/>
            <sz val="9"/>
            <color indexed="81"/>
            <rFont val="Segoe UI"/>
            <family val="2"/>
          </rPr>
          <t>c056525:</t>
        </r>
        <r>
          <rPr>
            <sz val="9"/>
            <color indexed="81"/>
            <rFont val="Segoe UI"/>
            <family val="2"/>
          </rPr>
          <t xml:space="preserve">
Projeto: Uso Mútuo</t>
        </r>
      </text>
    </comment>
    <comment ref="I281" authorId="3" shapeId="0">
      <text>
        <r>
          <rPr>
            <b/>
            <sz val="9"/>
            <color indexed="81"/>
            <rFont val="Segoe UI"/>
            <family val="2"/>
          </rPr>
          <t>c056525:</t>
        </r>
        <r>
          <rPr>
            <sz val="9"/>
            <color indexed="81"/>
            <rFont val="Segoe UI"/>
            <family val="2"/>
          </rPr>
          <t xml:space="preserve">
Substituição de Terminais Servers nas salas de telemática</t>
        </r>
      </text>
    </comment>
    <comment ref="I288" authorId="4" shapeId="0">
      <text>
        <r>
          <rPr>
            <sz val="9"/>
            <color indexed="81"/>
            <rFont val="Tahoma"/>
            <family val="2"/>
          </rPr>
          <t>Antes nomeado como "Versionamento GeoÁrvores - Adequação e Integração ao G-DIS MN, G-DIS GE e Atlântis" será captalizado como GDIS AR e integra o portfólio de soluções GDIS.</t>
        </r>
      </text>
    </comment>
    <comment ref="I318" authorId="1" shapeId="0">
      <text>
        <r>
          <rPr>
            <b/>
            <sz val="9"/>
            <color indexed="81"/>
            <rFont val="Segoe UI"/>
            <family val="2"/>
          </rPr>
          <t>11/06/18:
Projeto MD00218 (R$ 720 mil) recebeu recurso de 2018 dos projetos: 
1) MD00318 -Aquisição cesto aéreo acoplado - R$ 500 mil;
2) 3240/12 - Substituição do King Air - R$ 346 mil;
3) Aquisição de caminhão para linha viva - R$ 180 mil.
Total do projeto: 720+500+346+180= 1746 que será transferido para 2019 devido a equipamento importado que não terá prazo hábil para pagamento em 2018.</t>
        </r>
        <r>
          <rPr>
            <sz val="9"/>
            <color indexed="81"/>
            <rFont val="Segoe UI"/>
            <family val="2"/>
          </rPr>
          <t xml:space="preserve">
</t>
        </r>
      </text>
    </comment>
  </commentList>
</comments>
</file>

<file path=xl/comments3.xml><?xml version="1.0" encoding="utf-8"?>
<comments xmlns="http://schemas.openxmlformats.org/spreadsheetml/2006/main">
  <authors>
    <author>C056191</author>
    <author>c055300</author>
  </authors>
  <commentList>
    <comment ref="B3" authorId="0" shapeId="0">
      <text>
        <r>
          <rPr>
            <sz val="9"/>
            <color indexed="81"/>
            <rFont val="Segoe UI"/>
            <family val="2"/>
          </rPr>
          <t xml:space="preserve">Negócio ao qual o projeto proposto deverá ser vinculado
</t>
        </r>
      </text>
    </comment>
    <comment ref="C3" authorId="0" shapeId="0">
      <text>
        <r>
          <rPr>
            <sz val="9"/>
            <color indexed="81"/>
            <rFont val="Segoe UI"/>
            <family val="2"/>
          </rPr>
          <t>Agrupamento ao qual pertence o projeto proposto.</t>
        </r>
      </text>
    </comment>
    <comment ref="D3" authorId="0" shapeId="0">
      <text>
        <r>
          <rPr>
            <sz val="9"/>
            <color indexed="81"/>
            <rFont val="Segoe UI"/>
            <family val="2"/>
          </rPr>
          <t xml:space="preserve">Orgão responsável pela execução do projeto.
</t>
        </r>
      </text>
    </comment>
    <comment ref="E3" authorId="0" shapeId="0">
      <text>
        <r>
          <rPr>
            <sz val="9"/>
            <color indexed="81"/>
            <rFont val="Segoe UI"/>
            <family val="2"/>
          </rPr>
          <t xml:space="preserve">Diretoria ao qual o órgão responsável está subordinado.
</t>
        </r>
      </text>
    </comment>
    <comment ref="F3" authorId="0" shapeId="0">
      <text>
        <r>
          <rPr>
            <sz val="9"/>
            <color indexed="81"/>
            <rFont val="Segoe UI"/>
            <family val="2"/>
          </rPr>
          <t xml:space="preserve">Empregado que responde pelas informações e resultados do projeto.
</t>
        </r>
      </text>
    </comment>
    <comment ref="I3" authorId="0" shapeId="0">
      <text>
        <r>
          <rPr>
            <sz val="9"/>
            <color indexed="81"/>
            <rFont val="Segoe UI"/>
            <family val="2"/>
          </rPr>
          <t xml:space="preserve">O título do Projeto deverá indicar, de maneira sintética, o conteúdo do projeto (fornecer uma ideia inicial).
</t>
        </r>
      </text>
    </comment>
    <comment ref="J3" authorId="0" shapeId="0">
      <text>
        <r>
          <rPr>
            <sz val="9"/>
            <color indexed="81"/>
            <rFont val="Segoe UI"/>
            <family val="2"/>
          </rPr>
          <t xml:space="preserve">Apresenta a finalidade principal do projeto, com clareza e objetividade. 
</t>
        </r>
      </text>
    </comment>
    <comment ref="K3" authorId="0" shapeId="0">
      <text>
        <r>
          <rPr>
            <sz val="9"/>
            <color indexed="81"/>
            <rFont val="Segoe UI"/>
            <family val="2"/>
          </rPr>
          <t xml:space="preserve">Deve-se apresentar porque é importante realizar o Projeto. Por que ele deve ser aprovado e implementado? Qual a relevância desse problema/questão/oportunidade? Qual o alcance do projeto diante do problema/oportunidade que será /foi abordado? Quais os benefícios econômicos, sociais e ambientais a serem alcançados e os resultados esperados para a Empresa e para os acionistas? Informar também se há aspectos legais e regulatórios a serem considerados, citando a legislação relacionada.
</t>
        </r>
      </text>
    </comment>
    <comment ref="L3" authorId="0" shapeId="0">
      <text>
        <r>
          <rPr>
            <sz val="9"/>
            <color indexed="81"/>
            <rFont val="Segoe UI"/>
            <family val="2"/>
          </rPr>
          <t>Relacionar os riscos que a não execução do projeto implica.
(impacto nos Negócios, Legais, Regulatórios).</t>
        </r>
      </text>
    </comment>
    <comment ref="M3" authorId="0" shapeId="0">
      <text>
        <r>
          <rPr>
            <sz val="9"/>
            <color indexed="81"/>
            <rFont val="Segoe UI"/>
            <family val="2"/>
          </rPr>
          <t xml:space="preserve">Para os projetos de aquisição de Equipamento Geral ou  Veículos, o proponente deverá informar o código de material cadastrado na Cemig nas últimas compras realizadas, se houver. 
</t>
        </r>
      </text>
    </comment>
    <comment ref="N3" authorId="0" shapeId="0">
      <text>
        <r>
          <rPr>
            <sz val="9"/>
            <color indexed="81"/>
            <rFont val="Segoe UI"/>
            <family val="2"/>
          </rPr>
          <t xml:space="preserve">Edificação/Prédio/Cidade de implantação do empreendimento
</t>
        </r>
      </text>
    </comment>
    <comment ref="CF3" authorId="0" shapeId="0">
      <text>
        <r>
          <rPr>
            <sz val="9"/>
            <color indexed="81"/>
            <rFont val="Segoe UI"/>
            <family val="2"/>
          </rPr>
          <t>Métrica física para acompanhamento da execução do projeto.
Ex: Nº Equipamentos, Nº Mobiliário, m2 de obra civil</t>
        </r>
      </text>
    </comment>
    <comment ref="I6" authorId="1" shapeId="0">
      <text>
        <r>
          <rPr>
            <b/>
            <sz val="9"/>
            <color indexed="81"/>
            <rFont val="Segoe UI"/>
            <family val="2"/>
          </rPr>
          <t xml:space="preserve">14/03/2018 - O projeto de aquisição equipamentos de ar condicionado D cedeu R$62.379,84 para o pagamento do compromissos residuais de 2017 (Projetos GE00214 e CD00215) dos contratos 4500029427 PRESTOBAT (ar condicionado), 4500029072 Seal Telecom (equipamentos de som e áudio) e nota fiscal para pagamento de 1 (um) bebedouro.
</t>
        </r>
      </text>
    </comment>
    <comment ref="I38" authorId="1" shapeId="0">
      <text>
        <r>
          <rPr>
            <b/>
            <sz val="9"/>
            <color indexed="81"/>
            <rFont val="Segoe UI"/>
            <family val="2"/>
          </rPr>
          <t>Projeto Substituido por um Clorímetro - ver e-mail do Leonardo Victoretti em 24/04/2018.</t>
        </r>
      </text>
    </comment>
    <comment ref="I40" authorId="1" shapeId="0">
      <text>
        <r>
          <rPr>
            <b/>
            <sz val="9"/>
            <color indexed="81"/>
            <rFont val="Segoe UI"/>
            <family val="2"/>
          </rPr>
          <t xml:space="preserve">
</t>
        </r>
      </text>
    </comment>
    <comment ref="I41" authorId="1" shapeId="0">
      <text>
        <r>
          <rPr>
            <b/>
            <sz val="9"/>
            <color indexed="81"/>
            <rFont val="Segoe UI"/>
            <family val="2"/>
          </rPr>
          <t xml:space="preserve">30/05/2018 - Projeto cedeu o recuro para MG/CS adquirir projetores.
</t>
        </r>
      </text>
    </comment>
    <comment ref="I42" authorId="1" shapeId="0">
      <text>
        <r>
          <rPr>
            <b/>
            <sz val="9"/>
            <color indexed="81"/>
            <rFont val="Segoe UI"/>
            <family val="2"/>
          </rPr>
          <t xml:space="preserve">30/05/2018 - Projeto cedeu o recuro para MG/CS adquirir projetores.
</t>
        </r>
      </text>
    </comment>
  </commentList>
</comments>
</file>

<file path=xl/comments4.xml><?xml version="1.0" encoding="utf-8"?>
<comments xmlns="http://schemas.openxmlformats.org/spreadsheetml/2006/main">
  <authors>
    <author>e217761</author>
  </authors>
  <commentList>
    <comment ref="A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Q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Q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Q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10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0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10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1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13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1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AC156"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 ref="O181" authorId="0" shapeId="0">
      <text>
        <r>
          <rPr>
            <b/>
            <sz val="9"/>
            <color indexed="81"/>
            <rFont val="Segoe UI"/>
            <family val="2"/>
          </rPr>
          <t>e217761:</t>
        </r>
        <r>
          <rPr>
            <sz val="9"/>
            <color indexed="81"/>
            <rFont val="Segoe UI"/>
            <family val="2"/>
          </rPr>
          <t xml:space="preserve">
Os valores planejados serão atualizados mensalmente, à medida que fechar a realização.</t>
        </r>
      </text>
    </comment>
  </commentList>
</comments>
</file>

<file path=xl/sharedStrings.xml><?xml version="1.0" encoding="utf-8"?>
<sst xmlns="http://schemas.openxmlformats.org/spreadsheetml/2006/main" count="13760" uniqueCount="2061">
  <si>
    <t>Empresa</t>
  </si>
  <si>
    <t>Macroprojeto</t>
  </si>
  <si>
    <t>Descrição resumida do projeto</t>
  </si>
  <si>
    <t xml:space="preserve">Janeiro </t>
  </si>
  <si>
    <t>Fevereiro</t>
  </si>
  <si>
    <t>Março</t>
  </si>
  <si>
    <t>Abril</t>
  </si>
  <si>
    <t>Maio</t>
  </si>
  <si>
    <t>Junho</t>
  </si>
  <si>
    <t>Julho</t>
  </si>
  <si>
    <t>Agosto</t>
  </si>
  <si>
    <t>Setembro</t>
  </si>
  <si>
    <t>Outubro</t>
  </si>
  <si>
    <t>Novembro</t>
  </si>
  <si>
    <t>Total</t>
  </si>
  <si>
    <t>Total
2018/22</t>
  </si>
  <si>
    <t>Órgão</t>
  </si>
  <si>
    <t>Diretoria</t>
  </si>
  <si>
    <t>Local de Implantação</t>
  </si>
  <si>
    <t>Justificativa</t>
  </si>
  <si>
    <t>Título do projeto</t>
  </si>
  <si>
    <t>Dezembro</t>
  </si>
  <si>
    <t>Planejamento Físico</t>
  </si>
  <si>
    <t>Indicador (Unidade)</t>
  </si>
  <si>
    <t>Riscos de não execução</t>
  </si>
  <si>
    <t>Código de Material</t>
  </si>
  <si>
    <t>Investimento de Infraestrutura Ciclo 2018/2022 - Captação Orçamentária</t>
  </si>
  <si>
    <t>Processo</t>
  </si>
  <si>
    <t>1-1-4 Ferramentas e Equipamentos G</t>
  </si>
  <si>
    <t>1-3-1 Edificações e Complementos G</t>
  </si>
  <si>
    <t>1-3-2-1 TI - Telecomunicações (Ativo não elétrico) G</t>
  </si>
  <si>
    <t>1-3-3 TI - Microinformática G</t>
  </si>
  <si>
    <t>1-3-4 Sistema de Informática G</t>
  </si>
  <si>
    <t>1-3-5 Veículos G</t>
  </si>
  <si>
    <t>2-1-2 Ferramentas e Equipamentos T</t>
  </si>
  <si>
    <t>2-3-1 Edificações e Complementos T</t>
  </si>
  <si>
    <t>2-3-2 TI - Telecomunicações (Ativo não elétrico) T</t>
  </si>
  <si>
    <t>2-3-3 TI - Microinformática T</t>
  </si>
  <si>
    <t>2-3-4 Sistema de Informática T</t>
  </si>
  <si>
    <t>2-3-5 Veículos T</t>
  </si>
  <si>
    <t>3-4-1 Ferramentas D</t>
  </si>
  <si>
    <t>3-4-2 Edificações e Complementos D</t>
  </si>
  <si>
    <t>3-4-3-1 TI - Telecomunicações (Ativos não elétricos) D</t>
  </si>
  <si>
    <t>3-4-4 TI - Microinformática D</t>
  </si>
  <si>
    <t>3-4-5 Sistema de Informática D</t>
  </si>
  <si>
    <t>3-4-6 Veículos D</t>
  </si>
  <si>
    <t>4-1-2 TI - Microinformática H</t>
  </si>
  <si>
    <t>4-1-3 Sistema de Informática H</t>
  </si>
  <si>
    <t>Recorrente ou Não recorrente?</t>
  </si>
  <si>
    <t>Haverá ganhos financeiros?</t>
  </si>
  <si>
    <t>Haverá redução de despesas?</t>
  </si>
  <si>
    <t>Haverá despesas para implantação?</t>
  </si>
  <si>
    <t xml:space="preserve"> </t>
  </si>
  <si>
    <t>Responsável</t>
  </si>
  <si>
    <t>Geração</t>
  </si>
  <si>
    <t>GE/IM</t>
  </si>
  <si>
    <t>DGE</t>
  </si>
  <si>
    <t>Distribuição</t>
  </si>
  <si>
    <t>SC</t>
  </si>
  <si>
    <t>-</t>
  </si>
  <si>
    <t>Otimização dos Ativos de Divinópolis</t>
  </si>
  <si>
    <t>RH/EC</t>
  </si>
  <si>
    <t>DDC</t>
  </si>
  <si>
    <t>Transmissão</t>
  </si>
  <si>
    <t>MT/CT</t>
  </si>
  <si>
    <t>DGT</t>
  </si>
  <si>
    <t>Joel Máximo Reis</t>
  </si>
  <si>
    <t>Deficiência nos treinamentos da equipe e de terceiros
Demora na realização de reuniões que necessitam de projeção de imagem  e também dificuldade na apresentação do processo de primeiro acesso para atendimento ao sistema de gestão.
Manobras indevidas e falha na identificação dos alremes e eventos gerados pelo SSCD.</t>
  </si>
  <si>
    <t>MT/LE</t>
  </si>
  <si>
    <t>Substituição de aparelhos de ar condicionado</t>
  </si>
  <si>
    <t>Equipamentos e veículos para a MT</t>
  </si>
  <si>
    <t>MT</t>
  </si>
  <si>
    <t>Evolução do projeto (%)</t>
  </si>
  <si>
    <t>Nº de Equipamentos</t>
  </si>
  <si>
    <t>Não cumprimento de meta estabelecida no Acordo de Metas da Iniciativa 9 - Otimização do Portfólio de Imóveis da Cemig D, a qual prevê a obtenção de receita com a alienação de imóvel inservível, e à redução de despesas operacionais. Impossibilidade de desocupação total da área do imóvel da UHE Gafanhoto, prevista para ser alienada, inviabilizando a sua alienação e à redução de custos operacionais como serviço de transporte de ônibus, vigilância armada, conservação e limpeza, impostos e taxas, entre outros.</t>
  </si>
  <si>
    <t>Otimização dos Ativos de Itajubá</t>
  </si>
  <si>
    <t>Obra de construção de edificação no imóvel Depósito de Postes para recebimento dos funcionários atualmente lotados no imóvel Base Operativa/Agência, o qual será liberado para alienação por estar superdimensionado e ser prescindível aos negócios da empresa. Alienação de parte do terreno Depósito de Postes para alienação, após desmembramento.</t>
  </si>
  <si>
    <t>Não cumprimento de meta estabelecida no Acordo de Metas da Iniciativa 9 - Otimização do Portfólio de Imóveis da Cemig D, a qual prevê a obtenção de receita com a alienação de imóvel inservível, e à redução de despesas operacionais. Impossibilidade de desocupação de imóvel superdimensionado, previsto para ser alienado, inviabilizando a sua alienação e à redução de custos operacionais.</t>
  </si>
  <si>
    <t>Obras para viabilização da transferência da equipe da MG/CS do imóvel locado da Cemig GT, situado na rua Comendador José Esteves, nº 40, para o imóvel próprio da Cemig D, situado na Rua Chagas Doria, nº 95, atualmente ocupado pela MD/VR, visando à
rescisão do contrato de locação do imóvel da MG/CS, que possui custo mensal de R$ 9 mil e à otimização da ocupação do imóvel da Cemig D. Serão executadas obras na edificação visando  o adequado funcionamento das atividades das gerências locais.</t>
  </si>
  <si>
    <t>Não cumprimento do Acordo de Metas da Iniciativa 9 do Programa de Adequação da Cemig D ao Regulatório, a qual prevê a obtenção de receita com a alienação de imóvel inservível, e à redução de despesas operacionais.</t>
  </si>
  <si>
    <t>Otimização dos Ativos de Barbacena</t>
  </si>
  <si>
    <t>Execução de adequações/reforma civil do imóvel da SE Barbacena 2.</t>
  </si>
  <si>
    <t>Execução de obra civil de nova instalação de escritório no imóvel da MT/LE para recebimento do pessoal da MG/LE.</t>
  </si>
  <si>
    <t>Otimização dos Ativos de Araxá</t>
  </si>
  <si>
    <t>Execução de obra civil de nova instalação de escritório no imóvel anexo à Subestação para recebimento do pessoal do imóvel do Centro.</t>
  </si>
  <si>
    <t>Otimização dos Ativos de Almenara</t>
  </si>
  <si>
    <t>Alienação do compartilhado e estacionamento transferência das atividades para o depósito de materiais e locação de imóvel para agência. Adequação do depósito de materiais para recebimento da equipe.</t>
  </si>
  <si>
    <t>Otimização dos Ativos de Governador Valadares</t>
  </si>
  <si>
    <t>Alienação do imóvel do centro, transferência para o imóvel da Vila Mariana, onde será construída edificação, e locação de imóvel para a Agência de Atendimento.</t>
  </si>
  <si>
    <t>Otimização dos Ativos de Passos</t>
  </si>
  <si>
    <t>Obra de adequação do imóvel compartilhado e alienação de parte do terreno do imóvel compartilhado.</t>
  </si>
  <si>
    <t>Otimização dos Ativos de Patrocínio</t>
  </si>
  <si>
    <t>Alienação do imóvel próprio, construção de edificação na SE e locação de agência de atendimento.</t>
  </si>
  <si>
    <t>Otimização dos Ativos de Três Corações</t>
  </si>
  <si>
    <t>Alienação do imóvel compartilhado, construção na SE e locação de imóvel para agência de atendimento.</t>
  </si>
  <si>
    <t>Otimização dos Ativos de Varginha</t>
  </si>
  <si>
    <t>Alienação do imóvel do centro, obras de adequação da SE e locação de imóvel para a agência de atendimento.</t>
  </si>
  <si>
    <t>Francely Duarte Sales Marques dos Santos 
Rodrigo Elias S.  Santos</t>
  </si>
  <si>
    <t>Casos Atípicos - Qualquer solicitação que fuja das atividades rotineiras. Ex.: Solicitação de indenização para empreendimento já construído, Averbação de Servidão existente, Solicitação de indenização por danos em imóveis de terceiros.</t>
  </si>
  <si>
    <t>Processos Judiciais, insatisfação do cliente, aumento de gastos para empresas.</t>
  </si>
  <si>
    <t>Nº de Regularizações imobiliárias</t>
  </si>
  <si>
    <t>MD/CS</t>
  </si>
  <si>
    <t>Programa de Substituição e Modernização de Ferramentas</t>
  </si>
  <si>
    <t>MG/CS</t>
  </si>
  <si>
    <t>Mateus Trevisani</t>
  </si>
  <si>
    <t>Termômetro de Infra Vermelho Visual</t>
  </si>
  <si>
    <t>Falhas em equipamentos, manutenção corretiva e descontinuidade de geração.</t>
  </si>
  <si>
    <t>Osciloscópio Digital Minipa 60MHz, DC,AC</t>
  </si>
  <si>
    <t>Nenhum</t>
  </si>
  <si>
    <t>Nº de Ferramentas</t>
  </si>
  <si>
    <t>MG/LE</t>
  </si>
  <si>
    <t>Leonardo Victoretti  
SIT-944 351</t>
  </si>
  <si>
    <t>Descrição: MG/LE: Aquisição de (3) aparelhos de ar  condcionado, modelo split, piso/teto, 30.000 Btus</t>
  </si>
  <si>
    <t xml:space="preserve">Aumento do gasto em despesa com manutenção dos aparelhos de ar condicionado existentes.
Ficar com ambiente sem climatização em caso de falha que decrete o final da vida útil do equipamento.
</t>
  </si>
  <si>
    <t>Descrição: MG/LE: Aquisição de (2) aparelhos de ar  condcionado, modelo parede/janela, 10.000 Btus</t>
  </si>
  <si>
    <t xml:space="preserve">OBS: Já autorizado na CRCA 085/2016 - Revisão de macro projetos ciclo 2014/2018
Aumento do gasto em despesa com manutenção dos aparelhos de ar condicionado existentes.
Ficar com ambiente sem climatização em caso de falha que decrete o final da vida útil do equipamento.
</t>
  </si>
  <si>
    <t>Descrição: MG/LE: Aquisição de (1) aparelho de ar  condcionado, modelo split, piso/teto, 30.000 Btus</t>
  </si>
  <si>
    <t xml:space="preserve">OBS: Já autorizado na CRCA 085/2016 - Revisão de macro projetos ciclo 2014/2018
Aumento do gasto em despesa com manutenção do aparelho de ar condicionado existente.
Ficar com ambiente sem climatização em caso de falha que decrete o final da vida útil do equipamento.
</t>
  </si>
  <si>
    <t>Descrição: UHSU: Aquisição de (1) aparelho de ar  condcionado, modelo janela, 10.000 Btus</t>
  </si>
  <si>
    <t xml:space="preserve">Descrição: UHSU: Aquisição de (1) refrigerador vertical 280 litros. OBS: DEMANDA REPETITIVA
</t>
  </si>
  <si>
    <t xml:space="preserve">OBS: Já autorizado na CRCA 085/2016 - Revisão de macro projetos ciclo 2014/2018
Penalização por em fiscalização do MTb. 
Danos a saúde do empregado.
Dano intangível a imagem da CEMIG. </t>
  </si>
  <si>
    <t>Deficiência no atendimento à demandas de execução de manutenção dos ativos da geração. 
Elevação de índices de indisponibilidade operativa de usinas. 
Penalização por parte de orgão regulador.</t>
  </si>
  <si>
    <t>GLE-INV-PPE-Aq-Eqp-analis-enrolamentos</t>
  </si>
  <si>
    <t>Descrição: MG/LE: Aquisição de (1) analisador de enrolamentos - Surge Test
Referência: Baker</t>
  </si>
  <si>
    <t>GLE-INV-PPE-Aq-Eqp-calibr/gerador-sinais</t>
  </si>
  <si>
    <t>Descrição: MG/LE: Aquisição de (1) Calibrador / Gerador de Sinais.
Referência: Presys modelo Isocal mcs-xv</t>
  </si>
  <si>
    <t>GLE-INV-PPE-Aq-Eqp-osciloscópio-portátil</t>
  </si>
  <si>
    <t>Descrição: MG/LE: Aquisição de (1) Osciloscópio Portátil, 04 canais, isolados.
Referência: Tektronix</t>
  </si>
  <si>
    <t>GLE-INV-PPE-Aq-Eqp-termovisor-portátil</t>
  </si>
  <si>
    <t>Descrição: MG/LE: Aquisição de (1) Termovisor portátil
Referência: Flir</t>
  </si>
  <si>
    <t>GLE-INV-PPE-Aq-Eqp-Aquis-dado-multicanal</t>
  </si>
  <si>
    <t>Descrição: MG/LE: Aquisição de (1) Aquisitor de dados multicanal para análise de parâmetros dinâmicos de unidades geradoras.
Referência: Linx</t>
  </si>
  <si>
    <t>GLE-INV-PPE-Aq-Eqp-multímetro-profission</t>
  </si>
  <si>
    <t>Descrição: MG/LE: Aquisição de (5) Multímetros profissionais.
Referência: Fluke</t>
  </si>
  <si>
    <t xml:space="preserve">Deficiência no atendimento à demandas de execução de manutenção dos ativos da geração. 
</t>
  </si>
  <si>
    <t xml:space="preserve">Descrição: MG/LE: Aquisição de (1) software supervisório Elipse E3 Studio com chave de engenharia.
</t>
  </si>
  <si>
    <t>OBS: Já autorizado na CRCA 085/2016 - Revisão de macro projetos ciclo 2014/2018
Deficiência no atendimento à situações de falha em sistemas supervisórios de operação de usinas, com interferência negativa na comunicação de dados operativos relacionados à teleassistência de usinas pelo COS-CEMIG, e COR-ONS.
Penalização por parte de orgão regulador.</t>
  </si>
  <si>
    <t>GLE-INV-PPE-Aq-Eqp-analisador-isolação
SAP-IW33-CPDE-1600001869</t>
  </si>
  <si>
    <t>Descrição: MG/LE: Aquisição de (2) analisador de Isolação TeraOhm 5 kV, com grau  proteção contra interferência eletomagnética.
Referência: Metrel</t>
  </si>
  <si>
    <t xml:space="preserve">OBS: Já autorizado na CRCA 085/2016 - Revisão de macro projetos ciclo 2014/2018
Deficiência no atendimento à demandas de execução de manutenção dos ativos da geração. 
Elevação de índices de indisponibilidade operativa de usinas. 
Penalização por parte de orgão regulador.
</t>
  </si>
  <si>
    <t>GLE-INV-PPE-Aq-Eqp-macaco-mecân-30T</t>
  </si>
  <si>
    <t xml:space="preserve">Descrição: MG/LE: Aquisição de (2)  Macacos Mêcanicos de 30 Toneladas
Referência: Guimmy Codigo GJJ3020 JOURNAL JACK.
</t>
  </si>
  <si>
    <t>OBS: Já autorizado na CRCA 085/2016 - Revisão de macro projetos ciclo 2014/2018
Deficiência no atendimento à demandas de execução de manutenção dos ativos da geração. 
Elevação de índices de indisponibilidade operativa de usinas. 
Penalização por parte de orgão regulador.</t>
  </si>
  <si>
    <t>GLE-INV-PPE-Aq-Epq-micrometro-int-tubular</t>
  </si>
  <si>
    <t>Descrição: MG/LE: Aquisição de (1)  Micrômetro Interno Tubular, 50 a 1000 mm 137-204.
Referência: Mitutoyo</t>
  </si>
  <si>
    <t>Descrição: MG/LE: Aquisição de (2) Talhas de Corrente, 3 Ton, 5m de elevação.
Refêrencia: Berg Steel</t>
  </si>
  <si>
    <t>OBS: Já autorizado na CRCA 085/2016 - Revisão de macro projetos ciclo 2014/2018
Deficiência no atendimento à demandas de execução de manutenção em equipamentos de usinas.
Elevação de índices de indisponibilidade operativa de usinas.
Não encontrar disponível, no momento da necessidade, o citado equipamento para locação.</t>
  </si>
  <si>
    <t>Descrição: MG/LE: Aquisição de (1) Conjunto bomba manual, acionamento macaco hidraulico.
Referência: Guimmy modelo  GP80C</t>
  </si>
  <si>
    <t>Descrição: MG/LE: Aquisição de (2) Macacos Hidraulicos, simples ação, 25 ton.
Referência: Guimmy modelo GRC 251</t>
  </si>
  <si>
    <t>Descrição: MG/LE: Aquisição de (2) Macacos Hidráulicos, simples ação, 10 ton. 
Referência: Guimmy modelo GRC 102.</t>
  </si>
  <si>
    <t>Descrição: MG/LE: Aquisição de (2) Macacos hidráulicos de simples ação, vazado, 20 TON. 
Referência: Guimmy modelo GRCH 202.</t>
  </si>
  <si>
    <t>Descrição: MG/LE: Aquisição de Projetor, multimídia, 3200lúmens, contraste 400:1,resolução 1024x768(xga) relação 4:3, painel lcd, matriz ativa, alimentação 127/220v,60hz,c/controle remoto,equipado c/suporte universal fixação ao teto,c/cabeamento interligação.</t>
  </si>
  <si>
    <t xml:space="preserve">Limitação da eficiência das reuniões.
Limitação dissiminação da estratégia coorporativa.
Limitação na eexcução de treinamentos nas sede do MG/LE.
</t>
  </si>
  <si>
    <t>Descrição: MG/LE: Aquisição de (1) Clorímetro digital portátil.
Referência: Instrutherm Instrumentos de Medição Ltda - Modelo C-300</t>
  </si>
  <si>
    <t xml:space="preserve">OBS: Já autorizado na CRCA 085/2016 - Revisão de macro projetos ciclo 2014/2018
Descumprimento de requisito legal.
Autuação e multa por parte de ógão fiscalizador governamental.
</t>
  </si>
  <si>
    <t>Descrição: MG/LE: Aquisição de (1) Analisador de Disjuntor Portátil. Teste de resistência estática de contato. Testes de sincronismo. Análise de corrente da bobina e motor.
Teste de mínima corrente de pick-up. Teste da condição de baixa tensão.
Referência: CIBANO 500.
PME 500-TR. EHV  KC-6A. Megger Trax. BCM MSD02.</t>
  </si>
  <si>
    <t>Descrição: MG/LE: Aquisição de (1) Medidor de relação de transformação Trifásico
Referência: AEMC. Megger TTR 330.</t>
  </si>
  <si>
    <t>Descrição: MG/LE: Aquisição de (1) Medidor de resistencia ohmica 
Referência: Criem IRO 103</t>
  </si>
  <si>
    <t>Rangel Araújo F Martins</t>
  </si>
  <si>
    <t>Aquisição de 01 Calibrador de Processo. Ref.: FLUKE</t>
  </si>
  <si>
    <t>Falhas nos processos de manutenção e operação que necessitam de equipamentos corretamente calibrados/parametrizados para seu funcionamento.</t>
  </si>
  <si>
    <t>Impossibilidade de diagnósticos corretos e de ajustes/parametrização de equipamentos eletromecânicos das Usinas.</t>
  </si>
  <si>
    <t>Aquisição de um Kit para  montagem de rolamento. Ref.: SKF</t>
  </si>
  <si>
    <t>Falha nos processos de montagem de equipamentos eletromecânicos das Usinas.</t>
  </si>
  <si>
    <t>Aquisição de 02 Aparelhos de ar condicionado tipo casete 48000 BTU para sala de reuniões da Usina - UHNP</t>
  </si>
  <si>
    <t>Degradação das condições ergonômicas das áreas das Usinas que concentram um maior números de pessoas por longos períodos de tempo.</t>
  </si>
  <si>
    <t>Dificuldade de acompanhamento e confirmação das condições operacionais dos equipamentos eletromecânicos da Usina.</t>
  </si>
  <si>
    <t>Instalação de 01 sistema de vigilancia patrimonial - UHNP</t>
  </si>
  <si>
    <t>Aquisição dos serviços de Instalação de sistema de vigilancia patrimonial para a Usina - UHNP</t>
  </si>
  <si>
    <t>MG/UT</t>
  </si>
  <si>
    <t>Diego Thadeu 31-3535-7617</t>
  </si>
  <si>
    <t>Modernização de notebooks já existentes</t>
  </si>
  <si>
    <t>Maior tempo para retorno das unidades geradoras que depende de equipamentos eletronicos que necessitam de notebooks para diagnosticos e manutenção</t>
  </si>
  <si>
    <t>Substituição de Ar Condiconado</t>
  </si>
  <si>
    <t xml:space="preserve">Não atendimento a requistos de conforto termico e ruidos para trabalhadores </t>
  </si>
  <si>
    <t>Marcos Augusto - 34-3088-4901</t>
  </si>
  <si>
    <t xml:space="preserve">Aquisição de ferramentas e equipamentos </t>
  </si>
  <si>
    <t>Aquisição de ferramentas e equipamentos para atendimento a manutenção das usinas da MG/TA.</t>
  </si>
  <si>
    <t>Indisponibilidade de unidades geradoras devido a não termos ferramentas e equipamentos adequados para testes e reparo. Ademais podem ocorrer falhas provenientes de intervenções realizadas de forma equivocada devido a ferramentas e equipamentos com defeito ou desajustado.</t>
  </si>
  <si>
    <t>MG/SB</t>
  </si>
  <si>
    <t>Luiz Antonio Maia</t>
  </si>
  <si>
    <t xml:space="preserve">Ausencia de manutenção dos instrumentos de barragem afeta diretamente a segurança das barragens </t>
  </si>
  <si>
    <t xml:space="preserve">A ausência de inspeção visual afeta diretamente a segurança das barragens </t>
  </si>
  <si>
    <t>Rodrigo Marques</t>
  </si>
  <si>
    <t>Aquisição de Equipamentos e instrumentos para laboratório MS/QL</t>
  </si>
  <si>
    <t>Aquisição de Equipamentos e instrumentos para laboratório MS/QL, para realização de ensaios e adequação às necessidades atuais.</t>
  </si>
  <si>
    <t>A não execução pode levar ao risco de baixar a qualidade dos materiais adquiridos pela CEMIG e até mesMO de paralizar a realização de ensaios dos laboratórios da MS/QL.</t>
  </si>
  <si>
    <t>MS/QL</t>
  </si>
  <si>
    <t>PO/MG</t>
  </si>
  <si>
    <t>Jeferson</t>
  </si>
  <si>
    <t>Usinas - Aquisição de Instrumentação para análise preditiva nas usinas do grupo CEMIG, composta por sensores de proximidade, sensor de pressão, acelerômetros, base magnética e cabos, conforme conjuntos ou kits específicos que serão cadastrados na MS.</t>
  </si>
  <si>
    <t>Kit de diagnostico de analise preditiva</t>
  </si>
  <si>
    <t>Falha no diagnostico de equipamentos podendo levar a indisponibilidade operativa e consequente perda de receita da geração</t>
  </si>
  <si>
    <t>Usinas - Aquisitor de dados multicanal para análise de parâmetros dinâmicos de unidades geradoras</t>
  </si>
  <si>
    <t>Aquisitor de dados multicanal</t>
  </si>
  <si>
    <t>Coletor e analisador de dados portatil</t>
  </si>
  <si>
    <t>Sensor de rotação</t>
  </si>
  <si>
    <t>LVDT</t>
  </si>
  <si>
    <t>Aquisição software de Confiabilidade (RENO, Lambdapredict, DOE e RGA)</t>
  </si>
  <si>
    <t>Software de Confiabilidade</t>
  </si>
  <si>
    <t>Falha no diagnostico e priorização de investimentos em equipamentos da geração, podendo levar a indisponibilidade operativa e consequente perda de receita da geração</t>
  </si>
  <si>
    <t>Substituição de equipamentos da oficina - adequação NR-12</t>
  </si>
  <si>
    <t>Adequação NR-12 - Equipamentos</t>
  </si>
  <si>
    <t>Penalização perante o Ministério do Trabalho</t>
  </si>
  <si>
    <t>Falha no processo de execução da manutenção por falta de dispositivos e ferramentas, podendo levar a indisponibilidade operativa e consequente perda de receita da geração</t>
  </si>
  <si>
    <t>Upgrade/atualização do software Geo-slope 2012</t>
  </si>
  <si>
    <t>Upgrade Software Geo-slope</t>
  </si>
  <si>
    <t>Falha grave no software que pode acarretar a perda de controle do monitoramento da Segurança em Barragens das usinas da Cemig</t>
  </si>
  <si>
    <t>Gustavo Soares/Leandro Veloso Cunha/Joel Máximo</t>
  </si>
  <si>
    <t>PO/MT</t>
  </si>
  <si>
    <t>Gustavo Soares/Eduardo Martins/Adriana de Castro</t>
  </si>
  <si>
    <t>Ferramentas para o Centro de Monitoramento Preditivo e para o Laboratório de integração de novos ativos de Proteção, Controle, Supervisão e Automação da PO/MT</t>
  </si>
  <si>
    <t>Ferramentas PO/MT_CMP e PCSA</t>
  </si>
  <si>
    <t xml:space="preserve">Produtividade; atraso na realização e análises de testes de integração/monitoramento de ativos; segurança de pessoal; </t>
  </si>
  <si>
    <t>Gustavo Soares/Joel Máximo</t>
  </si>
  <si>
    <t>Aquisição de ferramentas de manutenção diversas</t>
  </si>
  <si>
    <t>Ferramentas de manutenção MT</t>
  </si>
  <si>
    <t>Produtividade das rotinas de manutenção, mantendo-se as condições de segurança para os empregados, e cumprimento dos requisitos da ReN Aneel nº 669/2015 - Requisitos Mínimos de Manutenção</t>
  </si>
  <si>
    <t>Construção de Laboratório de Ensaios de Materiais da MS/QL em novo CDM-Centro de Distribuiçaõ de Materiais da CEMIG, tendo em vista a vendo dos sites atuais (quarteirões 1 e 2 do Jatobá).</t>
  </si>
  <si>
    <t>Caso o projeto não seja executado, haverá comprometimento da capacitação da CEMIG nos ensaios para a devida verificação da qualidade dos materiais adquiridos e aplicados no sistema elétrico, e não alcance de apoio aos forncecedores no desenvolvimento tecnológico do parque industrial brasileiro.
Além disso, irá inviabilizar a desocupação do Q1, onde estão montados os laboratórios atuais, para alienação e consequentemente a apuração de receita para a companhia.</t>
  </si>
  <si>
    <t>Desenvolvimento do sistema BPMS (IBM) para automatização dos processos da Cadeia de Suprimentos da Cemig.</t>
  </si>
  <si>
    <t>Processos de contratação despadronizados, pulverizados e sem controle das etapas e workflow.</t>
  </si>
  <si>
    <t>Imprementar a Assinatura Digital para o processo de Suprimentos</t>
  </si>
  <si>
    <t>Continuar com os processos de contratação morosos, com assinatura física de documentos, impressão e altos custos com os Correios.</t>
  </si>
  <si>
    <t>Desenvolvimento de um sistema que faça o controle das cláusulas editalícias e contratuais, permitindo ao usuário montar os editais e contratos de forma automatizada e padronizada.</t>
  </si>
  <si>
    <t>Morosidade na confecção de editais e contratos, falta de padronização e controle das cláusulas utilizadas.</t>
  </si>
  <si>
    <t>DRH</t>
  </si>
  <si>
    <t>Denis</t>
  </si>
  <si>
    <t>Oscilógrafo digital de 12 canais para curso de Ensaios Eléricos.</t>
  </si>
  <si>
    <t xml:space="preserve">Equipamento atual de treinamento da escola é muito antigo e não reflete a realidade dos equipamentos das equipes de campo. </t>
  </si>
  <si>
    <t>A falta de treinamento das equipes impossibilitará as manutenções preventivas e corretivas dos disjuntores, ocasionando altos índices de defeitos e indisponibilidade do sistema elétrico.</t>
  </si>
  <si>
    <t>UniverCemig - Prédio 09</t>
  </si>
  <si>
    <t>Marcela</t>
  </si>
  <si>
    <t>Romeraldo</t>
  </si>
  <si>
    <t>Calibrador tipo Corpo Negro (Fonte de Calor)</t>
  </si>
  <si>
    <t>Equipamento para o curso de Termografia aplicada ao Sistema Elétrico.</t>
  </si>
  <si>
    <t>A falta de treinamento das equipes impossibilitará as manutenções preventivas dos equipamentos de subestações, ocasionando altos índices de defeitos e indisponibilidade do sistema elétrico.</t>
  </si>
  <si>
    <t>Medidor de Relação de transformação digital</t>
  </si>
  <si>
    <t>Equipamento para o curso de Ensaios Elétricos.</t>
  </si>
  <si>
    <t>Equipamento essencial para o curso de Ensaios elétricos, o que temos atualmente é muito antigo (mais de 20 anos) e não reflete a realidade dos equipamentos que as equipes tem  em campo.</t>
  </si>
  <si>
    <t>Testador de rigidez dielétrica de óleo isolante.</t>
  </si>
  <si>
    <t>Jose Cesar</t>
  </si>
  <si>
    <t xml:space="preserve">Projetores para treinamentos e apresentações em geral </t>
  </si>
  <si>
    <t>Substituir  equipamento  antigo e deixar um de reserva.</t>
  </si>
  <si>
    <t>Impossibilitará ministração das aulas teóricas.</t>
  </si>
  <si>
    <t>UniverCemig</t>
  </si>
  <si>
    <t xml:space="preserve">UniverCemig </t>
  </si>
  <si>
    <t>Televisão de 55"</t>
  </si>
  <si>
    <t>Televisão para a sala de videoconferência</t>
  </si>
  <si>
    <t>Televisão da sala de videoconferência queimou, não compensa consertar.</t>
  </si>
  <si>
    <t>Equipamento essencial para acompanhamento das videoconferências em Sete Lagoas.</t>
  </si>
  <si>
    <t>UniverCemig - Prédio Y</t>
  </si>
  <si>
    <t>2 Alicates Terrômetros</t>
  </si>
  <si>
    <t>Equipamento para o curso de Resistividade e Resistência de Aterramento e Técnicas de Medição.</t>
  </si>
  <si>
    <t>Equipamento essencial para os cursos sobre medição de aterramento, o que temos atualmente está absoleto e fora da especificação técnica 02.111-PO/MT-1260a e não reflete a realidade dos equipamentos que as equipes tem  em campo.</t>
  </si>
  <si>
    <t>Equipamento essencial para os cursos sobre medição de aterramento e para os curso sobre Termografia, o que temos atualmente está absoleto e não atende à normas Abendi/ABNT e instruções internas.</t>
  </si>
  <si>
    <t>2 Anemômetros eletrônicos, modelo tecnologia com wi-fi.</t>
  </si>
  <si>
    <t>2 Medidores eletrônicos de temperatura e umidade relativa do ar, modelo com tecnologia wi-fi.</t>
  </si>
  <si>
    <t>2 Alicates amperímetros digital com tecnologia wi-fi.</t>
  </si>
  <si>
    <t>Uaded</t>
  </si>
  <si>
    <t>Lavadoura de pratos industrial</t>
  </si>
  <si>
    <t>Lavadora de pratos para o refeitorio da Univercemig</t>
  </si>
  <si>
    <t>Máquina é essencial para economia de mão de obra e tempo.</t>
  </si>
  <si>
    <t>Januario</t>
  </si>
  <si>
    <t>2 HI-POTT CA até 60 kV</t>
  </si>
  <si>
    <t>Equipamento para o treinamento de rede aerea isolada.</t>
  </si>
  <si>
    <t>UniverCemig - Prédio 11</t>
  </si>
  <si>
    <t>Francisco Fernando</t>
  </si>
  <si>
    <t xml:space="preserve">Lousa eletronica para sala 115 </t>
  </si>
  <si>
    <t>Equipamento moderno e com alta praticidade para ministração de cursos.</t>
  </si>
  <si>
    <t>Não há riscos.</t>
  </si>
  <si>
    <t>Marlon</t>
  </si>
  <si>
    <t>Motopoda Gasolina Cabo 5 Mt Stihl Ht131 - 36.3cc 1.4/1.9 Cv para curso de poda</t>
  </si>
  <si>
    <t>Equipamento essencial para o treinamento de poda, atualmente tem-se soliciado emprestimo em outras áreas para realização dos treinamentos.</t>
  </si>
  <si>
    <t>Sergio Rocha</t>
  </si>
  <si>
    <t>Tensionador Leve</t>
  </si>
  <si>
    <t>Equipamento para treinamento das equipes de Linha Viva.</t>
  </si>
  <si>
    <t>Equipamento essencial para treinamentos em Linha Viva em Linhas de Distribuição e Transmissão.
Esse equipamento tem sido emprestado pelas gerências durante os treinamentos.</t>
  </si>
  <si>
    <t>A falta de treinamento das equipes impossibilitará as manutenções preventivas dos equipamentos de Linha Viva, ocasionando altos índices de defeitos e indisponibilidade do sistema elétrico.</t>
  </si>
  <si>
    <t>UniverCemig - Prédio 08</t>
  </si>
  <si>
    <t xml:space="preserve">Substituição de Mobiliário </t>
  </si>
  <si>
    <t xml:space="preserve">Substituição de mesas e cadeiras antigas ou danificadas </t>
  </si>
  <si>
    <t>Reposição necessária devido utilização diária, necessidade de manutenção ou reposição constante.</t>
  </si>
  <si>
    <t>Impossibilitará atividades rotineiras.</t>
  </si>
  <si>
    <t>Pista de Direção Defensiva</t>
  </si>
  <si>
    <t>Construção da pista para o curso de direção defensiva</t>
  </si>
  <si>
    <t>Necessário construção de pista off-road para o curso de direção defensiva. Atualmente as aulas práticas não tem sido realizadas por falta de espaço adequado.</t>
  </si>
  <si>
    <t>A falta de treinamento das equipes impossibilitará as manutenções preventivas dos equipamentos de Linha de Transmissão e subestações, ocasionando altos índices de defeitos e indisponibilidade do sistema elétrico.</t>
  </si>
  <si>
    <t>Modernização de Recursos Pedagógicos</t>
  </si>
  <si>
    <t>Modernização de salas de aula, paineis, equipamentos didáticos em geral.</t>
  </si>
  <si>
    <t>Impossibilitará reposição de materiais e equipamentos desgastados, impossibilitando os treinamentos.</t>
  </si>
  <si>
    <t>Nº de Mobiliário</t>
  </si>
  <si>
    <t>Flávio Henrique Silva Rosário</t>
  </si>
  <si>
    <t>Aquisição de Bebedouros para várias unidades da Cemig.</t>
  </si>
  <si>
    <t>A Cemig possui várias unidades antigas, com bebedouros também muito antigos, que precisam ser substituídos.</t>
  </si>
  <si>
    <t>Dificuldade no fornecimento de bebedouros para as instalações da Cemig e consequentemente, no fornecimento de água para os funcionários conforme normas regulamentadores.</t>
  </si>
  <si>
    <t>Todo Estado</t>
  </si>
  <si>
    <t>Aquisição de Equipamentos de Ar Condicionado para todo o Estado.</t>
  </si>
  <si>
    <t>O projeto objetiva a aquisição e instalação de equipamentos em unidades que não possuem o sistema de ar condicionado, para atender a nova demanda dos usuários, ou substituição do sistema de ar existente, por obsolescência dos equipamentos nas instalações gerenciadas pelo SC em todo estado.
Trata-se de exigência da Portaria 3523, de 28/08/1998 do Ministério da Saúde, que aprovou procedimentos para minimizar o risco potencial à saúde dos ocupantes em ambientes climatizados por tempo prolongado.</t>
  </si>
  <si>
    <t>Dificuldade no fornecimento de aparelhos de ar condicionado para as instalações da Cemig e consequentemente, na garantia da climatização de ambientes conforme a Portaria 3523, de 28/08/1998 do Ministério da Saúde.</t>
  </si>
  <si>
    <t>Aquisição de terminal de videoconferência de alta definição</t>
  </si>
  <si>
    <t>Aquisição de baterias para os Nobreaks dos Edifícios Júlio Soares e Aureliano Chaves</t>
  </si>
  <si>
    <t>Aquisição de baterias para os Nobreaks, que possuem vida útil média de 5 anos e precisam ser substituídas de periodicamente.</t>
  </si>
  <si>
    <t>Falha completa dos nobreaks, o que pode provocar interrupção no fornecimento de energia para áreas críticas da empresa, como COS, COD e TI, e consequentemente, diversos prejuízos em falhas operacionais e multas no Sistema Elétrica da Cemig.</t>
  </si>
  <si>
    <t>Aquisição de Sistema de Proteção contra Descargas Atmosféricas (SPDA)</t>
  </si>
  <si>
    <t>O empreendimento compreende a aquisição de sistema de proteção contra descargas atmosféricas para prédios da Cemig que não o possuem ou que foram danificados, como prédios do Quarteirões 03 e 14, Anel Rodovíario e Edifício Itambé. A instalação desses sistemas é obrigatória conforme  as Normas NBR-5419/2005 e NR10/2004.</t>
  </si>
  <si>
    <t>A não execução do projeto traz risco de dano aos equipamentos e às pessoas que que trabalham nas edificações que não possuem SPDA caso ocorra a queda de um raio (descarga elétrica). Há também risco de multas pelos órgãos competentes, por não atender às normas de segurança.</t>
  </si>
  <si>
    <t>Aquisição de Subestação Predial para o Quarteirão 14</t>
  </si>
  <si>
    <t>Aquisição de equipamentos para as subestações dos prédios do Quarteirão 14.</t>
  </si>
  <si>
    <t>Caso os equipamentos entrem em falha, há risco de interrupção no fornecimento de energia, acidentes e incêndio nas edificações envolvidas. Há também riscos de multas por parte da Aneel pelas irregularidades nas medições de energia.</t>
  </si>
  <si>
    <t xml:space="preserve">Kit para teste de detecção de fumaça </t>
  </si>
  <si>
    <t>Aquisição de equipamentos para testes dos sistemas de alarme e combate a incêndio das edificações.</t>
  </si>
  <si>
    <t>Dificuldade na realização das manutenções preventivas nos detectores de fumaça, e aumento na chance de falha desses detectores.</t>
  </si>
  <si>
    <t>Nº de Sistema de Segurança</t>
  </si>
  <si>
    <t>Controle de Acesso - AR</t>
  </si>
  <si>
    <t>Implantação de Cancelas com acesso eletrônico e registro de veículos no edif. Julio Soares</t>
  </si>
  <si>
    <t>Automatizar controle de entrada e saida de veículos da sede</t>
  </si>
  <si>
    <t>Permanencia de controles manuais não precisos. Histórico comprometido.</t>
  </si>
  <si>
    <t>TI/TC</t>
  </si>
  <si>
    <t>Daniel Sena</t>
  </si>
  <si>
    <t>Cemig D - Regionais de manutenção</t>
  </si>
  <si>
    <t>Aquisição de Ferramentas manuais e Instrumentos para regionais de manutenção</t>
  </si>
  <si>
    <t>O projeto de modernização do parque de microinformática refere-se à aquisição de ativos de hardware e software para atendimento ao chamado kit empregado. Em virtude da alta variação do dólar observada ao longo de 2015, o balizamento de preços demonstrou-se inferior à expectativa dos licitantes para lotes específicos, resultando no fracasso de dois pregões eletrônicos (cerca de 30% do quantitativo previsto para aquisição no corrente ano). Ressalta-se, assim, que a taxa de obsolescência do parque em 2016 manter-se-á em patamar extremamente elevado, alcançando cerca de 50% do ativo.</t>
  </si>
  <si>
    <t>Intensificação da taxa de obsolescência do parque de microinformática; aumento da frequência de falhas e mau funcionamento dos equipamentos; aumento da indisponibilidade de equipamentos para manutenção ou reposição; restrições na instalação e execução de novos programas ou versões; aumento da exposição de riscos de segurança da informação; perda do suporte especializado do fornecedor; degradação do desempenho e produtividade da força de trabalho.</t>
  </si>
  <si>
    <t>Belo Horizonte</t>
  </si>
  <si>
    <t>Projeto de Atualização da Versão do SAP CRM</t>
  </si>
  <si>
    <t>Prospecção Tecnológica, Desenvolvimento, Sustentação e Documentação de Sistemas de Engenharia que atendem os processos da empresa Cemig D</t>
  </si>
  <si>
    <t>O projeto é responsável pela prospecção, desenvolvimento, sustentação e documentação de diversos sistemas de engenharia da Cemig D. Dentre as iniciativas em andamento, podem ser destacadas: Agencia Virtual – AGV; Sistema de Gestão de Projetos de Redes – SGPR; Verde Minas; e Sistema de Monitoramento de Óleo.</t>
  </si>
  <si>
    <t>Impacto em diversas iniciativas, paralisando as adequações de processo, desenvolvimento de novos sistemas ou módulos, implementação de automações, entre outros, impedindo a evolução das ferramentas e operações de rotina das áreas da Cemig D.</t>
  </si>
  <si>
    <t>Sustentação e Evolução G-DIS</t>
  </si>
  <si>
    <t>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t>
  </si>
  <si>
    <t>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t>
  </si>
  <si>
    <t>Sustentação e Evolução PEC</t>
  </si>
  <si>
    <t xml:space="preserve">A finalidade do projeto diz respeito ao desenvolvimento de novas funcionalidades no Portal Eletrônico de Compras – PEC, além de promover a incorporação dos módulos legados GALO e PGP ao novo portal. </t>
  </si>
  <si>
    <t>Incapacidade de evolução da ferramenta responsável pelo processo de aquisições da empresa; o comprometimento da disponibilidade do sistema;  a perda de sinergia na incorporação de módulos legados num único sistema; e limitação das funcionalidades do Portal Eletrônico de Compras.</t>
  </si>
  <si>
    <t>Barramento de Serviços G-DIS</t>
  </si>
  <si>
    <t>O projeto refere-se à criação de um barramento de serviços para o Sistema G-DIS como SOA - Service Oriented Achitecture, conforme necessidade apontada pelo Programa Conexão - Implantação de sistemas em sinergia com outras empresas do Grupo Cemig.</t>
  </si>
  <si>
    <t>Perda de sinergia no compartilhamento de serviços; despadronização de fornecedores e tecnologias; piora no tempo de resposta e no processamento das requisições; perda na distribuição de carga de solicitações em outro ambiente computacional.</t>
  </si>
  <si>
    <t>Expansão e Sustentação da AGV</t>
  </si>
  <si>
    <t>Aumentar os serviços disponíveis na Agência Virtual da Cemig</t>
  </si>
  <si>
    <t>Migração dos consumidores para canais de atendimento de maior custo para a Cemig D</t>
  </si>
  <si>
    <t>Construção de Framework de Desenvolvimento</t>
  </si>
  <si>
    <t>Elaborar e Construir um Framework de Desenvolvimento de Sistemas</t>
  </si>
  <si>
    <t>Variedade de modelos e estruturas para os novos sistemas</t>
  </si>
  <si>
    <t>Desenvolvimento do sistema PIC-Portal da Imagem Cemig</t>
  </si>
  <si>
    <t>Prover o desenvolvimento do sistema PIC - Portal da Imagem Cemig</t>
  </si>
  <si>
    <t>Gastos sem controle nos anúncios e comunicados da Empresa</t>
  </si>
  <si>
    <t>Portal Geográfico de Meteorologia</t>
  </si>
  <si>
    <t>Construção do portal com feição geográfica para visão dos eventos meteorológicos no sistema elétrico.</t>
  </si>
  <si>
    <t>Falta de funcionalidades para gestão; Ausência de informações importantes para a tomada de decisão.</t>
  </si>
  <si>
    <t>Aquisição Storage (armazenamento)</t>
  </si>
  <si>
    <t>O projeto concerne à aquisição de equipamentos de hardware com vistas a suportar o crescimento vegetativo das demandas de armazenamento de dados das diversas aplicações empresa, como os sistemas SAP, Condis, SAS, Arquivos, GDOC, bem como novas aplicações. A previsão de expansão do parque decorre do crescimento vegetativo observado para as aplicações existentes, além da demanda proveniente da entrada de novas aplicações. Salienta-se que várias aplicações, entre elas os sistemas SAP, requerem alto desempenho devido ao processamento de dados em grande volume.</t>
  </si>
  <si>
    <t xml:space="preserve">Limitação da capacidade de processamento de dados das soluções da empresa. Como ressaltado, trata-se de aplicações de desempenho crítico e que, por essa razão, requerem alto nível de performance. </t>
  </si>
  <si>
    <t xml:space="preserve">Aquisição de Servidores x86 </t>
  </si>
  <si>
    <t>Os servidores x86 são os equipamentos de hardware utilizados com vistas a suportar aplicações específicas, como o Correio Eletrônico, Servidores de Arquivos, Internet, Intranet, Portal de Compras, Agência Virtual, GPJuri, Impressão Corporativa, Bancos de Dados SQL, dentre outros. O projeto objetiva substituir os equipamentos obsoletos, visando comportar o crescimento vegetativo dessas aplicações; Aquisição de novos servidores visando a atualização tecnológica do interior do estado; Permitir o crescimento vegetativo da infraestrutura do interior do estado; Atendimento as demandas por recursos tecnológicos das áreas clientes, que estão cada dia mais crescentes e a atual infraestrutura não suporta.</t>
  </si>
  <si>
    <t>Comprometimento da capacidade de processamento das aplicações atendidas, com degradação de desempenho das mesmas; O crescimento vegetativo da infraestrutura será inviabilizada devido a obsolescência do hardware, bem como, a impossibilidade de crescimento da capacidade de processamento.</t>
  </si>
  <si>
    <t xml:space="preserve">Aquisição/Upgrade do ambiente de backup </t>
  </si>
  <si>
    <t>Melhoria no ambiente de backup (hardware e software) para atendimento ao crescimento vegetativo e novas aplicações</t>
  </si>
  <si>
    <t>Crescimento da base de consumidores no CCS</t>
  </si>
  <si>
    <t>Crescimento vegetativo ambiente SAP</t>
  </si>
  <si>
    <t>O projeto decorre da necessidade de upgrade da capacidade de processamento e memória dos servidores que hospedam a solução SAP da Cemig, em face do crescimento vegetativo.  Alguns sistemas integrados com a solução SAP são: SAP ECC IS-U/CCS for Utilities (SGC – Sistema de Gestão comercial), SAP Customer Relationship Management - CRM e SAP Enterprise Resource Planning (ECC 6.0 EHP4). À parte do crescimento vegetativo da solução SAP, o projeto atende também a necessidade de processamento de projetos específicos, como Altântis e G-DIS.</t>
  </si>
  <si>
    <t>Incapacidade de processamento dos servidores para absorção das demandas vegetativas, regulatórias e fiscais, tais como crescimento do número de consumidores; projeto de leitura e impressão simultânea de faturas; nota fiscal eletrônica de entrada; além da necessidade de processamento de dados de projetos críticos, como Atlântis e G-DIS. Não sendo possível sua realização em 2016, restará prejudicado o dimensionamento adequado do parque de servidores, assim como a garantia da capacidade de processamento de dados requisitada pelos diversos sistemas operacionais da Cemig D.</t>
  </si>
  <si>
    <t>xOmini</t>
  </si>
  <si>
    <t>Aquisição de novos servidores visando adequar a infraestrutura do sistema Scada xOMNI que encontra-se obsoleta e com vida útil esgotada; Permitir o crescimento vegetativo do sistema e a expansão da base de dados do sistema de automação da  Rede de Distribuição da Cemig D; Gestão adequada da transição do sistema Scada em operação para o novo sitema que será implantado, sem colocar em risco a operação do sitema elétrico.</t>
  </si>
  <si>
    <t>Ocorrência de falhas na infraestrutua do sistema com severos riscos operativos para a Cemig D devido a este sistema ser a ferramenta exclusiva para a operação,  controle e supervisão de todo os sistema elétrico de alta e média tensão da Cemig D; Aumento do DEC em função de elevação do tempo médio de atendimento - TMA decorrente de deslocamentos de equipes locais, com graves consequencias para a manutenção do contrato de concesssão da Cemig D; Impacto negativo na disponbilidade e qualidade do fornecimento de energia elétrica para clientes da Cemig D, bem como na segurança de pessoal próprio, terceiros e instalações da empresa, além da elevação dos custos com deslocamento de pessoal para realização de comandos locais.</t>
  </si>
  <si>
    <t xml:space="preserve">Aquisição do SIEM </t>
  </si>
  <si>
    <t>Solução de Gerenciamento e Correlação de Eventos de Segurança</t>
  </si>
  <si>
    <t>O projeto relaciona-se à renovação do contrato de licenciamento de software com a Microsoft, contemplando todas as licenças em uso pela Cemig D, como Windows Server External Connector, Windows Server Datacenter, Sharepoint Server, Exchange Server Enterprise, CPS do Visual Studio Premium para Ultimate, CPS do Visual Studio Ultimate, Lync Sever Enterprise, e MSDN Platform.</t>
  </si>
  <si>
    <t>Perda do direito de renovação do contrato, que ocorre anualmente. Nesse caso, alguns impactos podem ser mencionados, como a perda na economia de custos, já que a renovação, com direito à versão atualizada, custa cerca de 25% do valor da aquisição de uma nova licença; a limitação das funcionalidades das licenças e exposição a falhas de segurança, devido à desatualização das aplicações.</t>
  </si>
  <si>
    <t>NetAdmin Gerenciamento das estações de trabalho</t>
  </si>
  <si>
    <t>O projeto refere-se à contratação do licenciamento do software NetAdmin para a gestão e inventário lógico de estações de trabalho e demais ativos utilizados na rede de dados da Cemig.</t>
  </si>
  <si>
    <t>Impossibilidade de atualização tecnológica do produto. Em decorrência da obsolescência da ferramenta, os seguintes impactos podem ser mencionados: aumento do tempo de atendimento de chamados relativos a suporte de estação de trabalho, administração de chaves de acesso e liberação de direitos de acessos; impossibilidade da execução de rotinas automatizadas pela solução; perda de suporte perante o fornecedor.</t>
  </si>
  <si>
    <t>Licenciamento Microsoft (TrueUp Microsoft 2013)</t>
  </si>
  <si>
    <t>Renovação do contrato de licenciamento de software que contempla Windows Server, Office, etc (2015). Para os demais anos, atendimento às demandas de novos projetos</t>
  </si>
  <si>
    <t>ATLÂNTIS - Aquisição de uma plataforma GIS (Geographic Information System) para suporte aos processos da Cemig Distribuição, em substituição ao atual sistema GEMINI e aquisição da infraestrutura necessária para suportar a nova solução.</t>
  </si>
  <si>
    <t>Contratação dos novos módulos de Mapeamento, Cadastro, Projeto e Planejamento do Sistema de Gestão de Redes e da infraestrutura para suportá-los controlando a possibilidade de análise, estudo, simulação, valoração e processamento das informações em um ambiente integrado, além de propiciar o correto provimento das informações periodicamente solicitadas pelo órgão regulador (ANEEL) no seu novo ambiente georreferenciado; Integrar os sistemas Atlantis e o SAP CCS; Expor serviços de negócio reutilizáveis aderentes a este contexto de integração;  Permitir a identificação de logradouros que ainda não possuam consumidores cadastrados.</t>
  </si>
  <si>
    <t xml:space="preserve">Perda de sincronismo de processos entre Cemig e Light; limitação e desempenho degradado da solução atual; baixa produtividade para provimento de novas soluções para gestão dos ativos da rede de distribuição; limitação da quantidade de usuários com acesso à aplicação; obsolescência da ferramenta atual, com mais de uma década de uso; perda de oportunidade de redução de custos operacionais; incapacidade de atendimento a algumas demandas do órgão regulador (Aneel/Prodist);
perda da melhoria do processo de capitalização e gestão de ativos da Cemig Distribuidora.
</t>
  </si>
  <si>
    <t>Aquisição da plataforma de geoprocessamento da ESRI na modalidade ELA</t>
  </si>
  <si>
    <t>Contratação do licenciamento, suporte e atualização de versões dos produtos ESRI, prover as equipes de serviços de campo da Cemig D com software para gestão execução das atividades, atender as demandas de diversos projetos de P&amp;D com as ferramentas de geoprocessamento especificas, fornecer software para as equipes de espansão e operação da Cemig D.</t>
  </si>
  <si>
    <t>Projeto Implantação do e-Social</t>
  </si>
  <si>
    <t>Este projeto visa ao provimento de solução no sistema SAP ERP para atender ao módulo e-Social (Sistema de escrituração fiscal digital das obrigações fiscais, previdenciárias e trabalhistas) instituído pelo Governo Federal com o Sistema Público de Escrituração Digital – SPED, através do Decreto nº 6.022/07 e alterado pelo Decreto nº 7.979/13.</t>
  </si>
  <si>
    <t>Não cumprimento das obrigações da Cemig perante o governo federal, evitando-se, dessa forma, o risco de multa e/ou penalidades ante a Secretaria da Receita Federal do Brasil (RFB), o Ministério do Trabalho e Emprego (MTE), o Instituto Nacional do Seguro Social (INSS), a Caixa Econômica Federal (CEF), o Conselho Curador do Fundo de Garantia por Tempo de Serviço (FGTS) e a Justiça do Trabalho.</t>
  </si>
  <si>
    <t>Licenciamento de Softwares (Oracle)</t>
  </si>
  <si>
    <t>O projeto decorre da atualização de versão e licenciamento da plataforma de software de gerenciamento de banco de dados da ORACLE.</t>
  </si>
  <si>
    <t>Obsolescência do ambiente de gerenciamento de banco de dados; risco de indisponibilidade em decorrência de incidentes críticos, devido à perda da garantia de suporte e da disponibilidade de evoluções de funções e de ferramentas; assim como degradação de performance do ambiente SAP.</t>
  </si>
  <si>
    <t>Atualização da plataforma de software da Hexagon, que atende os projetos e sistemas de geoprocessamento e de gerenciamento eletrônico de documentos.</t>
  </si>
  <si>
    <t>Envelhecimento do parque de software existente na empresa; Falta de suporte para o uso dos produtos e a resolução de problemas; Degradação do ambiente e limitação da performance.</t>
  </si>
  <si>
    <t>Desenvolvimento de Sistemas Corporativos em BPMS</t>
  </si>
  <si>
    <t>Licenciamento BENTLEY</t>
  </si>
  <si>
    <t>Atualização da plataforma de software BENTLEY, ferramentas para elaboração de projetos em desenho auxiliado por computador - CAD</t>
  </si>
  <si>
    <t>Limitação da quantidade de licenças para os usuários na Cemig; Falta de suporte para o uso dos produtos e a resolução de problemas; Obsolescência dos produtos usados pela Empresa.</t>
  </si>
  <si>
    <t>Crescimento do Hardware G-DIS</t>
  </si>
  <si>
    <t>Aquisição de novos servidores  visando adequar a infraestrutura a especificação dos projetos G-DIS 2.0 e Atlantis; Permitir o crescimento vegetativo do sistema; Atendimento ao órgão regulador permitindo melhorias no batimento físico-contábil dos ativos da Cemig Distribuição.</t>
  </si>
  <si>
    <t>Os projetos G-DIS 2.0 e Atlantis estão em andamento com contratos anuidos pela Aneel. Não fornecer o hardware implica em descontinuidade desses projetos e perda do investimento realizado nos projetos G-DIS 2.0 e Atlantis; Várias demandas estão aguardando a implantação do G-DIS 2.0 e Atlantis, sem hardware teremos que implementar soluções duas vezes, sendo uma na versão atual.</t>
  </si>
  <si>
    <t xml:space="preserve">Modernização do Sistema de Aquisição de Dados e Monitoramento do COD e aquisição de EMS </t>
  </si>
  <si>
    <t>Aquisição e implantação de Sistema de Aquisição de Dados e Monitoramento com funcionalidades de EMS, OTS dentre outras definidas na Especificação Técnica, e aquisição de Sistema de Controle Backup, a ser implementado como serviço de Colocation.</t>
  </si>
  <si>
    <t>Aquisição de equipamento móvel (tablets) para inspeção, desenho de projetos e recebimento de obras de rede distribuição em campo.</t>
  </si>
  <si>
    <t>Perda de oportunidade de ganho de produtividade na inspeção da manutenção, processo de elaboração e execução de projetos de expansão da rede de distribuição; Perda de oportunidade de melhoria de qualidade e segurança na operação de rede subterrânea; Perdas comerciais, devido à maior dificuldade na identificação de fraudes em serviços de inspeção de rede por empresas contratadas.</t>
  </si>
  <si>
    <t>Integração Atlantis x GDIS</t>
  </si>
  <si>
    <t>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t>
  </si>
  <si>
    <t>Aquisição/atualização de Servidores x86 para suportar o crescimento vegetativo das diversas aplicações, possibilitando a disponibilidade de infraestrutura de processamento para atender as aplicações atuais, como Correio Eletrônico, Servidores de Arquivos, Internet, Intranet, Portal de Compras, GPJuri, Impressão, Bancos de Dados SQL, entre outras e novas aplicações.</t>
  </si>
  <si>
    <t>Licenciamento Microsoft visando manter atualizada todas as versões de software Microsoft instalados na Empresa de forma a garantir a disponibilidade e a segurança das informações.</t>
  </si>
  <si>
    <t>Renovação do licenciamento Oracle UDD, que foi celebrado em 2012 e vence em 2015, quando necessita ser renovado.</t>
  </si>
  <si>
    <t>Upgrade do Software Inspetor</t>
  </si>
  <si>
    <t>Upgrade em software de Sistema de Segurança de Barragens e Manutenção Civil</t>
  </si>
  <si>
    <t>Se o sistema não for atualizado, podemos não ter equipe técnica qualificada para corrigir futuros problemas, devido à arquitetura de software e hardware antiga usada pelo mesmo.</t>
  </si>
  <si>
    <t>Holding</t>
  </si>
  <si>
    <t>Atualização do parque de microinformática para atender a política de substituição de 20% ao ano.</t>
  </si>
  <si>
    <t>Atualização do parque de microinformática para atender a política de substituição de 20% ao ano. Visa possibilitar a realização plena das atividades da força de trabalho, dentro dos processos da empresa, com a utilização de equipamentos.</t>
  </si>
  <si>
    <t>Upgrade do SAP GRC Access Control</t>
  </si>
  <si>
    <t>Canais de Atendimento Cemig - AGV/AGB/AGA</t>
  </si>
  <si>
    <t>Upgrade SAP GRC Risk Management</t>
  </si>
  <si>
    <t>Aquisição de Licenças QlikView</t>
  </si>
  <si>
    <t>Migração para TAXBRA</t>
  </si>
  <si>
    <t>Migração para NFE de Entrada</t>
  </si>
  <si>
    <t>Licenciamento GE - Eletric Office</t>
  </si>
  <si>
    <t>Upgrade do Sistema FROTA</t>
  </si>
  <si>
    <t>Aquisição Solução SAP Mobile</t>
  </si>
  <si>
    <t>Aquisição do SAP TDF</t>
  </si>
  <si>
    <t>Revisão simplificada do SGO</t>
  </si>
  <si>
    <t>Este projeto atende a demanda para a revisão do Sistema de Gestão de Obras – SGO, que requer melhorias evolutivas desde sua implantação.</t>
  </si>
  <si>
    <t xml:space="preserve">Dificuldade para a gestão das obras e empreendimentos da Distribuidora; em ausência de uma revisão na modelagem de dados do sistema atual; e em baixa performance da customização, com geração de relatórios de análise inadequados. </t>
  </si>
  <si>
    <t>O projeto refere-se à prospecção, ao desenvolvimento e à implantação de soluções baseadas nas tecnologias GED, Geoprocessamento e BPM.</t>
  </si>
  <si>
    <t>O projeto atende à necessidade de evolução e desenvolvimento de softwares disponibilizados no ambiente da Intranet da Cemig.</t>
  </si>
  <si>
    <t>Impossibilidade de adequação dos sistemas legados às novas regras e estruturas da Empresa, perda da eficiência operacional dos processos informatizados, em virtude da defasagem de automação dos processos das áreas de negócio; incapacidade de implantação de novas funcionalidades na Cemignet20, e não atendimento a determinações regulatórias.</t>
  </si>
  <si>
    <t>Mobilidade - Desenvolvimento e integração com Atlantis (Projeto/As built)</t>
  </si>
  <si>
    <t>MG/NT</t>
  </si>
  <si>
    <t>Fúlvio Queiroz Barbosa</t>
  </si>
  <si>
    <t>Atualização do sistema de mídia do Auditório do Centro de Referência.</t>
  </si>
  <si>
    <t xml:space="preserve">Substituição da TV utilizada no Auditório do Centro de Referência da UHE Irapé. </t>
  </si>
  <si>
    <t>Falha e consequente ausencia de equipamento de mídia para apresentação da Usina durante Visitas da Comunidade, Prestadores de Serviço, autoridades, etc.</t>
  </si>
  <si>
    <t>Aquisição de Projetor Multimidia</t>
  </si>
  <si>
    <t>Falha e consequente falta de equipamento para execução de reuniões da equipe local.</t>
  </si>
  <si>
    <t>Daniel Bretas (31-35062945)</t>
  </si>
  <si>
    <t>Necessidade substituição de equipamentos obsoletos, visando garantir a saúde e segurança dos empregados usuários das instalações</t>
  </si>
  <si>
    <t>VÁRIAS INSTALAÇÕES DA CEMIG D</t>
  </si>
  <si>
    <t>AQUISIÇÃO DE 19 BEBEDOURO PARA REGIONAIS DA DGE - INSTALAÇÕES DA CEMIG D</t>
  </si>
  <si>
    <t>• Aumento nos custos de manutenção (despesa operacional), uma vez que os atuais equipamentos obsoletos são submetidos e reiterados consertos
• impacto direto no clima organizacional com a insatisfação e reclamação dos empregados por trabalharem em um ambiente sem o adequado fornecimento de água potável.</t>
  </si>
  <si>
    <t>AQUISIÇÃO DE 23 PROJETORES PARA REGIONAIS DA DGE - INSTALAÇÕES DA CEMIG D</t>
  </si>
  <si>
    <t>Necessidade substituição de equipamentos obsoletos, visando garantir a eficácia da comunicação quando da realização de reuniões com as equipes de trabalho</t>
  </si>
  <si>
    <t>• Aumento nos custos de manutenção (despesa operacional), uma vez que os atuais equipamentos obsoletos são submetidos e reiterados consertos
• Comprometimento de realização de reuniões de trabalho por falta de equipamento.</t>
  </si>
  <si>
    <t>AQUISIÇÃO DE ELETRODOMÉSTICOS</t>
  </si>
  <si>
    <t>AQUISIÇÃO DE 18 ELETRODOMÉSTICOS (REFRIGERADORES E FOGÕES) PARA REGIONAIS DA DGE - INSTALAÇÕES DA CEMIG D</t>
  </si>
  <si>
    <t>• Aumento nos custos de manutenção (despesa operacional), uma vez que os atuais equipamentos obsoletos são submetidos e reiterados consertos</t>
  </si>
  <si>
    <t>JUIZ DE FORA - DRENAGEM DE SOLO E ASFALTAMENTO NA ÁREA DO SERVIÇO DE CAMPO</t>
  </si>
  <si>
    <t>OBRA DE DRENAGEM, SUBSTITUIÇÃO DO ASFALTO EXISTENTE E IMPLANTAÇÃO DE ASFALTO ONDE NÃO HÁ</t>
  </si>
  <si>
    <t>Aumento da execução de despesa operacional, visto que há constantes problemas (buracos) no alfalto existe, gerandos gastos em despesa operacional para correção, bem como alagamento de área quando de chuvas. Os buracos também causam dados a veículos que circulam no local e impacto no Clima dos empregados que utilizam a instalação.</t>
  </si>
  <si>
    <t>ALMENARA E OURO PRETO - CENTRAL TELEFÔNICA PARA INSTALAÇAO DDR</t>
  </si>
  <si>
    <t xml:space="preserve">AQUISIÇÃO E INSTALAÇAO DE DDR NA CENTRAL TELEFÔNICA </t>
  </si>
  <si>
    <t>Continuidade de gastos em despesa operacional com custo mensal de Recepcionista para atendimento telefônico</t>
  </si>
  <si>
    <t xml:space="preserve">- Aumento de móveis sucateados;
- Atraso na execução dos serviços de montagem e desmontagem de mobiliário, comprometendo o planejamento ocupacional;
- Aumento de reclamações dos clientes;
-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t>
  </si>
  <si>
    <t>Total 2018</t>
  </si>
  <si>
    <t>Total 2019</t>
  </si>
  <si>
    <t>Total 2020</t>
  </si>
  <si>
    <t>Total 2021</t>
  </si>
  <si>
    <t>Total 2022</t>
  </si>
  <si>
    <t>Total Geral</t>
  </si>
  <si>
    <t>Valores</t>
  </si>
  <si>
    <t>Distribuição Total</t>
  </si>
  <si>
    <t>2018</t>
  </si>
  <si>
    <t>2019</t>
  </si>
  <si>
    <t>2020</t>
  </si>
  <si>
    <t>2021</t>
  </si>
  <si>
    <t>2022</t>
  </si>
  <si>
    <t xml:space="preserve"> Total
2018/22</t>
  </si>
  <si>
    <t>AR - Construção de muro de arrimo, passeio e sistema de drenagem</t>
  </si>
  <si>
    <t>Contratação de projetos executivos e construção de muro de arrimo, sistema de drenagem e passeio externo no estacionamento adjascente ao P21 no AR</t>
  </si>
  <si>
    <t>Tombamento do muro de toras de madeira, podendo ocasionar danos materiais e acidentes de trabalho.</t>
  </si>
  <si>
    <t>Equipamentos para cozinhas, refeitórios e restaurantes</t>
  </si>
  <si>
    <t>Aquisição de equipamentos para cozinhas, refeitórios e restaurantes das unidades prediais administrativas da região metropolitana de Belo Horizonte sob gestão da Infraestrutura - SC</t>
  </si>
  <si>
    <t xml:space="preserve">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t>
  </si>
  <si>
    <t>Tombamento do muro; acidente com empregados e terceiros; danificar ativos da Cemig; deslizamento de solo</t>
  </si>
  <si>
    <t>CDI - Sete Lagoas - Execução de reforço do talude e obra de drenagem</t>
  </si>
  <si>
    <t>Reforço do talude, demolição da escada externa e reforma do sistema de drenagem no CDI-Sete Lagoas</t>
  </si>
  <si>
    <t>Queda da caixa de escada; desmoronamento do talude em que os caminhões de linha viva estacionam; transbordamento do sistema de drenagem pluvial e alagamento do pátio de estacionamento externo; enxurradas em épocas de chuva</t>
  </si>
  <si>
    <t>Em pouco tempo deixará de atender normas da ANVISA; comprometer a qualidade da água potável consumida pelos trabalhadores do local</t>
  </si>
  <si>
    <t>CDI - Sete Lagoas - Execução de bacia de contenção coberta</t>
  </si>
  <si>
    <t>Obra de bacia de contenção em concreto armado impermeabilizada com cobertura e fechamento lateral metálicos</t>
  </si>
  <si>
    <t>Contaminação do solo por óleo; passivo ambiental</t>
  </si>
  <si>
    <t>Implantação de acesso de segurança para manutenção em prédios da Cemig da Região Metropolitana de BH</t>
  </si>
  <si>
    <t>Contratação de projeto e execução de adequações de segurança para acesso de manutenção em prédios nas unidades AR, CI e SE-NA.</t>
  </si>
  <si>
    <t>Sem esses acessos não é possível executar essa manutenção, tendo que contratar equipamentos ou empresas especializadas, pois há risco para quem o executa. E também há o risco do serviço ser feito sem autorização, sem segurança e que aconteça algum incidente.</t>
  </si>
  <si>
    <t>Rompimento de tubulações; interrupção de abastecimento em local de trabalho; contaminação em água potável; atendimentos emergenciais aos vazamentos; dificuldade para manutenção; impacto em outros sistemas construtivos, aumentando custo de manutenção</t>
  </si>
  <si>
    <t>M² de obra</t>
  </si>
  <si>
    <t>Ormindo Coutinho Filho</t>
  </si>
  <si>
    <t>Aquisição de Guindaste Hidráulico Veicular e Carroceria modular metálica p/ RDS</t>
  </si>
  <si>
    <t>Aquisição de tanques para combustível</t>
  </si>
  <si>
    <t>Atualização tecnológica do tanque de combustível, já que o atual está validade ultrapassada e requer inspeções trimestrais (despesa operacional)</t>
  </si>
  <si>
    <t>EA/EP</t>
  </si>
  <si>
    <t>Afonso Vanderlei Nunes Barbosa</t>
  </si>
  <si>
    <t xml:space="preserve">Modernização do parque tecnológio da EA/EP para serviços topográficos </t>
  </si>
  <si>
    <t>Aquisição de uma estação total e seus acessórios  (mira, tripé, bolsae caixa de transporte, baliza e bastão de aluminio, baterias, controladora e trena eletrônica)</t>
  </si>
  <si>
    <t xml:space="preserve">Aumento do custo de mão-obra própria com o uso das tecnologias atuais;
Aumento do riscos de má qualidade do projetos;
Risco de atraso nas obras;
</t>
  </si>
  <si>
    <t>Modernização do parque tecnológio da EA/EP para serviços geodésicos.</t>
  </si>
  <si>
    <t xml:space="preserve">Aquisição de um par de Receptor GPS de dupla frequência L1/L2 - RTK  – Incluindo software de descarregamento e transformação dos dados brutos para formato RINEX e seus acessórios </t>
  </si>
  <si>
    <t>EA/EL</t>
  </si>
  <si>
    <t>José William Campomizzi</t>
  </si>
  <si>
    <t>Contribui para a morosidade na tomada de decisão do engenheiro de obra.</t>
  </si>
  <si>
    <t>EA/EO</t>
  </si>
  <si>
    <t>Beline Q. A. Fonseca</t>
  </si>
  <si>
    <t>Thais Freire</t>
  </si>
  <si>
    <t>Aquisição de medidores de qualidade de energia classe A para atendimento aos requisitos dos Procedimentos de Rede e da revisão 8 do Módulo 8 do PRODIST.</t>
  </si>
  <si>
    <t>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t>
  </si>
  <si>
    <t>Flavio Henrique M. Vieira</t>
  </si>
  <si>
    <t xml:space="preserve">Equipamento analisador de nível de sinal celular - AQS </t>
  </si>
  <si>
    <t xml:space="preserve">Aquisição de 25 equipamento analisador de nível de sinal celular - AQS </t>
  </si>
  <si>
    <t>Elevação de custos de OPEX com serviço de campo para  manutenção do pontos que apresentam baixa performance para operação do COD.  Não será capturado melhoria dos indicadores de qualidade, dentre eles o DEC</t>
  </si>
  <si>
    <t>Ferramentas e equipamentos para Laboratório de testes de equipamentos  em Uberlândia</t>
  </si>
  <si>
    <t>Aquisição de equipamentos para testes em equipamentos de rede em Uberlândia (Fonte de corrente 300A,Hipots 10kV, Alicates volt amperímetro CAT IV e fontes de tensão VCC estabilizada)</t>
  </si>
  <si>
    <t>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t>
  </si>
  <si>
    <t xml:space="preserve">Laboratório para homologação de equipamentos de automação </t>
  </si>
  <si>
    <t>A automação da distribuição é essencial para atingir objetivos melhoria de processos. O não desenvolvimento de novas soluções e tecnologias para equipamentos de rede e SEs  implica em não obtenção da redução de custos operacionais e de agregação de receita bem como melhoria dos indicadores de qualidade, dentre eles o DEC.</t>
  </si>
  <si>
    <t>EM/CE</t>
  </si>
  <si>
    <t>Compra de ferramentas para as equipes de projetos e obras de resdes BT/MT(recomposição, prospecção)</t>
  </si>
  <si>
    <t>Equipes produzindo menos</t>
  </si>
  <si>
    <t>GR/PC</t>
  </si>
  <si>
    <t>Ronaldo Oliveira</t>
  </si>
  <si>
    <t>Aquisição Microcoletores</t>
  </si>
  <si>
    <t>Equipamento para leitura de consumo dos cosumidores do mercado cativo</t>
  </si>
  <si>
    <t>Não faturamento, afetando diretamente o caixa da empresa
Descomprimento da regulação - Multa</t>
  </si>
  <si>
    <t>Aquisição Berço</t>
  </si>
  <si>
    <t>Aquisição Impressora</t>
  </si>
  <si>
    <t xml:space="preserve">Sistema de Inteligência de Negócios de Distribuição </t>
  </si>
  <si>
    <t>Criação de  ferramentas analíticas para disponibilização de informações gerenciais e estrategicas as áreas de Negocio da Distribuição</t>
  </si>
  <si>
    <t>Incapacidade de análise de dados estratégicos da distribuição reduzindo as informações para decisões importantes para os ganhos de negócio da empresa.</t>
  </si>
  <si>
    <t>Aquisição de 2 computadores do tipo Notebook.</t>
  </si>
  <si>
    <t xml:space="preserve">Substituição de dois notebooks obsoletos (Agnaldo Neves e Ricardo Dourado).
</t>
  </si>
  <si>
    <t xml:space="preserve">Demora na disponibilização de informações de campo e prestação de contas em sistemas corporativos.
</t>
  </si>
  <si>
    <t xml:space="preserve">Aquisição de 2 licenças de  Software analisador de protocolos Industriais e redes Ethernet industriais
</t>
  </si>
  <si>
    <t>Contribui para a morosidade na identificação de problemas de integração de equipamentos e conexão via redes de automação das novas SEs.</t>
  </si>
  <si>
    <t>Aquisição de 4 computadores  Notebook.</t>
  </si>
  <si>
    <t xml:space="preserve">Aquisição de 4 Notebook´s para utilização dos técnicos de automação e comissionamento (2 Xomni e 2 Softer analisador de protocolo) </t>
  </si>
  <si>
    <t>Dependencia de software  e hardware (Notebooks) das equipes de manutenção regional que nem sempre estao disponiveis .</t>
  </si>
  <si>
    <t>SADNET</t>
  </si>
  <si>
    <t>Aquisição e implantação de Sistema de coleta, tratamento de registros oscilográficos e localização de faltas em subestações, linhas e redes de distribuição</t>
  </si>
  <si>
    <t>Não redução do custos de Opex com serviço de campo para  análise e localização de faltas e ocorrências no SEP. Degradação dos indicadores de qualidade, dentre eles o DEC</t>
  </si>
  <si>
    <t>Sistema Nix</t>
  </si>
  <si>
    <t>Aquisição e implantação de sistema Solução Inteligente para Estudos de Proteção de Sistemas de Distribuição de Energia Elétrica</t>
  </si>
  <si>
    <t>A Cemig tem plano de investimento nos próximos anos para aplicação  de religadores em cumprimento a ações pactuadas no Plano de Resultados da Aneel visando melhoria do DEC. O não atendimento das  ações pode acarretar penalizações com reflexo inclusive no contrato de concessão</t>
  </si>
  <si>
    <t>Sistema de selfhealing descentralizado</t>
  </si>
  <si>
    <t xml:space="preserve">Aquisição e implantação de sistema de selfhealing descentralizado para 800 equipamentos telecontrolados da rede de Média Tensão </t>
  </si>
  <si>
    <t>Não redução do custos de Opex com serviço de campo nas ocorrências no SEP. Não será capturado melhoria dos indicadores de qualidade, dentre eles o DEC</t>
  </si>
  <si>
    <t xml:space="preserve">Integração da rede de oscilografia das subestações </t>
  </si>
  <si>
    <t xml:space="preserve"> Aquisição de infraestrutura de conectividade para permitir acesso remoto aos dados dos IEDS visando oscilografia das subestações</t>
  </si>
  <si>
    <t>Elevação de custos de OPEX com serviço de campo para  análise e  localização de faltas e ocorrências no SEP. Não será capturado melhoria dos indicadores de qualidade, dentre eles o DEC</t>
  </si>
  <si>
    <t>Sistema de gestão e monitoramento  da integração de comunicação do sistema SCADA</t>
  </si>
  <si>
    <t>Aquisição de sistema de gestão e monitoramento  da integração de comunicação do sistema SCADA</t>
  </si>
  <si>
    <t xml:space="preserve"> Elevação da indisponibilidade do telecontrole das SEs com forte impacto na operação do sistema elétrico e  degradação dos indicadores de qualidade, dentre eles o DEC. </t>
  </si>
  <si>
    <t>Integração CIM - COD para falta de energia</t>
  </si>
  <si>
    <t xml:space="preserve"> A integração do CIM com GDIS visa o registro e a criação notas para o restabelecimento da falta de energia na unidade consumidora</t>
  </si>
  <si>
    <t>O registro do início de falta é auditado pela Aneel para apuração dos indicadores e calculo de compensações financeiras.  A Cemig fica sujeita a penalizações na auditoria de avaliação dos indicadores de qualidade  a Aneel quando existe discrepância no momento em que a Cemig tem conhecimento da falta de energia em relação ao registro no GDIS</t>
  </si>
  <si>
    <t xml:space="preserve">Integração em ambiente de produção do sistema Landis+GYr do projeto  Cidades do Futuro (P&amp;D 423) visando disponibilizar funções de leitura e corte/religa automatizados </t>
  </si>
  <si>
    <t>Existe necessidade de investimento para desenvolvimento de integrações com o sistema MECE e SAP/CCS para   automatização da leitura dos medidores e de corte/religa</t>
  </si>
  <si>
    <t>O sistema instalado em campo com +/_ 3.500 UC de BT sem ainda possibilidade de  utilização de todas suas funcionalidades. A não execução acarretaria em não redução de despesas leitura (30 mil/ano), corte/religa (projeção de 12 mil/ano) e incremento de receita com recuperação da inadimplência mais ganhos intangíveis com automatização e disponibilização de dados de on-line para os processos internos.</t>
  </si>
  <si>
    <t>Aquisição do Sistema Cyme</t>
  </si>
  <si>
    <t>O projeto consiste na contratação do fornecimento, manutenção e suporte de aplicativos especializados para cálculos e análise de sistemas de distribuição de energia elétrica a serem disponibilizados em rede.</t>
  </si>
  <si>
    <t>Dificuldade da realização do planejamento de expansão do sistema elétrico e análises de atendimento de carga da Malha Centro (2.034 MVA). Versões desktop não possui capacidade de executar os cálculos de fluxo de potência de todos os dados da Malha Centro. Esse problema é solucionado com o Cyme Server.
Descontinuidade dos Dados históricos de demanda, existentes desde 1984, comprometendo a projeção da distribuição espacial da carga e consequente a otimização dos investimentos.
Não otimização da rede implicando em aumento de Perdas Técnicas, investimentos adicionais, violação de Requisitos Regulatórios como DEC, DIC/FIC/DMIC, DRC/DRP, perda de Flexibilidade Operativa.
A atual quantidade de licenças Cyme é insuficiente para permitir a produção adequada das equipes de Planejamento, Operação e Engenharia, ocasionando descumprimento dos prazos regulatórios.
Continuidade do dispêndio de Hh com o processo de obtenção e validação de dados, já que os casos ajustados ficam disponíveis apenas nas estações de trabalho.</t>
  </si>
  <si>
    <t>Regularização de Pendência com Imóveis - Distribuição</t>
  </si>
  <si>
    <t>x</t>
  </si>
  <si>
    <t>Lousa eletronica CM 907914</t>
  </si>
  <si>
    <t>2 Motoserras -Motopoda  TUC 230 (Equipamento de Oficina)</t>
  </si>
  <si>
    <t>Oscilógrafo TDR900 DOBLE TUC 230 (Equipamentos de Laboratórios)</t>
  </si>
  <si>
    <t>CPO</t>
  </si>
  <si>
    <t>TI02115</t>
  </si>
  <si>
    <t>TI01016</t>
  </si>
  <si>
    <t>NA</t>
  </si>
  <si>
    <t>TI02516</t>
  </si>
  <si>
    <t>Sistema de Gestão de Serviços Corporativos em BPMS</t>
  </si>
  <si>
    <t>TI02616</t>
  </si>
  <si>
    <t>Em R$mil - Moeda constante de Junho/17</t>
  </si>
  <si>
    <t>Demora no restabelecimento de linhas de transmissão, onde não é possivel comunicar com a equipe, Risco de não execução de serviços e permanência da equipe na instalação sem poder executar manutenções em linhas de transmissão.</t>
  </si>
  <si>
    <t>Construção de ferramentaria para EMLT Ituiutaba</t>
  </si>
  <si>
    <t>Danos ao ferramental da equipe devido ao mal acondicionamento e riscos de lesões devido à posturas inadequadas</t>
  </si>
  <si>
    <t>Risco de acidentes com a população, vandalismo, invasões e roubos na instalação</t>
  </si>
  <si>
    <t>Perfuração de um novo Poço artesiano</t>
  </si>
  <si>
    <t>Faltar água na SE São Gotardo 2.</t>
  </si>
  <si>
    <t>Aquisição de sistema de monitormamento por câmeras, video porteiro com vigilancia eletronica, sistema de intrusão e sensores</t>
  </si>
  <si>
    <t>Furtos, roubos, perdas materiais e risco à integridade das pessoas da instalação</t>
  </si>
  <si>
    <t>Substituição de toda a malha hidráulica dos prédios dentro das unidades AR, CI, IT e SE-NA dentro dos novos padrões de mercado e de produto</t>
  </si>
  <si>
    <t>Substituição do sistema de abastecimento de água das unidades AR, CI, IT e SE-NA</t>
  </si>
  <si>
    <t>Atendimento de Telecom da Base Operativa do São Gabriel</t>
  </si>
  <si>
    <t>Perda do Sistema de Telefonia para os usuários do São Gabriel e/ou multa contratual</t>
  </si>
  <si>
    <t>Substituição de Veículos da Diretoria Executiva - Distribuição</t>
  </si>
  <si>
    <t>Substituição de Veículos da Diretoria Executiva - Geração</t>
  </si>
  <si>
    <t>Substituição de Veículos da Diretoria Executiva - Transmissão</t>
  </si>
  <si>
    <t>Nº Veículos</t>
  </si>
  <si>
    <t>MS/LA</t>
  </si>
  <si>
    <t>Obras para viabilização da transferência dos funcionários lotados na UHE Gafanhoto para o imóvel situado na Rua Itapecerica, e para o imóvel SE Divinópolis 02, visando à desocupação de parte da área do imóvel da Usina, prescindível aos negócios da empresa, para alienação, além da redução de despesas com contratos de transporte por ônibus e de vigilância armada.</t>
  </si>
  <si>
    <t>Transferência de Base Operativa da MD/MM do Itambé para o Anel Rodoviário e Barro Preto (Projeto de Centralização Administrativa)</t>
  </si>
  <si>
    <t>Otimização dos Ativos de Montes Claros</t>
  </si>
  <si>
    <t>Transferência das equipes de manutenção de rede subterrânea, da MD/MM, do prédio Itambé para a instalação Anel Rodoviário, bem como montagem de base avançada na na instalação do Barro Preto, visando à liberação do prédio Itambé e do lote situado na rua Juiz de Fora para alienação.</t>
  </si>
  <si>
    <t xml:space="preserve">Não cumprimento de meta estabelecida no Projeto de Centralização Administrativa da Cemig no Edifício Aureliano Chaves, relativa à obtenção de receita com a alienação do prédio Itambé. </t>
  </si>
  <si>
    <t>Alienação do compartilhado e transferência das atividades para o imóvel situado no bairro Vila Mauricéia e locação de imóvel para agência. Adequação do imóvel para recebimento da equipe.</t>
  </si>
  <si>
    <t>Construção de Laboratório de Ensaios de Materiais da MS/QL em novo CDM.</t>
  </si>
  <si>
    <t>Impermeabilização interna dos reservatórios de água centrais inferiores e superior do Anel Rodoviário, Q14, Q10 e Q3 com manta líquida</t>
  </si>
  <si>
    <t>Impermeabilização dos reservatórios de água</t>
  </si>
  <si>
    <t>Q14/P2 e 3 e P2/Adelaide - Obra de recuperação estrutural e instalações</t>
  </si>
  <si>
    <t>Ruído elevado, calor excessivo no ambiente de trabalho, prejudicando o desempenho dos empregados.
Risco de falha e danos nos equipamentos digitais por alta temperatura e condiçoes ergonômicas desfavoráveis, baixa qualidade do ar, desconforto térmico.</t>
  </si>
  <si>
    <t>Aquisição de 4 Bebedouro industrial inox reservatório 50 litros</t>
  </si>
  <si>
    <t>Não atender as normas de saúde e segurança.
Indisponibilidade de água filtrada e refrigerada para equipes de manutenção de campo. Necessidade de comprar grande volume de água mineral refrigerada para equipes durante serviços em campo.</t>
  </si>
  <si>
    <t>Construção de ferramentaria</t>
  </si>
  <si>
    <t>Aquisição e instalação de Sistema de vigilância</t>
  </si>
  <si>
    <t xml:space="preserve">Comprometimento da produtividade, segurança e condições ergonômicas para a realização das atividades de manutenção do sistema elétrico;
Falta de ferramentas de trabalho para as equipes de manutenção, e a não adequação legal, comprometendo a segurança de empregados e a produtividade das equipes;
Manter na frota veículos obsoletos, com alto índice de indisponibilidade, podendo até mesmo comprometer a segurança dos empregados e sua produtividade.
</t>
  </si>
  <si>
    <t>Aquisição de 04 Cestas aérea para trabalho em Linha viva 345/500 kV até 18m em substituição as extensões isolantes para grua.</t>
  </si>
  <si>
    <t>Aquisição de 04 cestas aéreas</t>
  </si>
  <si>
    <t>Multas do MTE; Restrição de ferramentas para execução de serviços em linha viva; elevação dos custos de Parcela Variável.</t>
  </si>
  <si>
    <t>José Flávio/Amaro Freitas</t>
  </si>
  <si>
    <t xml:space="preserve">SEMIRREBOQUE MODULAR, ARTICULADO, DE 6 LINHAS DE EIXO,  SUSPENSÃO HIDRÁULICA DIRECIIONAL, PERCOÇO ARTICULADO, PARA TRANSPORTE DE CARGAS INDIVISÍVEIS E EXCEDENTES DE PESO E/OU DIMENSÕES PARA ATENDIMENTO AO SISTEMA ELÉTRICO DE POTÊNCIA; </t>
  </si>
  <si>
    <t>CONJUNTO COM INTENSIFICADOR DE PRESSÃO HIDRAULICO COMPOSTO DE MANÔMETRO, SISTEMA DE DUPLA AÇÃO, COM VALVULA REGULADORA DE PRESSÃO DE 4 VIAS, 3 POSICOES /FUNÇOES DA VALVULA: AVANÇO / RETENÇÃO/ RETORNO, DE VAZÃO  44 pol³ / min, PESO: 7,26 Kg;</t>
  </si>
  <si>
    <t>RISCO DE OCORÊNCIA DE ACIDENTES, BAIXA PRODUTIVIDADE DOS ATENDIMENTOS, OBSOLESCÊNCIA DO FERRAMENTAL, ELEVADO CUSTO MANUTENÇÃO, RISCO DO NÃO ATENDIMENTO EFICAZ  ÀS EMERGÊNCIAS DO SISTEMA ELÉTRICO DE POTÊNCIA- SEP, JUNTO AS INSTALAÇÃOES ENERGIZADASPRÓPRIAS E/OU TERCEIROS, USINAS, OFICINAS MANUTENÇÃO,PRÓPRIAS E/OU TERCEIROS;   
Aplicação de multas expressivas à Cemig, por interrupção do fornecimento de energia a consumidores em limites exorbitantes, fora dos previstos em lei, com impactos diretos no DEC, FEC, DIC e DMIC.</t>
  </si>
  <si>
    <t>Otimização dos Ativos de Lavras para atendimento da Cemig GT</t>
  </si>
  <si>
    <t>Samuel Matos</t>
  </si>
  <si>
    <t>Não redução de despesa operacional, relativa à locação de imóvel para a Cemig GT, no município de Lavras.</t>
  </si>
  <si>
    <t>Evandro Jardim</t>
  </si>
  <si>
    <t>Otimização dos Ativos de Ipatinga para atendimento da Cemig GT</t>
  </si>
  <si>
    <t>Não redução de despesa operacional, relativa à locação de imóvel para a Cemig GT, no município de Ipatinga.</t>
  </si>
  <si>
    <t>Loan Lauar</t>
  </si>
  <si>
    <t>Adequação do Q14 - Cidade Industrial</t>
  </si>
  <si>
    <t xml:space="preserve">Adequação do Anel Rodoviário </t>
  </si>
  <si>
    <t>Adequação do Patio de Trafos e cumprimento do condicionante - CDA Igarapé</t>
  </si>
  <si>
    <t xml:space="preserve">Instalação de catracas na entrada principal e P21 do AR (depende do projeto de Infra.
Infraestrutura para implantação de controle de acesso - AR
Instalação de infraestrutura para recebimento de controle de acesso no AR - Projeto elaborado
</t>
  </si>
  <si>
    <t>Perda do controle da pontualidade dos empregados. Dificuldade no controle do fluxo de pessoas na unidade.
Impossibilidade de implantação  do sistema eletrônico de controle de acesso. Dificuldade no controle do fluxo de pessoas na unidade.</t>
  </si>
  <si>
    <t>Aquisição de 2 lavadoras</t>
  </si>
  <si>
    <t>Aquisição de uma lavadora de alta pressão e uma jateadora</t>
  </si>
  <si>
    <t>Aumento com despesas com água.
Acúmulo de óleo no chão, apresentando risco de queda de pessoas.</t>
  </si>
  <si>
    <t>MT/CN MT/LE</t>
  </si>
  <si>
    <t>MT/CN MT/SE MT/LE MT/TA</t>
  </si>
  <si>
    <t>MT/LE MT/SE</t>
  </si>
  <si>
    <t>MT/TA</t>
  </si>
  <si>
    <t>MT/CN MT/TA</t>
  </si>
  <si>
    <t>MT/CN MT/SE</t>
  </si>
  <si>
    <t>MT/TA MT/SE</t>
  </si>
  <si>
    <t>SUBSTITUIÇÃO DO TELHADO EXISTENTE, QUE ESTÁ MUITO DANIFICADO - BLOCO B, COMPREENDIDO PELA OFICINA, EQUIPES DA MD/UL, SA/SE E TI/TC</t>
  </si>
  <si>
    <t>Aumento nos custos de manutenção (despesa operacional), danos a bens da Companhia quando de chuvas e vazamento dentro da instalação, impacto direto no clima organizacional com a insatisfação e reclamação dos empregados</t>
  </si>
  <si>
    <t xml:space="preserve">SUBSTITUIÇÃO COMPLETA DE TELHADO  </t>
  </si>
  <si>
    <t>SUBSTITUIÇÃO DO TELHADO E MADEIRAMENTO DO PRÉDIO</t>
  </si>
  <si>
    <t>UBERLÂNDIA - SUBSTITUIÇÃO TELHADO NO CRIU</t>
  </si>
  <si>
    <t xml:space="preserve">SÃO JOÃO DEL REI - SUBSTITUIÇÃO DE TELHADO  </t>
  </si>
  <si>
    <t>ITAJUBÁ - SUBSTITUIÇÃO DO TELHADO E MADEIRAMENTO DO PRÉDIO</t>
  </si>
  <si>
    <t>1-3-1-1 Edificações e Complementos G - Irapé</t>
  </si>
  <si>
    <t>Aquisição de 5 TV LED</t>
  </si>
  <si>
    <t>Aquisição de 5 TV LED 40' com entrada HDMI</t>
  </si>
  <si>
    <t>Precarização da segurança da instalação, dificuldade de ministrar treinamentos, não conformidade em auditorias do SIG devido à qualidade/entendimento dos treinamentos e apresentações para visitantes.</t>
  </si>
  <si>
    <t>Obra de instalação do sistema de combate a incêndio, Sistema de Proteção conta Descargas Atmosféricas - SPDA e substituição de telhado.</t>
  </si>
  <si>
    <t>Infiltração do telhado podendo avariar equipamentos e materiais; segurança em relação a combate a incêndio, SPDA e instalações elétricas</t>
  </si>
  <si>
    <t>Aquisição de sistemas de vídeoconferência para localidades que ainda não o possuem.</t>
  </si>
  <si>
    <t>Impossibilidade de conectividade de todas as unidades ao sistema de videoconferência que já dispõem do serviço.                        Impossibilidade para implantação de VC em novas localidades.                               Dificuldade na reposição de equipamentos defeituosos.</t>
  </si>
  <si>
    <t xml:space="preserve">Aquisição de Sistema multiponto RPCS VE  Equipado para 40 conexões HD ou 80 conexões SD </t>
  </si>
  <si>
    <t>Aquisição de um sistema conexão multiponto para modernização e ampliação e substituição da unidade MCU - MGC 10,0 em utilização atualmente no sistema de videoconferência da Cemig.</t>
  </si>
  <si>
    <t>Impossibilidade de conexão entre todos os terminais de sistema de videoconferência. Negativa do fafricante Polycom, em prestar manutenção corretiva na MGC 100, por se tratar de equipamento ultrapassado e sem peças de reposição.</t>
  </si>
  <si>
    <t>2 Medidores de distância a laser, modelo com tecnologia wi-fi.</t>
  </si>
  <si>
    <t>Aquisição de equipamentos para montagem do laboratório de homologação de equipamentos de automação na cidade industrial Q14</t>
  </si>
  <si>
    <t>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t>
  </si>
  <si>
    <t>Instrumentação Elétrica - Termômetro</t>
  </si>
  <si>
    <t>Instrumentação Elétrica - Osciloscópio</t>
  </si>
  <si>
    <t>GLE-INV-PPE- Aquisição de equipamento talha corrente 3T</t>
  </si>
  <si>
    <t>GLE-INV-PPE- Aquisição de equipamento bomba manual</t>
  </si>
  <si>
    <t>GLE-INV-PPE- Aquisição de equipamento macaco hidraúlico 25T</t>
  </si>
  <si>
    <t>GLE-INV-PPE- Aquisição de equipamento macaco hidraúlico 10T</t>
  </si>
  <si>
    <t>GLE-INV-PPE- Aquisição de equipamento macaco hidraúlico 20T</t>
  </si>
  <si>
    <t xml:space="preserve">GLE-INV-PPE- Aquisição de equipamento Clorímetro Digital Portátil </t>
  </si>
  <si>
    <t>GLE-INV-PPE Aquisição de equipamento Analisador disjuntor
SAP-IW33-CPDE-1600001865</t>
  </si>
  <si>
    <t>GLE-INV-PPE Aquisição de equipamento medidor relação transformador
SAP-IW33-CPDE-1600001866</t>
  </si>
  <si>
    <t>GLE-INV-PPE- Aquisição de equipamento medidor resistência ohmica
SAP-IW33-CPDE-1600001867</t>
  </si>
  <si>
    <t>Aquisição de 01 Calibrador de Processo FLUKE - MG/OE</t>
  </si>
  <si>
    <t>Aquisição de 01 Kit para  montagem de rolamento - MG/OE</t>
  </si>
  <si>
    <t xml:space="preserve">Aquisição de 01 Drone + baterias </t>
  </si>
  <si>
    <t xml:space="preserve">1 Drone + baterias </t>
  </si>
  <si>
    <t>Usinas - Aquisição de Transdutor de deslocamento diferencial variável linear (LVDT's de comprimentos diversos)</t>
  </si>
  <si>
    <t>Usinas - Aquisição de Sensor de rotação</t>
  </si>
  <si>
    <t>Usinas - Aquisição de Coletor analisador portátil de dados de vibração para a PO/MG</t>
  </si>
  <si>
    <t>Aquisição de 04 Notebooks UTIG</t>
  </si>
  <si>
    <t>Aquisição de Projetor Multimídia</t>
  </si>
  <si>
    <t>HSU-INV-PPE- Aquisição de refrigerador vertical 280L</t>
  </si>
  <si>
    <t>HSU-INV-PPE- Aquisição de ar condicionado</t>
  </si>
  <si>
    <t>GLE-INV-PPE- Aquisição de Equipamento projetor multimídia</t>
  </si>
  <si>
    <t>Aquisição de Ar Condicionado UTIG</t>
  </si>
  <si>
    <t>Aquisição de 02 Aparelhos de ar condicionado cassete 48000 BTU - UHNP</t>
  </si>
  <si>
    <t>Aquisição de Equipamentos para cozinhas, refeitórios e restaurantes</t>
  </si>
  <si>
    <t>Renovação da frota de veículos da Diretoria Executiva - Geração</t>
  </si>
  <si>
    <t>Renovação da frota de veículos da Diretoria Executiva - Transmissão</t>
  </si>
  <si>
    <t>Renovação da frota de veículos da Diretoria Executiva - Distribuição</t>
  </si>
  <si>
    <t>Aumento de despesas com manutenção, indisponibilidade dos veículos.</t>
  </si>
  <si>
    <t>Instalar nos caminhões equipamentos hidraulicos para movimentação, içamento e remoção, que permite carregar, transportar e descarregar equipamentos</t>
  </si>
  <si>
    <t>Comprometer a qualidade dos serviços prestados e  a produtividade das equipes de Rede de Distribuição Subterrânea</t>
  </si>
  <si>
    <t>Aquisição de Caminhão para instalação da cesta aérea isolada para 138KV</t>
  </si>
  <si>
    <t>Aquisição de caminhão para instalação da cesta aérea isolada para 138 kV</t>
  </si>
  <si>
    <t>Disponibilizar ferramentas de trabalho para as equipes de manutenção, com intuito de substituir equipamento obsoleto e  aumentar a produtividade das equipes.</t>
  </si>
  <si>
    <t>Comprometer a produtividade das equipes e atendimento aos indices de qualidade de fornecimento da Alta Tensão.</t>
  </si>
  <si>
    <t>Nº de Caminhões</t>
  </si>
  <si>
    <t>Aquisição de carroceria para caminhão com cesta aérea 138KV e montagem de carroceria</t>
  </si>
  <si>
    <t>Aquisição de carroceria para caminhão com cesta aérea 138 kV e Montagem da carroceria</t>
  </si>
  <si>
    <t>Aquisição de cesta aérea 138KV</t>
  </si>
  <si>
    <t>Aquisição de cesta Aérea para Trabalhos em Linha Viva 138KV</t>
  </si>
  <si>
    <t>Aquisição de Retroescavadeira compacta</t>
  </si>
  <si>
    <t>Aquisição de Retroescavadeira compacta para manutenção da via de acesso para trabalho das equipes de Linhas de Distribuição</t>
  </si>
  <si>
    <t>Comprometer a produtividade das equipes, atendimentos emergenciais e aumentar a utilização de recursos de despesas.</t>
  </si>
  <si>
    <t>Comprometer a produtividade das equipes da rede de distribuição subterrânea</t>
  </si>
  <si>
    <t>Aquisição de cesto aéreo acoplado com braço suplementar isolado 138kV</t>
  </si>
  <si>
    <t>Aumento da despesa operacional.</t>
  </si>
  <si>
    <t>Aquisição de ferramentas para as equipes das gerências de manutenção e serviços de campo da MD</t>
  </si>
  <si>
    <t>Comprometer a produtividade das equipes, a qualidade dos serviços prestados  e atendimento aos indices de qualidade de fornecimento da Distribuição.</t>
  </si>
  <si>
    <t xml:space="preserve">Aquisição de equipamentos como plataformas aérea articuladas e guindastes para o processo de manutenção da Transmissão.
Aquisição (físico):
- 5 (cinco) Guindastes até 14 toneladas para instalação em caminhão existente;
- 1 (um) Guindaste até 23 toneladas para instalação no caminhão existente com opcionais de guincho e controle remoto. (preço Hyva);
- 5 (cinco) Guindastes até 23 toneladas para instalação no caminhão existente com opcionais de guincho e controle remoto;
- 2 (duas) Plataformas aéreas articuladas  20 metros;
- 3 (três) Plataformas aéreas articuladas, máxima altura (Acima de 14m);
- 2 (dois) Veículos para instalação da plataforma.
Necessidade de substituição dos atuais equipamentos pelos seguintes problemas:
-Cesto simples, apenas um executante, aumento no tempo de execução das tarefas.
-Dificuldade de entrar ao cesto, risco de queda. Foto 1.
-Limite de altura do Cesto simples de 10 metros, insuficiente para acesso aos equipamentos acima de 345kV e alguns equipamentos de 230kV.
-Cesto simples sem acesso ao piso. Caso ocorra queda de alguma ferramenta ou material no piso do cesto é necessário baixar a lança até o solo. Foto 1.
-Movimentos bruscos da lança, não linear, principalmente no início do movimento tem provocado aumento no tempo de posicionamento dos equipamentos içados e consequentemente possibilidade de danos aos equipamentos e risco para pessoas. 
-Falta de articulações na lança, dificultando o acesso nos equipamentos e nas manobras nos pátios de 138 kV, aumentando o tempo de execução com perda de produtividade. Cestas Masal possui apenas uma articulação, foto 2.
-Acidente com a equipe da CEMIG-D na cidade de Lafaiete, provocou recall, falha de projeto, em todas as cestas aéreas, provocando transtorno nas equipes e reprogramação de diversos serviços.
</t>
  </si>
  <si>
    <t>Aquisição de uma máquina fotográfica Semi profissional</t>
  </si>
  <si>
    <t>Aquisição de 4 máquinas fotográficas digital com Zoom ótico maior que 28X</t>
  </si>
  <si>
    <t>A fiscalização, no solo, da montagem de estrturas em LD´s , pórticos etc.. Durante o pre-comissionamento, ocasionando o retrabalho do comissionamento das equipes de LD´s regionais.</t>
  </si>
  <si>
    <t>Modernização do Parque Microinformática D</t>
  </si>
  <si>
    <t xml:space="preserve">Licenciamento IBM Sterling
</t>
  </si>
  <si>
    <t>Renovação das licenças do software HP SERVICE MANAGER.</t>
  </si>
  <si>
    <t>Construção de um sistema para a área de serviços corporativos compartilhados, baseado na modelagem de processo de negócio; Padronização e Unificação de ferramentas usadas nos processos assumidos pela superintendência SC.</t>
  </si>
  <si>
    <t>Baixa produtividade das equipes centralizadas; Falta de padronização das ferramentas utilizadas; Demora no atendimento aos serviços corporativos compartilhados.</t>
  </si>
  <si>
    <t>TI01816</t>
  </si>
  <si>
    <t>Aquisição de Equipamento Móvel para Inspeção de Rede</t>
  </si>
  <si>
    <t>Sistema de Gestão de Árvores - GDIS AR</t>
  </si>
  <si>
    <t>Adequação do GeoArvores e adequação à arquitetura GDIS em novo módulo integrado. Construção do processo de inspeção de árvores com registro de podas e limpeza de faixa, manutenção dos dados de árvores, incorporação do P&amp;D509, integração com o processo de manutenção.</t>
  </si>
  <si>
    <t>Não efetuar gestão e priorização de podas e limpezas de faixa de maneira eficiente incorrendo em riscos de utilização de orçamento disponível de forma empírica e pouco eficaz.</t>
  </si>
  <si>
    <t xml:space="preserve">                         -  </t>
  </si>
  <si>
    <t>Aquisição de uma central telefônica para migração do Sistema de Telecomunicações da Sala de Telecomunicações para a Sala de Telefonia.</t>
  </si>
  <si>
    <t>Sistemas de Ar Condicionado da Distribuidora</t>
  </si>
  <si>
    <t>Aquisição de Sistemas de Ar Condicionado da Distribuidora para estações de comunicação</t>
  </si>
  <si>
    <t>Queima dos equipametos de comunicaçõ por temperatura alta nas estações de comunicação</t>
  </si>
  <si>
    <t>Sistemas de Balisamento Noturno da Distribuidora</t>
  </si>
  <si>
    <t>Aquisição de Sistemas de Balisamento Noturno da Distribuidora para estações de comunicação</t>
  </si>
  <si>
    <t>Colisão de aeronaves, multas pelos órgãos competentes</t>
  </si>
  <si>
    <t>Bancos de Baterias da Distribuidora</t>
  </si>
  <si>
    <t>Aquisição de conjuntos de Bancos de Baterias da Distribuidora para estações de comunicação</t>
  </si>
  <si>
    <t>Perda de comunicação por falta de alimentação comercial, penalidades previstas em copntrato</t>
  </si>
  <si>
    <t>Centrais Telefônicas da Distribuidora</t>
  </si>
  <si>
    <t>Aquisição de Centrais Telefônicas da Distribuidora</t>
  </si>
  <si>
    <t>Falha de comunicação com as equipes regionais, aumento do custo de O&amp;M</t>
  </si>
  <si>
    <t>Equipamentos de Linha Óptica da Distribuidora</t>
  </si>
  <si>
    <t>Aquisição de Equipamentos de Linha Óptica da Distribuidora para estações de comunicação</t>
  </si>
  <si>
    <t>Ferramentas manual da Distribuidora</t>
  </si>
  <si>
    <t>Aquisição Ferramentas manual da Distribuidora para suporte e manutenação em estações de comunicação</t>
  </si>
  <si>
    <t>Aumento de tempo de reparo, riscos ergométricos</t>
  </si>
  <si>
    <t>Fontes de Alimentação da Distribuidora</t>
  </si>
  <si>
    <t>Instrumentos da Distribuidora</t>
  </si>
  <si>
    <t>Aquisição de Instrumentos da Distribuidora  para suporte e manutenção em estações de comunicação</t>
  </si>
  <si>
    <t>Auemento do tempo de reparo, risco de queima de equipamentos por uso de instrumentos inadequados</t>
  </si>
  <si>
    <t>Multiplexadores da Distribuidora</t>
  </si>
  <si>
    <t>Aquisição de Multiplexadores da Distribuidora para estações de comunicação</t>
  </si>
  <si>
    <t>Sistemas Rádios da Distribuidora</t>
  </si>
  <si>
    <t>Aquisição de Sistemas Rádios da Distribuidora para estações de comunicação</t>
  </si>
  <si>
    <t>Remotas de Telecontrole da Distribuidora</t>
  </si>
  <si>
    <t>Aquisição de Remotas de Telecontrole da Distribuidora para estações de comunicação</t>
  </si>
  <si>
    <t>Redes Ópticas da Distribuidora</t>
  </si>
  <si>
    <t>Construção de Redes Ópticas da Distribuidora para interligação ao backbone de comunicação e redução de alugueis de links</t>
  </si>
  <si>
    <t>Redes Ópticas da Transmissora</t>
  </si>
  <si>
    <t>Construção de Redes Ópticas da Geradora para interligação ao backbone de comunicação</t>
  </si>
  <si>
    <t>Perda de comunicação por falta de alimentação comercial, penalidades previstas em contrato</t>
  </si>
  <si>
    <t>Redes Ópticas da Geradora</t>
  </si>
  <si>
    <t>Impacto no atendimento aos clientes; Defasagem tecnológica;</t>
  </si>
  <si>
    <t>TI01715</t>
  </si>
  <si>
    <t>TI02515</t>
  </si>
  <si>
    <t>TI02316</t>
  </si>
  <si>
    <t>TI00617</t>
  </si>
  <si>
    <t>Desenvolvimento de um barramento de serviços comerciais usando a Arquitetura Orientada a Serviços - SOA</t>
  </si>
  <si>
    <t>TI00517</t>
  </si>
  <si>
    <t>TI00417</t>
  </si>
  <si>
    <t>TI01317</t>
  </si>
  <si>
    <t>Descumprimento contratual perante a SAP</t>
  </si>
  <si>
    <t>Uso de software não adequado para a geração de informaçãoes ao órgão regulador</t>
  </si>
  <si>
    <t>Término de suporte prestado pelo fabricante</t>
  </si>
  <si>
    <t>TI01813</t>
  </si>
  <si>
    <t>Licenciamento SAS</t>
  </si>
  <si>
    <t>Atualização da plataforma de software do instituto SAS em uso da empresa, para atendimento aos requisitos regulatórios.</t>
  </si>
  <si>
    <t>Defasagem tecnológica perante o software usado no setor de energia para atendimento regulatório.</t>
  </si>
  <si>
    <t>TI02217</t>
  </si>
  <si>
    <t>Desenvolvimento GEDEX</t>
  </si>
  <si>
    <t>Desenvolvimento da solução GEDEX</t>
  </si>
  <si>
    <t>Indisponibilidade das soluções tecnológicas para todos os usuários; Atrasos nos procedimentos e processos das equipes nas áreas de negócio; Ociosidade dos usuários que ficam aguardando a liberação das licenças em uso (fila de espera).</t>
  </si>
  <si>
    <t>Aquisição Solução REINF</t>
  </si>
  <si>
    <t>Aquisição da solução para atendimento à obrigação junto à RFB, relativa a Escrituração Fiscal Digital - REINF</t>
  </si>
  <si>
    <t>Descumprimento de obrigações perante órgão federais.</t>
  </si>
  <si>
    <t>Criação de soluções baseadas nos fluxos criados pela notação de modelagem de processo de negócios - BPM</t>
  </si>
  <si>
    <t>Falta de otimização e evolução para os processos empresariais</t>
  </si>
  <si>
    <t>Atualização da versão do software de gerenciamento de acessos da SAP - Access Control</t>
  </si>
  <si>
    <t>Falha de controles SOX</t>
  </si>
  <si>
    <t>Barramentos de Integração de Sistemas</t>
  </si>
  <si>
    <t>Construção de barramentos de serviço para a integração e padronização de acessos às informações corporativas mais consumidas, usando o conceito SOA - Arquitetura Orientada a Serviços</t>
  </si>
  <si>
    <t>Multiplicação de interfaces e duplicidade ou desencontro de informações</t>
  </si>
  <si>
    <t>Desenvolvimento web de novos serviços comerciais nos canais de atendimento oficiais da Cemig</t>
  </si>
  <si>
    <t>Falta de canais de atendimento disponíveis, aumento de clientes nas agências de atendimento presencial da Cemig.</t>
  </si>
  <si>
    <t>Atualização da versão do software de gerenciamento de riscos da SAP - Risk Management</t>
  </si>
  <si>
    <t>Aquisição de novas licenças do softare de painéis de informação - QlikView</t>
  </si>
  <si>
    <t>Falta de licenças para atendimento das áreas solicitantes de painéis de informação.</t>
  </si>
  <si>
    <t>Migração do modelo de tarifas usado na Cemig para o modelo TAXBRA</t>
  </si>
  <si>
    <t>Continuidade de uso de um modelo de tarifas inadequado na Companhia.</t>
  </si>
  <si>
    <t>Adequação do SAP para emissão de NFE de Entrada</t>
  </si>
  <si>
    <t>Falha nas retenções de impostos e tarifas.</t>
  </si>
  <si>
    <t>Atualização do site da Cemig na internet e do site da intranet corporativa (Cemignet 2.0).</t>
  </si>
  <si>
    <t>Imagem da Empresa prejudicada e associada ao antigo e desatualizado.</t>
  </si>
  <si>
    <t>Desenvolvimento de funcionalidades inerentes aos processos da DDC dentro do sistema Atlantis</t>
  </si>
  <si>
    <t>Inconformidade do sistema com o processo da distribuição</t>
  </si>
  <si>
    <t xml:space="preserve">Atualização tecnológica do sistema de gestão de Frota da Cemig, que está em uso desde 2004, muito obsoleto e defasado em relação ao processo de negócio. </t>
  </si>
  <si>
    <t>Paralisação das funcionalidades do sistema, em função do longo tempo de sua existência.</t>
  </si>
  <si>
    <t>Aquisição de solução SAP para o uso e aprovações em dispositivos móveis</t>
  </si>
  <si>
    <t>Falta de usa solução mais moderna para as aprovações gerenciais relativas ao sistema SAP na Cemig.</t>
  </si>
  <si>
    <t>Incapacidade de atendimento de solicitações das áreas de negócio da Cemig, relativas aos sistemas.</t>
  </si>
  <si>
    <t>Falta de suporte e incompatibilidade do produtos com o sistema operacional nos servidores de produção da Cemig.</t>
  </si>
  <si>
    <t>TI02216</t>
  </si>
  <si>
    <t>TI01114</t>
  </si>
  <si>
    <t>SISJUR - Novo Sistema Jurídico</t>
  </si>
  <si>
    <t>Construção do novo sistema jurídico, em curso desde 2013.</t>
  </si>
  <si>
    <t>Obsolescência do sistema antigo; falta de interface com os sistemas legados;</t>
  </si>
  <si>
    <t>Programa de cálculo de janela de travessia e balanço de cabos</t>
  </si>
  <si>
    <t>Cálculo de janelas de travessias de MD sob LD e de balanço de cabos.
8 licenças.</t>
  </si>
  <si>
    <t xml:space="preserve">Atendimento à demanda continuará com a EA/EP, consumindo recurso humano de um profissional em tempo integral e comprometendo seu desempenho e o atendimento às demandas de expansão. </t>
  </si>
  <si>
    <t>Programa para substituição do Sistproj</t>
  </si>
  <si>
    <t>Programa para cálculo de rotinas de projetos de LD.
2 licenças</t>
  </si>
  <si>
    <t>Paralização de atividades de projetos executivos de LD com comprometimento de prazos e custos dos planos de expansão.
Impossibilidade de realizar a elaboração e a conferência de projetos contratados que utilizem resultados destas rotinas, que são comuns.</t>
  </si>
  <si>
    <t>PLS-CADD</t>
  </si>
  <si>
    <t>Aquisição de 2 licenças do software PLS-CADD</t>
  </si>
  <si>
    <t>Comprometimento ao atendimento dos projetos de expansão do ciclo tarifário (2018/2022).
Comprometimento da produtividade da equipe devido à indisponibilidade de licenças suficientes para trabalhar com o SPELT.</t>
  </si>
  <si>
    <t>Aquisição de licenças de Sharepoint EPM</t>
  </si>
  <si>
    <t>Considerando o cenário 2018/19 para migração de versão, a Microsoft deve soltar uma nova versão em 2019, o que automaticamente para atualização do 2013, sendo neste caso necessário irmos para o mínimo 2016. Se formos para outras tecnologia, devemos pensar no EPM também, pois a base dele é o SharePoint. Não que ele precisa ser substituído por causa da alteração do SharePoint, mas é um ponto a observar.</t>
  </si>
  <si>
    <t xml:space="preserve">Sobre recurso é preciso saber se isso é colocado na conta da casa ou se é algo que devemos aumentar e já inserir no rateio percentual, visto que o SharePoint, assim como EPM, estão com versão 2010 que já não mais recebe atualização. </t>
  </si>
  <si>
    <t>Construção de sistema para dispositivo móvel integrado ao Atlantis/GDIS para projeto de rede em campo e recebimento de obras.</t>
  </si>
  <si>
    <t>Perda de oportunidade de ganho de produtividade no processo de elaboração e execução de projetos de expansão da rede de distribuição; Perda de oportunidade de visibilidade e controle de obras e previsibilidade de realização.</t>
  </si>
  <si>
    <t>Mobilidade - Aquisição de Equipamento Móvel para Projeto e Recebimento de Obras</t>
  </si>
  <si>
    <t>Aquisição de equipamento móvel (tablets) para desenho de projetos e recebimento de obras de rede distribuição em campo.</t>
  </si>
  <si>
    <t>Solução de Monitoramento de Rede  para  prover visibilidade em tempo real e histórica de soluções Operativas. Objetiva garantir os níveis adequados de disponibilidade dos serviços.</t>
  </si>
  <si>
    <t>Indisponibilidade e baixo desempenho de aplicações críticas por falta de visibilidade e Gerenciamento.</t>
  </si>
  <si>
    <t>Gateway de Acesso à Internet e Acesso a Email</t>
  </si>
  <si>
    <t>Solução de Proxys de acesso à
 Internet e gateway de correio eletrônico, que visa proteger a rede interna da Cemig contra acessos Indevidos à Internet.</t>
  </si>
  <si>
    <t>Impossibilidade de controle no acesso à Internet e risco de Invasões decorrentes de acessos a sites e páginas com virus e conteúdos maliciosos.</t>
  </si>
  <si>
    <t>Solução para proteção da rede Cemig contra ataques provenientes da Internet</t>
  </si>
  <si>
    <t>Invasões a aplicações e ambientes críticos, com indisponibilidade de ambientes Operativos e Corporativos.</t>
  </si>
  <si>
    <t>Solução de APT - Proteção contra ataques avançados e direcionados a estruturas de rede e sistemas da Cemig.</t>
  </si>
  <si>
    <t>Esta solução protege a rede Cemig contra ataques do tipo APT, que são ataques avançados e direcionados a um alvo específico. Estes ataques visam retirar de operação sistemas críticos.</t>
  </si>
  <si>
    <t>Indisponibilidade e baixo desempenho  de ambientes e aplicações operativas e corporativas críticas, roubos bem sucedidos de Informações.</t>
  </si>
  <si>
    <t>Firewall Corporativo</t>
  </si>
  <si>
    <t>Solução de Rede Baseada em Firewall para proteção de Rede Corporativa</t>
  </si>
  <si>
    <t>Computadores infectados ou usuários não autorizados podem ter acesso à rede, provocando infecções, roubo de informações, indisponibilidade de serviços etc...</t>
  </si>
  <si>
    <t>Firewall para implantação de Internet Descentralizada</t>
  </si>
  <si>
    <t>Solução de Rede Baseada em Firewall para implantação de acesso descentralizado à Internet</t>
  </si>
  <si>
    <t>Necessidades constantes de aumento de links, sem opção de trafegar dados menos prioritários por canais de mais baixo custo.</t>
  </si>
  <si>
    <t>Solução de Rede Baseada em Firewall paragarantir segurança de borda para Ses</t>
  </si>
  <si>
    <t>Riscos de Invasão a redes de Ses provocando indisponibilidade e perda de Operação por parte dos Centros de Gerência</t>
  </si>
  <si>
    <t>Troca de equipamentos de rede LAN de sites do interior de Minas, em função de obsolescência do parque</t>
  </si>
  <si>
    <t>Alto índice de defeitos e falhas nestes equipamentos provocando indisponibilidades de rede das localidades onde eles estão instalados.</t>
  </si>
  <si>
    <t xml:space="preserve">Aquisição de licenciamento de 
software Antivirus </t>
  </si>
  <si>
    <t>Infecção de microcomputadores da Cemig, provocando indisponibiloidade e roubo de informações</t>
  </si>
  <si>
    <t>Merit Conectividade - Triângulo  e Metropolitano</t>
  </si>
  <si>
    <t>Aquisição de software específicos para estudos de enlace e cobertura</t>
  </si>
  <si>
    <t>Aquisição de Produtos OSISoft (PI System)</t>
  </si>
  <si>
    <t>Controle de acesso Interior</t>
  </si>
  <si>
    <t>Instalar catracas e controle de acesso nos prédios da Cemig localizados no interior do Estado</t>
  </si>
  <si>
    <t>Dificuldade no controle e identificação de pessoas e, circulação no interior das unidades do interior.</t>
  </si>
  <si>
    <t>Unidade monitorada</t>
  </si>
  <si>
    <t>Video Monitoramento Analítico em 12 usinas</t>
  </si>
  <si>
    <t>Instalação de Câmeras  para monitoramento de eventos e ocorrencias no interior das Usinas</t>
  </si>
  <si>
    <t>Inibir invasões, furtos e monitorar o acesso de pessoas na uisnas</t>
  </si>
  <si>
    <t>Perda do AVCB, multas ambientais, contaminação de solo</t>
  </si>
  <si>
    <t>Licença do programa TF_SE</t>
  </si>
  <si>
    <t>Programa para calculo das trações e flechas em barramentos flexíveis em subestações</t>
  </si>
  <si>
    <t>Comprometimento de atendimento aos projetos de expansão no prazo desejado dentro do ciclo tarifário.</t>
  </si>
  <si>
    <t>Aquisição camara climática</t>
  </si>
  <si>
    <t>Equipamento de testes de materiais e componentes eletricos e eletronicos em laboratorio, com temperatura e umidade programaveis</t>
  </si>
  <si>
    <t xml:space="preserve">Tem como objetivo utilizar critérios para homologação de medidores eletrônicos visando levantar sua vida útil(13 anos), por meio do ensaio de vida acelerada, onde o medidor é submetido a câmara climática com temperatura de 85°C e 87% de umidade, durante um período de tempo calculado com referencia na NBR16078. A aquisição de uma câmara climática pela CEMIG é de essencial importância para o acompanhamento/verificação da conformidade do modelo aprovado no projeto Sinergia, ou seja, possibilitar as verificações posteriores nos medidores de fornecimento, garantindo a conformidade com o produto aprovado nos ensaios de vida acelerada. Estes testes evitaram erro no faturamento e de custos de manutenção. </t>
  </si>
  <si>
    <t>Aquisição de Caminhão e Guindaste Hidráulico 25 toneladas para RDS</t>
  </si>
  <si>
    <t>Aquisição de caminhão e equipamento hidraulico para movimentação, içamento e remoção, que permite carregar, transportar e descarregar equipamentos de até 25 toneladas</t>
  </si>
  <si>
    <t>Sistema de Controle e Suporte</t>
  </si>
  <si>
    <t>Desenvolvimento de software para atividades voltadas para Contratos de Suporte.</t>
  </si>
  <si>
    <t>Acompanhamento manual das atividades, aumentando o risco de remuneração indevida por produtividade.</t>
  </si>
  <si>
    <t>Geração Total</t>
  </si>
  <si>
    <t>Transmissão Total</t>
  </si>
  <si>
    <t>Holding Total</t>
  </si>
  <si>
    <t xml:space="preserve">GLE-INV-PPE- Aquisição de equipamento endoscópio sonda 3m </t>
  </si>
  <si>
    <t>Descrição: MG/LE: Aquisição de (1) equipamento endoscópio sonda 3m</t>
  </si>
  <si>
    <t>Aquisição de espião rede elétrica COS/SEs</t>
  </si>
  <si>
    <t>Impossibilidade de diagnósticos corretos e de ajustes/parametrização das Usinas.</t>
  </si>
  <si>
    <t xml:space="preserve">Aquisição de 01 Compressores de Ar </t>
  </si>
  <si>
    <t xml:space="preserve">1 Compressores de Ar </t>
  </si>
  <si>
    <t>CARRETA TANQUE CAP. 25.000LT TRANSP. OLEO ISOLANTE</t>
  </si>
  <si>
    <t xml:space="preserve">Paralisação das atividades de manutenção alta tensão </t>
  </si>
  <si>
    <t>Aquisição de 5 projetores multimídia</t>
  </si>
  <si>
    <t>Construção de 2 muros</t>
  </si>
  <si>
    <t>Construção de 2 muros: SE Mesquita e Taquaril</t>
  </si>
  <si>
    <t>Construção de 2 abrigos para resíduos perigosos e inflamáveis</t>
  </si>
  <si>
    <t>Construção de 2 abrigos para resíduos perigosos e inflamáveis na SE Emborcação</t>
  </si>
  <si>
    <t>Esse projeto é uma fusão das demandas da RMBH, demais Regionais do Estado e Univercemig.
O projeto objetiva a aquisição e instalação de equipamentos em unidades que não possuem o sistema de ar condicionado, para atender a nova demanda dos usuários, ou substituição do sistema de ar existente, por obsolescência dos equipamentos nas instalações em todo estado.
Trata-se de exigência da Portaria 3523, de 28/08/1998 do Ministério da Saúde, que aprovou procedimentos para minimizar o risco potencial à saúde dos ocupantes em ambientes climatizados por tempo prolongado.</t>
  </si>
  <si>
    <t>Aquisição de mobiliário para atender a demandas de reposição por obsolescência ao longo dos 5 anos</t>
  </si>
  <si>
    <t>Aquisição de mobiliário para atender cidades do interior do estado para otimização da ocupação predial, dando suporte ao Estudo Estratégico de Ativos</t>
  </si>
  <si>
    <t>Aumento da área construída para viabilizar a liberação de um imóvel.</t>
  </si>
  <si>
    <t>Aquisição de mobiliário para atender ao Estudo Estratégico de Ativos (EEA)</t>
  </si>
  <si>
    <t>R$ mil</t>
  </si>
  <si>
    <t>Principais projetos</t>
  </si>
  <si>
    <t>Riscos de Não Execução</t>
  </si>
  <si>
    <t>TOTAL FERRAMENTAS</t>
  </si>
  <si>
    <t>SUB TOTAL</t>
  </si>
  <si>
    <t>MACROPROJETO FERRAMENTAS</t>
  </si>
  <si>
    <t>MACROPROJETO EDIFICAÇÕES E COMPLEMENTOS</t>
  </si>
  <si>
    <t>Otimização dos ativos</t>
  </si>
  <si>
    <t>MACROPROJETO VEÍCULOS</t>
  </si>
  <si>
    <t>TOTAL EDIFICAÇÕES E COMPLEMENTOS</t>
  </si>
  <si>
    <t>TOTAL VEÍCULOS</t>
  </si>
  <si>
    <t xml:space="preserve">Sucateamento do ferramental das equipes de transporte e movimentação de cargas especias, elevados custos de manutenção, grande indisponibilidades por falta de peças de reposição, não atendimento dos prazos pactuados dos atendimentos às,  emergências, serviços programados e de  manutenção do sistema elétrico de potência- sep, dificuldade de roteirização em função do comprimento do conjunto transportador risco de impactos negativos dada as restrições gerados na infraestrutura viária, ambiental,  mobilidade, acessibilidade às instalações(ses, usinas, oficinas manutenção); 
Aplicação de multas expressivas à cemig, por interrupção do fornecimento de energia a consumidores em limites exorbitantes, fora dos previstos em lei, com impactos diretos no DEC, FEC, DIC e DMIC.
</t>
  </si>
  <si>
    <t>Semirreboque modular articulado tipo linha de eixo (06 linhas) para transporte especial de cargas indivisíveis e excedentes de peso e/ou dimensões, para atender ao sistema elétrico de potência -SEP</t>
  </si>
  <si>
    <t>MACROPROJETO TELECOMUNICAÇÕES</t>
  </si>
  <si>
    <t>TOTAL TELECOMUNICAÇÕES</t>
  </si>
  <si>
    <t>MACROPROJETO MICROINFORMÁTICA</t>
  </si>
  <si>
    <t>TOTAL MICROINFORMÁTICA</t>
  </si>
  <si>
    <t>MACROPROJETO SISTEMAS DE INFORMÁTICA</t>
  </si>
  <si>
    <t>Migração do SAP ECC para S4 (HANNA) D</t>
  </si>
  <si>
    <t>Sistemas WEB e SharePoint D</t>
  </si>
  <si>
    <t>Licenciamento Microsoft D</t>
  </si>
  <si>
    <t>Licenciamento HEXAGON D</t>
  </si>
  <si>
    <t>TOTAL SISTEMAS DE INFORMÁTICA</t>
  </si>
  <si>
    <t>Licença do software Logic Linx Hardkey</t>
  </si>
  <si>
    <t>Infraestrutura de Comunicação para o Plano de Ações Emergências - PAE em Usinas da Geração Cemig GT</t>
  </si>
  <si>
    <t>Software a ser desenvolvido por empresa de TI e tem como produto um aplicativo para Celular que relacione com os COMPDECs( Defesa Civil dos municípios) e Comunidades do entorno dos empreendimentos( barragens).</t>
  </si>
  <si>
    <t>Aquisição de 02 Notebooks - MG/OE</t>
  </si>
  <si>
    <t>Aquisição de 02 Aparelhos Notebooks - MG/OE</t>
  </si>
  <si>
    <t>Comprometimento da produtividade das equipes, da qualidade dos serviços prestados  e do atendimento aos índices de qualidade de fornecimento da Distribuição.</t>
  </si>
  <si>
    <t>Risco de penalidades por descumprimento da legislação ANEEL e ONS.</t>
  </si>
  <si>
    <t>- Não obtenção da redução de custos operacionais e de agregação de receita;
- Performance negativa dos indicadores de qualidade, dentre eles o DEC.</t>
  </si>
  <si>
    <t>- Restrição à renovação da licença de operação do CDA Igarapé;
- Suspensão das atividades e multas, possível contaminação do solo e lençóis freáticos;
- Geração de passivos ambientais para a Cemig.</t>
  </si>
  <si>
    <t>- Restrição à obtenção de licença de operação do Anel Rodoviário;
- Suspensão das atividades e multas, possível contaminação do solo e lençóis freaticos;
- Geração de passivos ambientais para a Cemig.</t>
  </si>
  <si>
    <t>- Multa, suspensão da Licença de Operação do Q14 e/ou fechamento do Q14;
- Possível contaminação dos solos e lençóis freaticos;
- Geração de passivos ambientais para a Cemig.</t>
  </si>
  <si>
    <t>- Impossibilidade de conexão entre todos os terminais de sistema de videoconferência;
- Negativa do fafricante Polycom, em prestar manutenção corretiva na MGC 100.</t>
  </si>
  <si>
    <t>- Rompimento de tubulações, interrupção de abastecimento em local de trabalho;
- Contaminação em água potável, atendimentos emergenciais aos vazamentos;
- Dificuldade para manutenção; impacto em outros sistemas construtivos.</t>
  </si>
  <si>
    <t>- Comprometimento nos ensaios de qualidade dos materiais aplicados no sistema elétrico;
- Não alcance de apoio aos fornecedores no desenvolvimento tecnológico do parque industrial;
- inviabilizará a desocupação do Q1, para alienação.</t>
  </si>
  <si>
    <t>- Comprometimento da produtividade das equipes;
- Comprometimento ao atendimento aos índices de qualidade de fornecimento da Alta Tensão.</t>
  </si>
  <si>
    <t>- Aumento de despesas com manutenção, indisponibilidade dos veículos.</t>
  </si>
  <si>
    <t>- Comprometimento da qualidade dos serviços prestados;
- Comprometimento da produtividade das equipes de Rede de Distribuição Subterrânea</t>
  </si>
  <si>
    <t>- Perda de comunicação por falta de alimentação comercial, penalidades previstas em contrato</t>
  </si>
  <si>
    <t>- Falha de comunicação com as equipes regionais, aumento do custo de O&amp;M</t>
  </si>
  <si>
    <t>- Aumento da taxa de obsolescência do parque de microinformática;
- Aumento da indisponibilidade de equipamentos para manutenção ou reposição;
- Restrições na instalação e execução de novos programas ou versões;
- Aumento da exposição de riscos de segurança da informação;
- Perda do suporte especializado do fornecedor;
- Degradação do desempenho e produtividade da força de trabalho.</t>
  </si>
  <si>
    <t>- Não faturamento, afetando diretamente o caixa da empresa
- Descumprimento da regulação - Multa</t>
  </si>
  <si>
    <t>- Paralisação de todos os serviços de manutenção evolutiva dos módulos de Operação e Despacho - OP, Georreferenciamento - GE, Manutenção - MN, Serviço de Campo - SC, e Gestão da Qualidade - IQ do Sistema G-DIS.
- Limitação no atendimento das demandas da DDC relativas ao sistema G-DIS, conduzidas atualmente dentro do Programa Conexão.</t>
  </si>
  <si>
    <t>- Falha no controle de ativos da DDC.</t>
  </si>
  <si>
    <t>- Impossibilidade de adequação dos sistemas legados às novas regras e estruturas da Empresa;
- Perda da eficiência operacional dos processos informatizados;
- Incapacidade de implantação de novas funcionalidades na Cemignet20;
- Não atendimento a determinações regulatórias.</t>
  </si>
  <si>
    <t>- Obsolescência do ambiente de gerenciamento de banco de dados; 
- Perda da garantia de suporte e da disponibilidade de evoluções de funções e de ferramentas;
- Degradação de performance do ambiente SAP.</t>
  </si>
  <si>
    <t>- Envelhecimento do parque de software existente na empresa;
- Falta de suporte para o uso dos produtos e a resolução de problemas;
- Degradação do ambiente e limitação da performance.</t>
  </si>
  <si>
    <t>- Defasagem tecnológica perante o software usado no setor de energia para atendimento regulatório.</t>
  </si>
  <si>
    <t>- Inconformidade do sistema com o processo da distribuição</t>
  </si>
  <si>
    <t>- Solução não aderente ao sistema SAP</t>
  </si>
  <si>
    <t>- Duplicidade de equipe para cadastramento em paralelo em sistemas distintos;
- Riscos operacionais por divergência na rede cadastrada e rede operada.</t>
  </si>
  <si>
    <t>- Perda do direito de renovação do contrato;
- Limitação das funcionalidades das licenças;
- Exposição a falhas de segurança.</t>
  </si>
  <si>
    <t>Evolução e Sustentação GE</t>
  </si>
  <si>
    <t xml:space="preserve">- Dificuldade da realização do planejamento de expansão do sistema elétrico e análises de atendimento de carga da Malha Centro (2.034 MVA);
- Descontinuidade dos dados históricos de demanda, existentes desde 1984;
- Não otimização da rede implicando em aumento de Perdas Técnicas, investimentos adicionais, violação de Requisitos Regulatórios como DEC, DIC/FIC/DMIC, DRC/DRP, perda de Flexibilidade Operativa;
- Descumprimento dos prazos regulatórios.
</t>
  </si>
  <si>
    <t xml:space="preserve">- Perda de sincronismo de processos entre Cemig e Light;
- Limitação e desempenho degradado da solução atual;
- Baixa produtividade para provimento de novas soluções para gestão dos ativos da rede de distribuição;
- Limitação da quantidade de usuários com acesso à aplicação; obsolescência da ferramenta atual;
- Incapacidade de atendimento a algumas demandas do órgão regulador (Aneel/Prodist);
- Perda da melhoria do processo de capitalização e gestão de ativos da Cemig Distribuidora.
</t>
  </si>
  <si>
    <t>- Incapacidade de processar servidores para absorção das demandas vegetativas, regulatórias e fiscais; 
- Comprometimento do dimensionamento adequado do parque de servidores;
- Incapacidade de processar dados requisitada pelos diversos sistemas operacionais da Cemig D.</t>
  </si>
  <si>
    <t>- Sucateamento do ferramental das equipes de transporte e movimentação de cargas;
- Indisponibilidades por falta de peças de reposição;
- Não atendimento dos prazos pactuados de manutenção do SEP;
- Restrições na infraestrutura viária, ambiental, mobilidade, acessibilidade às instalações; 
- Aplicação de multas à Cemig, por interrupção do fornecimento de energia a consumidores.</t>
  </si>
  <si>
    <t xml:space="preserve">- Não cumprimento de meta estabelecida no Acordo de Metas da Iniciativa 9 - Otimização do Portfólio de Imóveis da Cemig D, a qual prevê a obtenção de receita com a alienação de imóvel inservível, da ordem de R$58,7 milhões e à redução de despesas operacionais da ordem de R$4,3 milhões.
</t>
  </si>
  <si>
    <t xml:space="preserve">Resumo captação de infraestrutura ciclo 2018/2022 </t>
  </si>
  <si>
    <t>Orçamento Aprovado</t>
  </si>
  <si>
    <t>Realizado Acumulado</t>
  </si>
  <si>
    <t>Distribuição 2018 - Tendência</t>
  </si>
  <si>
    <t>Distribuição 2018 - Ferramentas - Tendência</t>
  </si>
  <si>
    <t>Distribuição 2018 - Veículos - Tendência</t>
  </si>
  <si>
    <t>Distribuição 2018 - Edificações e Complementos - Tendência</t>
  </si>
  <si>
    <t>Distribuição 2018 - Telecomunicações - Tendência</t>
  </si>
  <si>
    <t>Distribuição 2018 - Sistemas de Informática - Tendência</t>
  </si>
  <si>
    <t>Distribuição 2018 - Microinformática - Tendência</t>
  </si>
  <si>
    <t>Geração 2018 - Tendência</t>
  </si>
  <si>
    <t>Geração 2018 - Ferramentas - Tendência</t>
  </si>
  <si>
    <t>Geração 2018 - Veículos - Tendência</t>
  </si>
  <si>
    <t>Geração 2018 - Edificações e Complementos - Tendência</t>
  </si>
  <si>
    <t>Geração 2018 - Telecomunicações - Tendência</t>
  </si>
  <si>
    <t>Geração 2018 - Sistemas de Informática - Tendência</t>
  </si>
  <si>
    <t>Geração 2018 - Microinformática - Tendência</t>
  </si>
  <si>
    <t>Transmissão 2018 - Tendência</t>
  </si>
  <si>
    <t>Transmissão 2018 - Ferramentas - Tendência</t>
  </si>
  <si>
    <t>Transmissão 2018 - Veículos - Tendência</t>
  </si>
  <si>
    <t>Transmissão 2018 - Edificações e Complementos - Tendência</t>
  </si>
  <si>
    <t>Transmissão 2018 - Telecomunicações - Tendência</t>
  </si>
  <si>
    <t>Transmissão 2018 - Sistemas de Informática - Tendência</t>
  </si>
  <si>
    <t>Transmissão 2018 - Microinformática - Tendência</t>
  </si>
  <si>
    <t>Holding 2018 - Tendência</t>
  </si>
  <si>
    <t>Holding 2018 - Sistemas de Informática - Tendência</t>
  </si>
  <si>
    <t>Holding 2018 - Microinformática - Tendência</t>
  </si>
  <si>
    <t>Geração 2018 - Edificações e Complementos - Irapé - Tendência</t>
  </si>
  <si>
    <t>Em R$mil - Moeda Junho/17</t>
  </si>
  <si>
    <t>Realizado/Planejado mensal</t>
  </si>
  <si>
    <t>Planejado mensal</t>
  </si>
  <si>
    <t>Planejado Acumulado</t>
  </si>
  <si>
    <t>Real Jan 2018</t>
  </si>
  <si>
    <t>Real Fev 2018</t>
  </si>
  <si>
    <t>Real Mai 2018</t>
  </si>
  <si>
    <t>Real Jun 2018</t>
  </si>
  <si>
    <t>Real Jul 2018</t>
  </si>
  <si>
    <t>Real Ago 2018</t>
  </si>
  <si>
    <t>Real Set 2018</t>
  </si>
  <si>
    <t>Real Out 2018</t>
  </si>
  <si>
    <t>Real Nov 2018</t>
  </si>
  <si>
    <t>Real Dez 2018</t>
  </si>
  <si>
    <t>Real Total 2018</t>
  </si>
  <si>
    <t>Compromissado</t>
  </si>
  <si>
    <t>Disposto</t>
  </si>
  <si>
    <t>Saldo a realizar</t>
  </si>
  <si>
    <t>Realizado acum gráfico</t>
  </si>
  <si>
    <t>Planejado acum gráfico</t>
  </si>
  <si>
    <t>Obra de estabilização de 02 taludes ao lado das escadas entre o prédio 20 e 21 do Anel Rodoviário</t>
  </si>
  <si>
    <t>AR - P21 - Execução de 2 Muros de Arrimo</t>
  </si>
  <si>
    <t>Reforma total e impermeabilização do telhado do imóvel Q3 - Bloco A e B - Agência de Atendimento</t>
  </si>
  <si>
    <t>Desintalação e remoção do telhado existente e troca total por telhado metálico novo e impermeabilização de áreas abertas.</t>
  </si>
  <si>
    <t>Aquisição Impressora LES</t>
  </si>
  <si>
    <t>Solução de IPSs (Sistema de Proteção contra ataques provenientes da Internet) - Equipamentos SEDE e Aureliano Chaves</t>
  </si>
  <si>
    <t>Sistema Video Wall</t>
  </si>
  <si>
    <t>Equipamento de Transmissão COD/COS</t>
  </si>
  <si>
    <t>Descumprimento de controles de Auditoria e riscos de ataques em função de não correlação de logs de segurança</t>
  </si>
  <si>
    <t>Proteção Gateway Exchange</t>
  </si>
  <si>
    <t>Antivirus para verificação de ameaças em caixas particulares de emails</t>
  </si>
  <si>
    <t>Contaminação com virus e outros Malwares de arquivos contidos em pastas particulares do exchange</t>
  </si>
  <si>
    <t>Renovação softwares de gerência de rede Cisco</t>
  </si>
  <si>
    <t>Softwares de Gerência de Rede Prime, ISE, DHCP, IPAM, MSE, Provision, APIC-EM, Call manager Cisco</t>
  </si>
  <si>
    <t>Riscos de indisponibilidade de Rede por falta de gerência das soluções adotadas.</t>
  </si>
  <si>
    <t>Sistema SAM</t>
  </si>
  <si>
    <t>TI02817</t>
  </si>
  <si>
    <t>Análise e Desenvolvimento Sistema Retrocálculo</t>
  </si>
  <si>
    <t>Contratação dos serviços de desenvolvimento nos ambientes SAP ECC e SAP CCS.</t>
  </si>
  <si>
    <t xml:space="preserve"> Atrasos nos procedimentos e processos das equipes nas áreas de negócio (engenharia e recursos humanos); Multas pelo não atendimento dos compromissos obrigatórios dentro do prazo esperado pelos agentes governamentais.</t>
  </si>
  <si>
    <t>Antivirus para 9500 estações de trabalho e servidores</t>
  </si>
  <si>
    <t>Sistema de Gestão de Leituras - SGL</t>
  </si>
  <si>
    <t>Construção do módulo SGL-WEB</t>
  </si>
  <si>
    <t xml:space="preserve"> NA</t>
  </si>
  <si>
    <t>Reimplantação do HR (Back to Standard)</t>
  </si>
  <si>
    <t>Migração Ponto Negativo para Positivo (SAP HR)</t>
  </si>
  <si>
    <t>Upgrade do ION ENTERPRISE</t>
  </si>
  <si>
    <t>Atualização de versão do sistema de gestão de medição de fronteira.</t>
  </si>
  <si>
    <t>Desenvolvimento do Sistema de Recuperação de Perdas Comerciais</t>
  </si>
  <si>
    <t>Evolução do Sistema de Gestão - Cemig Fácil</t>
  </si>
  <si>
    <t>Novo Sistema de Controle de Documentos Regulatórios</t>
  </si>
  <si>
    <t>Front End - Saúde e Segurança do Trabalho (EH&amp;S)</t>
  </si>
  <si>
    <t>Software para Análise de Vulnerabilidades em Redes e Sistemas</t>
  </si>
  <si>
    <t>Aquisição de ferramenta para análise de vulnerabilidades em Redes e Sistemas. Vulnerabilidades em redes e sistemas são utilizadas por atacantes cibernéticos para o roubo de informações confidenciais e invasão de redes corporativas e, se não forem identificadas e corrigidas antes que sejam exploradas, podem causar a interrupção total ou parcial dos negócios da Empresa. No processo de segurança da informação existem medidas preventivas e corretivas que podem ser tomadas de acordo com a situação de risco e a  linha do tempo.  A análise de vulnerabilidades é uma atividade que ocorre na fase de prevenção, onde ainda é possível evitar que uma ameaça explore uma vulnerabilidade e traga prejuízos financeiros e/ou à imagem da Cemig.</t>
  </si>
  <si>
    <t>Descontinuidade de serviços informatizados
Roubo de informações confidenciais e invasão de redes corporativas</t>
  </si>
  <si>
    <t xml:space="preserve">Aquisição de 15 tablets para atendimento e utilização do Sistema especialista de gestão de emergências; treinamentos e simulados relacionados ao Plano de Atendimento de Emergência (PAE); leitura de instrumentação de auscultação de barragens; vistorias de segurança de barragens. </t>
  </si>
  <si>
    <t xml:space="preserve">Aquisição/atualização de Servidores x86 </t>
  </si>
  <si>
    <t>Aquisição SIGGA Brizzo</t>
  </si>
  <si>
    <t>Além da não conformidade legal, envolve riscos de falha de comunicação para a comunidade e Defesa Civil.</t>
  </si>
  <si>
    <t>Corporativo?</t>
  </si>
  <si>
    <t>Rogério Elias</t>
  </si>
  <si>
    <t>Sebastião Jacinto</t>
  </si>
  <si>
    <t>Aquisição de equipamentos e mobiliário para o CGR</t>
  </si>
  <si>
    <t>Risco de afastamento de funcionário.
Risco de processos contra a Cemig.
Aumento do horário de intervalo de descanso do operador.
Não atendimento as normas de operação.</t>
  </si>
  <si>
    <t>Nº de mobiliário</t>
  </si>
  <si>
    <t>Aquisição de 6 cadeiras e 1 geladeira para atender  aos operadores de Telecom durante a escala 24/7.</t>
  </si>
  <si>
    <t>Ian Garcia</t>
  </si>
  <si>
    <t>R$MM</t>
  </si>
  <si>
    <t>Programa de investimento 2018-2022</t>
  </si>
  <si>
    <t>Limite indicativo para investimento</t>
  </si>
  <si>
    <t>Programa de investimento 2018-2022 (acumulado)</t>
  </si>
  <si>
    <t>Programa de investimento 2018-2022 (anual)</t>
  </si>
  <si>
    <t>Limite indicativo para investimento (anual)</t>
  </si>
  <si>
    <t xml:space="preserve">Limite indicativo para investimento </t>
  </si>
  <si>
    <t>Kit movimentação circuito / sistema pneumático para movimentação mecânica de cargas de peso e dimensão elevado a ser instalado em caminhão truck para equipe de movimentação de cargas especiais</t>
  </si>
  <si>
    <t>TI03217</t>
  </si>
  <si>
    <t>TI03617</t>
  </si>
  <si>
    <t>TI03317</t>
  </si>
  <si>
    <t>AquisIção de Smartfone para os fiscais de obra, com recurso de internet e boa resolução para registro fotográfico, acesso em campo aos sistemas GESET e GEDEX.</t>
  </si>
  <si>
    <t>Construção de um sistema para a prevenção e recuperação de perdas comerciais.</t>
  </si>
  <si>
    <t>Crescimento das perdas comerciais que impactam a receita; Diminuição da arrecadação.</t>
  </si>
  <si>
    <t>Substituição do sistema Condor - Controle de Documentos Regulatórios.</t>
  </si>
  <si>
    <t>Ocorrência de falhas na operação e na gestão do sistema; Impacto no processo de envio e recepção de documentos.</t>
  </si>
  <si>
    <t>Ocorrência de falhas na operação e na gestão do sistema; Impacto no fluxo de arrecadação da empresa.</t>
  </si>
  <si>
    <t>TI/IO</t>
  </si>
  <si>
    <t>TI/SI</t>
  </si>
  <si>
    <t>TI/RT</t>
  </si>
  <si>
    <t>Francisco Elson</t>
  </si>
  <si>
    <t>Carlos Araújo</t>
  </si>
  <si>
    <t>Álisson Costa</t>
  </si>
  <si>
    <t>Heberte Faria</t>
  </si>
  <si>
    <t>Roberto Proença</t>
  </si>
  <si>
    <t>Roberto Sebastião</t>
  </si>
  <si>
    <t>Sérgio Mourthé</t>
  </si>
  <si>
    <t>Aquisição de Projetor Multimídia MG/CS</t>
  </si>
  <si>
    <t>Aquisição de Projetor Multimidia MG/NT</t>
  </si>
  <si>
    <t>Aquisição de Projetor Multimidia MG/NT-1</t>
  </si>
  <si>
    <t>AQUISIÇÃO DE PROJETORES SC</t>
  </si>
  <si>
    <t>Projetores multimídia RH/EC</t>
  </si>
  <si>
    <t>Aquisição de Equipamentos de Ar Condicionado G</t>
  </si>
  <si>
    <t>Aquisição de Equipamentos de Ar Condicionado D</t>
  </si>
  <si>
    <t>Programa de Substituição e Modernização de Ferramentas MD/CS</t>
  </si>
  <si>
    <t>Programa de Substituição e Modernização de Ferramentas EM/CE</t>
  </si>
  <si>
    <t>Aquisição de Bebedouros G</t>
  </si>
  <si>
    <t>Aquisição de 4 Bebedouro industrial T</t>
  </si>
  <si>
    <t>AQUISIÇÃO DE BEBEDOUROS DGE</t>
  </si>
  <si>
    <t>Aquisição de Bebedouros CEMIG</t>
  </si>
  <si>
    <t>Aquisição de mobiliário para atendimento cliente interno G</t>
  </si>
  <si>
    <t>Aquisição de mobiliário para atendimento cliente interno T</t>
  </si>
  <si>
    <t>Aquisição de mobiliário para atendimento cliente interno D</t>
  </si>
  <si>
    <t xml:space="preserve">GLE-INV-PPE- Aquisição de 3 ar condicionado </t>
  </si>
  <si>
    <t>GLE-INV-PPE- Aquisição de 1 ar condicionado</t>
  </si>
  <si>
    <t>GLE-INV-PPE- Aquisição de 2 ar condicionado</t>
  </si>
  <si>
    <t>Desenvolvimento de software de diagnóstico e planejamento de investimento de Geração</t>
  </si>
  <si>
    <t>Data</t>
  </si>
  <si>
    <t>Evento</t>
  </si>
  <si>
    <t>Início da captação orçamentária do investimento em infraestrutura para o ciclo 2018/2022</t>
  </si>
  <si>
    <t>A GE/PC consolidou as demandas de investimentos de todas as áreas</t>
  </si>
  <si>
    <t>25, 27 e 29/09/2017</t>
  </si>
  <si>
    <t>Seminário de Anuidades de Infraestrutura da Geração, Distribuição e Transmissão</t>
  </si>
  <si>
    <t>Entrega da peça orçamentária 2018-2022 para a PP/AP</t>
  </si>
  <si>
    <t>- Os gestores priorizaram os projetos considerando o limite indicativo para investimento de cada negócio.
- Destaque para a inclusão do macroprojeto Ferramentas e Equipamentos no planejamento de investimento em infraestrutura da G e T.
- Retirada do Projeto Irapé da carteira. Foi autorizada a extensão do prazo de conclusão para 2022 por meio do CPO virtual nº 45 de 09/11/2017</t>
  </si>
  <si>
    <t>18ª Reunião do CPO</t>
  </si>
  <si>
    <t>19ª Reunião do CPO</t>
  </si>
  <si>
    <t>22/12/2017 a 08/01/2018</t>
  </si>
  <si>
    <t>Revisão da carteira sob responsabilidade de cada gestor, visando adequar ao teto global e aos desembolsos anuais da G e T, conforme recomendado pelo CPO</t>
  </si>
  <si>
    <t>A G efetuou as adequações necessárias
A T conseguiu adequar apenas ao teto global</t>
  </si>
  <si>
    <t>A T contribuiu, mas não foi suficiente para adequar aos desembolsos anuais.
A CG/OE sugeriu encaminhar essa proposta à PP/AP para novo cálculo do VPL</t>
  </si>
  <si>
    <t>Encaminhamento à PP/AP da nova proposta de desembolso anual da T.</t>
  </si>
  <si>
    <t>Recomendações:
- Calcular o VPL por negócio
- Redução do programa de investimentos da G em 49,7% e na T em 17,7%
- Caso ocorra redução de despesas com anuidades em G, realocar os recursos para investimento, respeitando-se o teto.</t>
  </si>
  <si>
    <t>Recomendações:
- Poderá haver migração de recursos entre despesas com anuidades e seus respectivos investimentos para valores até 5% do valor do macroprojeto no âmbito da PP e acima de 5% no âmbito do CPO.
- Ajuste da carteira de G e T até 08/01/2018. Sem esse ajuste, a peça não seguirá para aprovação pela Diretoria.
- Reequilíbrios entre macroprojetos de até 5% do recurso aprovado poderão ser tratados no âmbito da PP.
- Demandas de projetos que surgirem durante o ciclo motivadas por evolução tecnológica e necessidades de adequação regulatória e legal poderão ser incluídos no programa de investimentos, desde que submetido à análise econômico-financeira global, respeitando toda a governança de aprovação.</t>
  </si>
  <si>
    <t>Reunião com PO/MT (Gustavo), CG/OE (Juliana), PP/AP (Samy) e GE/PC (Renata)</t>
  </si>
  <si>
    <t>Informações</t>
  </si>
  <si>
    <t>Novo SIGO (Escopo reduzido)</t>
  </si>
  <si>
    <t>Upgrade SIGO - Sistema de Informação da Operação</t>
  </si>
  <si>
    <t>Falha grave no software que pode acarretar a perda de controle da operação e histórico de intervenções das unidades geradoras da Cemig</t>
  </si>
  <si>
    <t>Upgrade do Sistema SMO - Laboratório de Óleos</t>
  </si>
  <si>
    <t>Atualização do sistema de análises físico químicas da Cemig - SMO usado no laboratório de óleos</t>
  </si>
  <si>
    <t xml:space="preserve">Aumento da obsolescência do sistema </t>
  </si>
  <si>
    <t>A PP/AP refez os cálculos de VPL, entretanto descobriu erros no cálculo anterior e terá que refazer a análise econômico financeira da G e T.
A GE/PC solicitou formalmente à SG, conforme orientado pela PP/AP, a retirada do assunto da pauta da reunião de Diretoria do dia 15/01/2018, pois, segundo essa superintendência, entraria extra pauta se fosse necessário.</t>
  </si>
  <si>
    <t>VPL das empresas: Em R$mil
D: 526.728
G: 1.799 
T: 2.157
H: -3.766</t>
  </si>
  <si>
    <t>Análise econômico financeira refeita pela PP/AP considerando novos parâmetros</t>
  </si>
  <si>
    <t>Negócio</t>
  </si>
  <si>
    <t>TI00218</t>
  </si>
  <si>
    <t>Despesas com anuidade (b)</t>
  </si>
  <si>
    <t xml:space="preserve">Planejamento investimento (c) </t>
  </si>
  <si>
    <t>Entrega para o Programa de Adequação da D ao Regulatório (e)=(a-d)</t>
  </si>
  <si>
    <t xml:space="preserve">Ciclo 2018/2022 </t>
  </si>
  <si>
    <t>Gastos em anuidade (d)=(b+c)</t>
  </si>
  <si>
    <t>Gastos em anuidade ciclo 2018/2022 (b)</t>
  </si>
  <si>
    <t>Base de Anuidade Regulatória - BAR (a)</t>
  </si>
  <si>
    <t>Base de Anuidade Regulatória 2013/2017 - BAR (a)</t>
  </si>
  <si>
    <t>Gastos em anuidade no ciclo 2018/2022 em relação à BAR 2013/2017
(c) = (b/a)%</t>
  </si>
  <si>
    <t xml:space="preserve">Nº de Equipamentos </t>
  </si>
  <si>
    <t xml:space="preserve">CICLO 2018-2022 - DIRETRIZ CEMIG D </t>
  </si>
  <si>
    <t>R$ mil -  junho/17</t>
  </si>
  <si>
    <t>Cobertura regulatória 2013/2017</t>
  </si>
  <si>
    <t>Limite de Gastos em anuidade - ciclo 2018/2022 (CEMIG D)</t>
  </si>
  <si>
    <t>% em relação à cobertura do ciclo anterior</t>
  </si>
  <si>
    <t>Sistemas WEB e SharePoint</t>
  </si>
  <si>
    <t>Marcus Souto</t>
  </si>
  <si>
    <t>Márcio Rosa</t>
  </si>
  <si>
    <t>TI00118</t>
  </si>
  <si>
    <t>Sistemas Especialistas - GEO e GED</t>
  </si>
  <si>
    <t>Atualização da Cemignet/Portal Cemig</t>
  </si>
  <si>
    <t>Software: Automatização de Processos de Suprimentos - BPMS</t>
  </si>
  <si>
    <t>TI03417</t>
  </si>
  <si>
    <t>Construção e desenvolvimento do sistema SAM no ambiente SAP ECC.</t>
  </si>
  <si>
    <t>Atrasos nos procedimentos e processos das equipes nas áreas de negócio (engenharia); Multas pelo não atendimento dos compromissos obrigatórios dentro do prazo esperado pelos agentes governamentais.</t>
  </si>
  <si>
    <t>TI04117</t>
  </si>
  <si>
    <t>TI03117</t>
  </si>
  <si>
    <t>Barramento Comercial (Canais de Atendimento Virtuais e Comunicação Bancária)</t>
  </si>
  <si>
    <t>Respostas divergentes considerando um mesmo tipo de solicitação; Impacto no atendimento comercial da Cemig, pelo aumento do uso dos canais virtuais; Alto custo para manter interfaces replicadas e despadronizadas.</t>
  </si>
  <si>
    <t>TI03517</t>
  </si>
  <si>
    <t xml:space="preserve"> Implementação de melhorias no sistema Cemig Fácil.</t>
  </si>
  <si>
    <t xml:space="preserve">Aquisição do Software analisador de protocolo. Ex.: ASE2000.
NOTA - Este software pode ser adquirido dentro do contrato das SECIs. Para isso, há necessidade da solicitação através do gerente para a EA/EP.
</t>
  </si>
  <si>
    <t>Nº de Veículos</t>
  </si>
  <si>
    <t>Veículo cargas especiais</t>
  </si>
  <si>
    <t>SC00118</t>
  </si>
  <si>
    <t>SC00117</t>
  </si>
  <si>
    <t>Rafael Braga</t>
  </si>
  <si>
    <t>COLETOR</t>
  </si>
  <si>
    <t>INFR.342.00414.054.BEBED</t>
  </si>
  <si>
    <t>CD00215</t>
  </si>
  <si>
    <t>PIGD.15.687.O1.GE</t>
  </si>
  <si>
    <t>2017 - Prestobat - Itens 1 e 3 do Pedido de compras 4500029427 – 27 aparelhos de ar condicionado</t>
  </si>
  <si>
    <t>2017 - Aquisição de Bebedouro e Itens 10 e 13 do PC 4500029072 Seal Telecom</t>
  </si>
  <si>
    <t>GE00214</t>
  </si>
  <si>
    <t>Emerson de Sales Cruz</t>
  </si>
  <si>
    <t>TI03015</t>
  </si>
  <si>
    <t>TI02618</t>
  </si>
  <si>
    <t>TINV.18.D.054.RD</t>
  </si>
  <si>
    <t>Equipamentos e Softwares da Rede de Dados</t>
  </si>
  <si>
    <t>TI01118</t>
  </si>
  <si>
    <t>TINV.18.D.054.SO</t>
  </si>
  <si>
    <t>Aquisição de Produtos e Serviços de Segurança da Informação.</t>
  </si>
  <si>
    <t>Renovação dos produtos que garantem a segurança da Informação na Cemig; Renovação do Serviço de Operação da Infraestrutura de Segurança de Informação da Cemig; Renovação do serviço de análise de Vulnerabilidade dos sistemas da rede Cemig.</t>
  </si>
  <si>
    <t>TI02418</t>
  </si>
  <si>
    <t>TINV.18.D.042.SA</t>
  </si>
  <si>
    <t>Portal Geográfico Cemig - GeoPortal</t>
  </si>
  <si>
    <t>Construção de um portal unificado com diversas feições geográficas de interesse corporativo da Cemig; Utilização de uma IDE geográfica e padronização das funcionalidades espaciais; Concentração dos produtos de geoprocessamento para maior visibilidade dos usuários.</t>
  </si>
  <si>
    <t>TI02318</t>
  </si>
  <si>
    <t>TINV.18.D.042.GP</t>
  </si>
  <si>
    <t>TI00216</t>
  </si>
  <si>
    <t>TINV.15.D.042.NE</t>
  </si>
  <si>
    <t>Desenvolvimento do Módulo Gestão da Inadimplência</t>
  </si>
  <si>
    <t>Faturamento Residual Ciclo 2013-2017</t>
  </si>
  <si>
    <t>TI00416</t>
  </si>
  <si>
    <t>TINV.15.D.042.PT</t>
  </si>
  <si>
    <t>Desenvolvimento de Melhorias do Sistema Part-APR</t>
  </si>
  <si>
    <t>Faturamento Residual Ciclo 2013-2019</t>
  </si>
  <si>
    <t>TI00316</t>
  </si>
  <si>
    <t>TINV.15.D.042.NC</t>
  </si>
  <si>
    <t>Desenvolvimento do Módulo Negociação da Inadimplência</t>
  </si>
  <si>
    <t>Faturamento Residual Ciclo 2013-2020</t>
  </si>
  <si>
    <t>TI00914</t>
  </si>
  <si>
    <t>TINV.14.D.042.ES</t>
  </si>
  <si>
    <t>Faturamento Residual Ciclo 2013-2018</t>
  </si>
  <si>
    <t>TI02918</t>
  </si>
  <si>
    <t>TINV.18.D.054.SG</t>
  </si>
  <si>
    <t>AM</t>
  </si>
  <si>
    <t xml:space="preserve">Atual. Moeda - Edificações e complementos </t>
  </si>
  <si>
    <t>CI</t>
  </si>
  <si>
    <t>Captura de Investimentos</t>
  </si>
  <si>
    <t>Laudos a Serem Apresentados</t>
  </si>
  <si>
    <t>SR</t>
  </si>
  <si>
    <t>Saldo Residual</t>
  </si>
  <si>
    <t xml:space="preserve">Atual. Moeda - Telecomunicações </t>
  </si>
  <si>
    <t>TI03418</t>
  </si>
  <si>
    <t>Planejamento Macroprojeto 1-3-2</t>
  </si>
  <si>
    <t>TINV.18.G.054.PP</t>
  </si>
  <si>
    <t xml:space="preserve">Atual. de Moeda - Microinformática </t>
  </si>
  <si>
    <t>TI03518</t>
  </si>
  <si>
    <t>Planejamento Macroprojeto 1-3-3</t>
  </si>
  <si>
    <t>TINV.18.G.045.PP</t>
  </si>
  <si>
    <t>Atual. Moeda - Sistema de Informática</t>
  </si>
  <si>
    <t>Licenciamento Oracle</t>
  </si>
  <si>
    <t>TINV.18.G.042.OR</t>
  </si>
  <si>
    <t>TINV.16.G.042.IP</t>
  </si>
  <si>
    <t>TI03018</t>
  </si>
  <si>
    <t>TINV.18.G.042.PA</t>
  </si>
  <si>
    <t>TI03618</t>
  </si>
  <si>
    <t>Planejamento Macroprojeto 1-3-4</t>
  </si>
  <si>
    <t>TINV.18.G.042.PP</t>
  </si>
  <si>
    <t>Atual. Moeda - Veículos</t>
  </si>
  <si>
    <t>Atual. Moeda - Ferramentas e Equipamentos - Ciclo (2014/2018)</t>
  </si>
  <si>
    <t>MG00317</t>
  </si>
  <si>
    <t>Ferramentas e Equipamentos - MG/TA</t>
  </si>
  <si>
    <t>INGC/17/MGTA/FERR</t>
  </si>
  <si>
    <t>MG00318</t>
  </si>
  <si>
    <t>Ferramentas Cemig GT MG 2018</t>
  </si>
  <si>
    <t>INGC/18/FERR/MGCT</t>
  </si>
  <si>
    <t>MG01217</t>
  </si>
  <si>
    <t>Microhmimetro e Equipamentos - MG/CS</t>
  </si>
  <si>
    <t>INGC/17/MGCS/FERR</t>
  </si>
  <si>
    <t>Ferramentas e Equipamentos - G</t>
  </si>
  <si>
    <t>PO00117</t>
  </si>
  <si>
    <t>Aquisição de Ferramentas - PO/MG</t>
  </si>
  <si>
    <t>INGT/17/781/POMG</t>
  </si>
  <si>
    <t>PO00118</t>
  </si>
  <si>
    <t>Equipamentos para monitoramento de vibração</t>
  </si>
  <si>
    <t>INGT/18/FER/POMG</t>
  </si>
  <si>
    <t>2264/09</t>
  </si>
  <si>
    <t>Reformas e Melhorias em EC - T - 2009</t>
  </si>
  <si>
    <t>2CPO2264</t>
  </si>
  <si>
    <t>3088/12</t>
  </si>
  <si>
    <t>Reformas e Melhorias Estação de Telecomunicações da Transmissão</t>
  </si>
  <si>
    <t>INTC.12.T.054.RM</t>
  </si>
  <si>
    <t>TI03718</t>
  </si>
  <si>
    <t>Planejamento Macroprojeto 2-3-2</t>
  </si>
  <si>
    <t>TINV.18.T.054.PP</t>
  </si>
  <si>
    <t>Atual. Moeda - Microinformática</t>
  </si>
  <si>
    <t>TI03818</t>
  </si>
  <si>
    <t>Planejamento Macroprojeto 2-3-3</t>
  </si>
  <si>
    <t>TINV.18.T.045.PP</t>
  </si>
  <si>
    <t>TI03918</t>
  </si>
  <si>
    <t>Planejamento Macroprojeto 2-3-4</t>
  </si>
  <si>
    <t>TINV.18.T.042.PP</t>
  </si>
  <si>
    <t xml:space="preserve">Atual. Moeda - Ferramentas e Equipamentos </t>
  </si>
  <si>
    <t>MT00516</t>
  </si>
  <si>
    <t>Ferramentas 2016 - MT</t>
  </si>
  <si>
    <t>INAT/16/FE</t>
  </si>
  <si>
    <t>MT01017</t>
  </si>
  <si>
    <t>Ferramentas de Manutenção (Ciclo 2017-2025) - MT</t>
  </si>
  <si>
    <t>INAT/18/FE</t>
  </si>
  <si>
    <t>Ferramentas e Equipamentos - T (Ciclo 2017 - 2025)</t>
  </si>
  <si>
    <t>PO00417</t>
  </si>
  <si>
    <t>Aquisição de Diversos Equipamentos</t>
  </si>
  <si>
    <t>INGT/18/783/FERR</t>
  </si>
  <si>
    <t>2509/10</t>
  </si>
  <si>
    <t>Programa de Substituição e Modernização de Ferramentas p/ DDC</t>
  </si>
  <si>
    <t>PIGD.10.905.O1.GF</t>
  </si>
  <si>
    <t>2556/10</t>
  </si>
  <si>
    <t>Ferramentas e Equipamentos para PE</t>
  </si>
  <si>
    <t>PIGD.10.178.O1.GF</t>
  </si>
  <si>
    <t>2710/11</t>
  </si>
  <si>
    <t>Ferramentas p/ Equipes de Inspeções em LT</t>
  </si>
  <si>
    <t>PIGD.11.856.O1.GF</t>
  </si>
  <si>
    <t>2716/11</t>
  </si>
  <si>
    <t>Ferramentas p/ MD, PE, PR</t>
  </si>
  <si>
    <t>PIGD.11.896.O1.GF</t>
  </si>
  <si>
    <t>2717/11</t>
  </si>
  <si>
    <t>Ferramentas Operacionais SD/LS</t>
  </si>
  <si>
    <t>PIGD.11.896.O2.GF</t>
  </si>
  <si>
    <t>2854/11</t>
  </si>
  <si>
    <t>Termovisor para Inspeções em LT</t>
  </si>
  <si>
    <t>PIGD.11.856.O2.GF</t>
  </si>
  <si>
    <t>2896/11</t>
  </si>
  <si>
    <t>Ferramentas Operacionais para CD/DDC</t>
  </si>
  <si>
    <t>PIGD.11.896.O3.GF</t>
  </si>
  <si>
    <t>2922/11</t>
  </si>
  <si>
    <t>Ferramentas DDC 2012</t>
  </si>
  <si>
    <t>PIGD.11.896.O4.GF</t>
  </si>
  <si>
    <t xml:space="preserve">Atual. Moeda - Ferramentas </t>
  </si>
  <si>
    <t>CD00116</t>
  </si>
  <si>
    <t>Notebooks para Manutenção de Rede</t>
  </si>
  <si>
    <t>PIGD.16.687.O1.GF</t>
  </si>
  <si>
    <t>CD00315</t>
  </si>
  <si>
    <t>Ferramentas DDC 2015</t>
  </si>
  <si>
    <t>3CPOCD00315</t>
  </si>
  <si>
    <t>GE00118</t>
  </si>
  <si>
    <t>Planejamento Macroprojeto 3-4-1</t>
  </si>
  <si>
    <t>INFR.341.00118</t>
  </si>
  <si>
    <t>CD00115</t>
  </si>
  <si>
    <t>Sistema Videowall do COD</t>
  </si>
  <si>
    <t>PIGD.15.170.O1.GE</t>
  </si>
  <si>
    <t>Equipamentos de Infraestrutura para DDC 2015</t>
  </si>
  <si>
    <t>Projeto de CFTV e Conectividade do Edifício Julio Soares</t>
  </si>
  <si>
    <t>INFR.342.00414</t>
  </si>
  <si>
    <t>GE00218</t>
  </si>
  <si>
    <t>Planejamento Macroprojeto 3-4-2</t>
  </si>
  <si>
    <t>INFR.341.00218</t>
  </si>
  <si>
    <t>INFR.342.00117</t>
  </si>
  <si>
    <t xml:space="preserve">Atual. Moeda - Telecomunicações (Aureliano Chaves) </t>
  </si>
  <si>
    <t>TI01518</t>
  </si>
  <si>
    <t>Planejamento Macroprojeto 3-4-3-1</t>
  </si>
  <si>
    <t>TINV.18.D.054.PP</t>
  </si>
  <si>
    <t>Plano de Atendimento de Telecom da Base Operativa de São Gabriel</t>
  </si>
  <si>
    <t>TI03118</t>
  </si>
  <si>
    <t>Projeto Sigma - Substituição dos Gateways Mediant 1000</t>
  </si>
  <si>
    <t>TINV.18.D.054.PS</t>
  </si>
  <si>
    <t xml:space="preserve">Atual. Moeda - Microinformática </t>
  </si>
  <si>
    <t>Modernização do Parque de Microinformática - D</t>
  </si>
  <si>
    <t>TI01318</t>
  </si>
  <si>
    <t>Planejamento Macroprojeto 3-4-4</t>
  </si>
  <si>
    <t>TINV.18.D.045.PP</t>
  </si>
  <si>
    <t>Aquisição Equipamentos Móvel em Campo</t>
  </si>
  <si>
    <t>TINV.16.D.045.TB</t>
  </si>
  <si>
    <t>Sistema de Informática - Atualização Moeda</t>
  </si>
  <si>
    <t>Atualização Tecnológica p/ Modern. da Infraestrutura da Rede Corporativa</t>
  </si>
  <si>
    <t>TINV.18.D.042.OR</t>
  </si>
  <si>
    <t>Desenvolvimento do Sistema PIC</t>
  </si>
  <si>
    <t>TINV.17.D.042.PI</t>
  </si>
  <si>
    <t>TI00516</t>
  </si>
  <si>
    <t>Desenvolvimento de Portais e Mapas Geográficos</t>
  </si>
  <si>
    <t>TINV.16.D.042.MG</t>
  </si>
  <si>
    <t>TINV.17.D.042.FR</t>
  </si>
  <si>
    <t>Expansão AGV</t>
  </si>
  <si>
    <t>TINV.17.D.042.AG</t>
  </si>
  <si>
    <t>TI00716</t>
  </si>
  <si>
    <t>Licenciamento Antivirus</t>
  </si>
  <si>
    <t>TINV.16.D.045.SY</t>
  </si>
  <si>
    <t>TI00818</t>
  </si>
  <si>
    <t>TINV.18.D.054.GW</t>
  </si>
  <si>
    <t>Evolução e Sustentação Sap</t>
  </si>
  <si>
    <t>TI00918</t>
  </si>
  <si>
    <t>TINV.18.D.054.EX</t>
  </si>
  <si>
    <t>Modernização do Sistema de Aquisição de Dados e Monitoramento do COD e aquisição de EMS</t>
  </si>
  <si>
    <t>TINV.16.D.042.SC</t>
  </si>
  <si>
    <t>TI01018</t>
  </si>
  <si>
    <t>Solução de APT</t>
  </si>
  <si>
    <t>TINV.18.D.054.AP</t>
  </si>
  <si>
    <t>Aquisição de Produtos e Serviços de Segurança da Informação</t>
  </si>
  <si>
    <t>TI01213</t>
  </si>
  <si>
    <t xml:space="preserve">Edifício Aureliano Chaves - Infraestrutura de Conectividade de Rede, Wireless e Segurança </t>
  </si>
  <si>
    <t>TINV.13.D.045.AC</t>
  </si>
  <si>
    <t>TI01218</t>
  </si>
  <si>
    <t>Softwares de gerência de rede Cisco</t>
  </si>
  <si>
    <t>TINV.18.D.054.GR</t>
  </si>
  <si>
    <t>TINV.17.D.042.PG</t>
  </si>
  <si>
    <t>TI01418</t>
  </si>
  <si>
    <t>Planejamento Macroprojeto 3-4-5</t>
  </si>
  <si>
    <t>TINV.18.D.042.PP</t>
  </si>
  <si>
    <t>TI01616</t>
  </si>
  <si>
    <t>Desenvolvimento Sistema Volt</t>
  </si>
  <si>
    <t>TINV.16.D.042.VL</t>
  </si>
  <si>
    <t>TINV.15.D.042.GS</t>
  </si>
  <si>
    <t>Projeto de implantação do e-social # SIS</t>
  </si>
  <si>
    <t>TINV.14.D.042.SO</t>
  </si>
  <si>
    <t>Projeto Atlantis - Nova versão dos módulos GDIS CP</t>
  </si>
  <si>
    <t>TINV.15.D.042.AT</t>
  </si>
  <si>
    <t>TINV.17.D.042.GX</t>
  </si>
  <si>
    <t xml:space="preserve">Desenvolvimento do Sistema de Gestão de Fornecedores (SGF) </t>
  </si>
  <si>
    <t>TINV.16.D.042.SG</t>
  </si>
  <si>
    <t>TI02416</t>
  </si>
  <si>
    <t>Sistema de Inteligência de Negócios da Engenharia de Operação - SINEOP</t>
  </si>
  <si>
    <t>TINV.16.D.042.SI</t>
  </si>
  <si>
    <t>Evolução PEC</t>
  </si>
  <si>
    <t>TINV.15.D.042.PE</t>
  </si>
  <si>
    <t>Versionamento GeoÁrvores - Adequação e Integração ao G-DIS MN e Atlântis</t>
  </si>
  <si>
    <t>TINV.16.D.042.GA</t>
  </si>
  <si>
    <t>TINV.16.D.042.CS</t>
  </si>
  <si>
    <t>Equipamentos e Softwares da Rede de Dados Cisco IE-3000-8TC-E</t>
  </si>
  <si>
    <t>TI02718</t>
  </si>
  <si>
    <t>Solução para proteção da rede Cemig contra ataques pela internet.</t>
  </si>
  <si>
    <t>TINV.18.D.054.IP</t>
  </si>
  <si>
    <t>TINV.17.D.042.RT</t>
  </si>
  <si>
    <t>TINV.15.D.042.BR</t>
  </si>
  <si>
    <t>Desenvolvimento do Barramento Comercial</t>
  </si>
  <si>
    <t>TINV.17.D.042.BC</t>
  </si>
  <si>
    <t>TINV.17.D.042.ES</t>
  </si>
  <si>
    <t>TINV.17.D.042.DR</t>
  </si>
  <si>
    <t>Desenvolvimento Sistema SAM</t>
  </si>
  <si>
    <t>TINV.17.D.042.SS</t>
  </si>
  <si>
    <t>TINV.17.D.042.CF</t>
  </si>
  <si>
    <t>TINV.17.D.042.RP</t>
  </si>
  <si>
    <t>Aquisição de Solução EFD REINF</t>
  </si>
  <si>
    <t>TINV.17.D.042.RE</t>
  </si>
  <si>
    <t xml:space="preserve">Atual. Moeda - Veículos </t>
  </si>
  <si>
    <t>GE00318</t>
  </si>
  <si>
    <t>Planejamento Macroprojeto 3-4-6</t>
  </si>
  <si>
    <t>INFR.341.00318</t>
  </si>
  <si>
    <t>Modernização do Parque de Informática - Holding</t>
  </si>
  <si>
    <t>TI04018</t>
  </si>
  <si>
    <t>Planejamento Macroprojeto 4-1-2</t>
  </si>
  <si>
    <t>TINV.18.H.045.PP</t>
  </si>
  <si>
    <t xml:space="preserve">Atual. Moeda - Sistema de Informática </t>
  </si>
  <si>
    <t>Sistema de Informática</t>
  </si>
  <si>
    <t>TI01113</t>
  </si>
  <si>
    <t>Edifício Aureliano Chaves - Infraestrutura de Conectividade de Rede, Wireless e Segurança</t>
  </si>
  <si>
    <t>TINV.13.H.045.AC</t>
  </si>
  <si>
    <t>Sistema de Gestão Jurídica para o Grupo Cemig</t>
  </si>
  <si>
    <t>TINV.14.H.042.SJ</t>
  </si>
  <si>
    <t>Planejamento Macroprojeto 4-1-3</t>
  </si>
  <si>
    <t>TINV.18.H.042.PP</t>
  </si>
  <si>
    <t>Nº. 
Projeto</t>
  </si>
  <si>
    <t>Nome</t>
  </si>
  <si>
    <t>Coletor</t>
  </si>
  <si>
    <t>Valor de Execução</t>
  </si>
  <si>
    <t xml:space="preserve">Real até </t>
  </si>
  <si>
    <t>EXECUÇÃO ATÉ</t>
  </si>
  <si>
    <t xml:space="preserve">         PLANEJAMENTOS ANOS FUTUROS</t>
  </si>
  <si>
    <t>Proposta  (a)</t>
  </si>
  <si>
    <t>Orçam.Lib (b)</t>
  </si>
  <si>
    <t>Planej.
(d)</t>
  </si>
  <si>
    <t>Real
(e)</t>
  </si>
  <si>
    <t>Adiant.
(f)</t>
  </si>
  <si>
    <t>Total
(g)=(e+f)</t>
  </si>
  <si>
    <t>Comprom.
(i)</t>
  </si>
  <si>
    <t>Disposto
(j)=(g+i)</t>
  </si>
  <si>
    <t xml:space="preserve">CD </t>
  </si>
  <si>
    <t>MD00118</t>
  </si>
  <si>
    <t>MD00218</t>
  </si>
  <si>
    <t>MD00318</t>
  </si>
  <si>
    <t>Macroprojetos de Infraestrutura</t>
  </si>
  <si>
    <t>Investimentos de Prioridade 1 - P1: Projetos de investimentos cuja execução é necessária para a manutenção de processos e rotinas de Empresas de geração, transmissão, distribuição e da Cemig (Prioridade 1).</t>
  </si>
  <si>
    <t>MACROPROJETOS</t>
  </si>
  <si>
    <t>CONCEITOS</t>
  </si>
  <si>
    <t>Ferramentas</t>
  </si>
  <si>
    <r>
      <t xml:space="preserve">Conjunto de investimentos destinados à execução de serviços de campo, abrangendo equipamentos para testes e comissionamentos em subestações e redes de distribuição, para manutenção em linhas e redes de distribuição, estações de comunicação, medidores específicos (fator de potência, termovisores etc), ferramentas especiais, notebooks e dispositivos móveis de processos e outros. 
Não se incluem adaptações em veículos para atender à demanda de serviços, contempladas no respectivo macroprojeto. 
</t>
    </r>
    <r>
      <rPr>
        <u/>
        <sz val="10"/>
        <rFont val="Arial"/>
        <family val="2"/>
      </rPr>
      <t xml:space="preserve">
</t>
    </r>
    <r>
      <rPr>
        <b/>
        <u/>
        <sz val="10"/>
        <color theme="1"/>
        <rFont val="Arial"/>
        <family val="2"/>
      </rPr>
      <t>Importante</t>
    </r>
    <r>
      <rPr>
        <b/>
        <sz val="10"/>
        <color theme="1"/>
        <rFont val="Arial"/>
        <family val="2"/>
      </rPr>
      <t>: Por diretriz da área financeira, os macroprojetos Ferramentas e Equipamentos, Geração e Transmissão, respectivamente serão transferidos para a Infraestrutura no ciclo 2018/2022. Acertaremos com a PP/AP, PO/MG e PO/MT os termos dessa movimentação.</t>
    </r>
  </si>
  <si>
    <t>Edificações e Complementos</t>
  </si>
  <si>
    <t>Conjunto de investimentos destinados a:
a)   Instalações Prediais - infraestrutura dos escritórios e congêneres, incluindo reformas, adequações e regularizações. 
b)   Máquinas e equipamentos - aquisição e reforma de equipamentos como aparelhos de ar condicionado e outros.
c)   Móveis e Utensílios - móveis e utensílios, como cadeiras, mesas e armários entre outros. 
d)   Segurança Patrimonial - segurança de instalações, tais como circuitos de vigilância, roletas de acesso, equipamentos de áudio e vídeo de segurança entre outros. 
Todos esses investimentos referem-se apenas a finalidades administrativas, incluindo adaptações em áreas administrativas provocadas por obras ambientais ou para fins de telecomunicações, e excluindo-se ferramentas destinadas à execução de serviços de campo, ambos contemplados em seus respectivos macroprojetos.</t>
  </si>
  <si>
    <t>Telecomunicações - Ativo não elétrico</t>
  </si>
  <si>
    <t>Investimentos em telecomunicações não destinados aos ativos elétricos.</t>
  </si>
  <si>
    <t>TI - Microinformática</t>
  </si>
  <si>
    <t>Conjunto de investimentos relativos a aquisição/substituição de microcomputadores, dispositivos móveis (notebooks e outros) e softwares associados. 
Não se incluem investimentos associados a ativos de sistema elétrico específicos (itens de processo), contemplados em seus respectivos macroprojetos.</t>
  </si>
  <si>
    <t>Sistemas de Informática</t>
  </si>
  <si>
    <t>Conjunto de investimentos relativos a aquisição/implementação/substituição de sistemas centrais e corporativos para atender às necessidades de infraestrutura da Distribuidora. 
Abrangem-se os investimentos em sistemas relacionados à gestão, SAP, GDIS, GIS, SCADA, gerência de redes de comunicação e outros.</t>
  </si>
  <si>
    <t>Veículos</t>
  </si>
  <si>
    <t>Conjunto de investimentos e despesas de locação relativos à implementação / substituição das soluções de transporte da Distribuidora. 
Abrangem-se veículos leves, médios e pesados e suas respectivas adaptações para atender à demanda de serviços (cestas aéreas, carrocerias e outros afins).</t>
  </si>
  <si>
    <t>GE00518</t>
  </si>
  <si>
    <t>Planejamento Macroprojeto 1-3-1</t>
  </si>
  <si>
    <t>INFR.131.00618</t>
  </si>
  <si>
    <t>GE00618</t>
  </si>
  <si>
    <t>Planejamento Macroprojeto 1-3-5</t>
  </si>
  <si>
    <t>INFR.135.00718</t>
  </si>
  <si>
    <t>GE00418</t>
  </si>
  <si>
    <t>Planejamento Macroprojeto 1-3-6</t>
  </si>
  <si>
    <t>INFR.136.00518</t>
  </si>
  <si>
    <t>GE00818</t>
  </si>
  <si>
    <t>Planejamento Macroprojeto 2-3-1</t>
  </si>
  <si>
    <t>INFR.231.00918</t>
  </si>
  <si>
    <t>GE00918</t>
  </si>
  <si>
    <t>Planejamento Macroprojeto 2-3-5</t>
  </si>
  <si>
    <t>INFR.235.01018</t>
  </si>
  <si>
    <t>GE00718</t>
  </si>
  <si>
    <t>Planejamento Macroprojeto 2-3-6</t>
  </si>
  <si>
    <t>INFR.236.00818</t>
  </si>
  <si>
    <t>TI04318</t>
  </si>
  <si>
    <t>Modernização do Parque de Microinformática</t>
  </si>
  <si>
    <t>TINV.18.D.045.MP</t>
  </si>
  <si>
    <t>TI03318</t>
  </si>
  <si>
    <t>Solução de Firewall Check Point</t>
  </si>
  <si>
    <t>TINV.18.D.054.FW</t>
  </si>
  <si>
    <t>TI03218</t>
  </si>
  <si>
    <t>Aquisição de tablets MG/SB</t>
  </si>
  <si>
    <t>TINV.18.G.045.TB</t>
  </si>
  <si>
    <t>TI04818</t>
  </si>
  <si>
    <t>Licença de Software Logic Linx Hardkey</t>
  </si>
  <si>
    <t>TINV.18.G.045.LH</t>
  </si>
  <si>
    <t>TI04918</t>
  </si>
  <si>
    <t>Aquisição Pacote Software Elipse</t>
  </si>
  <si>
    <t>TINV.18.G.045.SE</t>
  </si>
  <si>
    <t>TI04418</t>
  </si>
  <si>
    <t>TINV.18.T.045.MP</t>
  </si>
  <si>
    <t>TI04718</t>
  </si>
  <si>
    <t>Arquitetura GEO (LayerCast + OpenLayers Cemig)</t>
  </si>
  <si>
    <t>TINV.18.D.042.AG</t>
  </si>
  <si>
    <t>TI04518</t>
  </si>
  <si>
    <t>TINV.18.H.045.MP</t>
  </si>
  <si>
    <t xml:space="preserve">Real Mar 2018 </t>
  </si>
  <si>
    <t>INFR.342.01218</t>
  </si>
  <si>
    <t>INFR.342.00418</t>
  </si>
  <si>
    <t>Em mil R$</t>
  </si>
  <si>
    <t>TOTAL</t>
  </si>
  <si>
    <t>DISTRIBUIÇÃO</t>
  </si>
  <si>
    <t>Distribuição - 2018</t>
  </si>
  <si>
    <t>Moeda de junho/2017</t>
  </si>
  <si>
    <t>1-3-6 Ferramentas e Equipamentos G</t>
  </si>
  <si>
    <t>2-3-6 Ferramentas e Equipamentos T</t>
  </si>
  <si>
    <t>(a)</t>
  </si>
  <si>
    <t>(b)</t>
  </si>
  <si>
    <t>Disposto até</t>
  </si>
  <si>
    <t xml:space="preserve">Compromisso  </t>
  </si>
  <si>
    <t>% Real</t>
  </si>
  <si>
    <t xml:space="preserve">Realizado até </t>
  </si>
  <si>
    <t>% Disp</t>
  </si>
  <si>
    <t>Data de atualização CEI</t>
  </si>
  <si>
    <t>GERAÇÃO</t>
  </si>
  <si>
    <t>Geração - 2018</t>
  </si>
  <si>
    <t>TRANSMISSÃO</t>
  </si>
  <si>
    <t>Transmissão - 2018</t>
  </si>
  <si>
    <t>HOLDING</t>
  </si>
  <si>
    <t>Holding - 2018</t>
  </si>
  <si>
    <t>DGTH</t>
  </si>
  <si>
    <t>DGTH - 2018</t>
  </si>
  <si>
    <t>INFR.346.00318</t>
  </si>
  <si>
    <t>Aquisição de Equipamentos para Trabalhos em Linha Viva 138kV</t>
  </si>
  <si>
    <t>INFR.346.01218</t>
  </si>
  <si>
    <t>INFR.346.01318</t>
  </si>
  <si>
    <t>MT00218</t>
  </si>
  <si>
    <t>MT - Equipamentos e Veículos</t>
  </si>
  <si>
    <t>INAT/18/VE</t>
  </si>
  <si>
    <t>INFR.342.00218</t>
  </si>
  <si>
    <t>RH00118</t>
  </si>
  <si>
    <t>Projetos de Infraestrutura RH/EC</t>
  </si>
  <si>
    <t>INFR.342.00118</t>
  </si>
  <si>
    <t>TI05118</t>
  </si>
  <si>
    <t>TINV.18.D.054.VW</t>
  </si>
  <si>
    <t>3211/12</t>
  </si>
  <si>
    <t>Sistema GDIS</t>
  </si>
  <si>
    <t>TINV.12.D.042.GS</t>
  </si>
  <si>
    <t>Real Abr 2018
PARCIAL ATÉ 30/04</t>
  </si>
  <si>
    <t>Aquisição de Equipamentos Geral  - Ar Condicionado e Bebedouro - Geração</t>
  </si>
  <si>
    <t>Aquisição de Equipamentos de Ar Condicionado e Bebedouro para várias unidades do Estado.</t>
  </si>
  <si>
    <t>Dificuldade no fornecimento de aparelhos de ar condicionado para as instalações da Cemig e consequentemente, na garantia da climatização de ambientes conforme a Portaria 3523, de 28/08/1998 do Ministério da Saúde.
Dificuldade no fornecimento de bebedouros para as instalações da Cemig e consequentemente, no fornecimento de água para os funcionários conforme normas regulamentadores.</t>
  </si>
  <si>
    <t>SC00318</t>
  </si>
  <si>
    <t>INFR.131.01518</t>
  </si>
  <si>
    <t>Flávio Henrique Silva Rosário/ Daniel Bretas</t>
  </si>
  <si>
    <t>Aquisição de Equipamento Geral - Ar Condicionado, Bebedouro, Projetor e Microondas - Distribuição</t>
  </si>
  <si>
    <t>SC00418</t>
  </si>
  <si>
    <t>INFR.342.01618</t>
  </si>
  <si>
    <t>Aquisição de Equipamentos de Ar Condicionado, Bebedouro, microondas e projetor para varias unidades do Estado.</t>
  </si>
  <si>
    <t>Dificuldade no fornecimento de aparelhos de ar condicionado para as instalações da Cemig e consequentemente, na garantia da climatização de ambientes conforme a Portaria 3523, de 28/08/1998 do Ministério da Saúde.
• Aumento nos custos de manutenção (despesa operacional), uma vez que os atuais equipamentos obsoletos são submetidos e reiterados consertos
• Comprometimento de realização de reuniões de trabalho por falta de equipamento.
• impacto direto no clima organizacional com a insatisfação e reclamação dos empregados por trabalharem em um ambiente sem o adequado fornecimento de água potável.</t>
  </si>
  <si>
    <t>TI05018</t>
  </si>
  <si>
    <t>INFR.342.01418</t>
  </si>
  <si>
    <t>Aquisição de Equipamentos Geral  - Ar Condicionado e Bebedouro - Geração - SC00318</t>
  </si>
  <si>
    <t>Aquisição de Equipamento Geral - Ar Condicionado, Bebedouro, Projetor e Microondas - Distribuição - SC00418</t>
  </si>
  <si>
    <t>Marcela Augusta</t>
  </si>
  <si>
    <t>Modernização de equipamentos e mobiliário e construção da pista off road para o curso de direção defensiva na UNIVERCEMIG.</t>
  </si>
  <si>
    <t>Modernização de equipamentos e mobiliário e construção da pista off road para o curso de direção defensiva na UNIVERCEMIG - RH00118</t>
  </si>
  <si>
    <t>Aquisição de carroceria e cesta Aérea para Trabalhos em Linha Viva 138KV</t>
  </si>
  <si>
    <t>Aquisição de carroceria e cesta Aérea para Trabalhos em Linha Viva 138KV - MD00218</t>
  </si>
  <si>
    <t>Aquisição de carroceria e montagem e cesta Aérea para Trabalhos em Linha Viva 138KV</t>
  </si>
  <si>
    <t>INGT/17/781/POMG/FERR</t>
  </si>
  <si>
    <t>Aquisição Mobiliário e Refrigerador para o CGR</t>
  </si>
  <si>
    <t>TI04618</t>
  </si>
  <si>
    <t>Netadmin Gerenciamento das Estações de Trabalho</t>
  </si>
  <si>
    <t>TINV.18.D.741.NA</t>
  </si>
  <si>
    <t>Aquisição de Acelerômetros contendo base magnéticas e cabos - PO/MG</t>
  </si>
  <si>
    <t>Aquisição de Sensores de proximidade - PO/MG</t>
  </si>
  <si>
    <t>Aquisição de Fieldlogger</t>
  </si>
  <si>
    <t>Aquisição de transdutores de deslocamento</t>
  </si>
  <si>
    <t>Aquisição de transdutores lineares</t>
  </si>
  <si>
    <t>Bomba Pressão 0/700 Bar - PO/MG</t>
  </si>
  <si>
    <t>Aquisição de Acelerômetros contendo base magnéticas e cabos - PO/MG
Aquisição de Sensores de proximidade - PO/MG
PO00118Aquisição de Sensores de pressão - PO/MG
Aquisição de Fieldlogger
Aquisição de transdutores de deslocamento
Aquisição de transdutores lineares
Bomba Pressão 0/700 Bar - PO/MG</t>
  </si>
  <si>
    <t>Sistema Inspetor - Manutenção rotineira e evoluções periódicas - Implantação de inspeção informatizada utilizando PDAs associados a GPS - MG/SB</t>
  </si>
  <si>
    <t>Aquisição de 01 Deareador - MG/SB</t>
  </si>
  <si>
    <t>Aquisição de 01 bússola - MG/SB</t>
  </si>
  <si>
    <t>Aquisição de 01 Drone - MG/SB</t>
  </si>
  <si>
    <t>Aquisição de Sensores de pressão - PO/MG</t>
  </si>
  <si>
    <t>Ferramentas diversas para PO/MG</t>
  </si>
  <si>
    <t>Sistema Inspetor - Manutenção rotineira e evoluções periódicas - Implantação de inspeção informatizada utilizando PDAs associados a GPS - MG/SB
Aquisição de 01 Deareador - MG/SB
Aquisição de 01 bússola - MG/SB
Aquisição de 01 Drone - MG/SB</t>
  </si>
  <si>
    <t xml:space="preserve">Ferramentas Geração </t>
  </si>
  <si>
    <t>Ferramentas Geração 2019 - 2022</t>
  </si>
  <si>
    <t>Nº Ferramentas</t>
  </si>
  <si>
    <t>RH00218</t>
  </si>
  <si>
    <t>Aquisição de recursos pedagógicos para Univercemig</t>
  </si>
  <si>
    <t>Aquisição Pacote Software Elipse (GLE-INV-PPE-Aq-software-ElipseE3Studio)</t>
  </si>
  <si>
    <t>INFR.341.01118</t>
  </si>
  <si>
    <t>Equipamentos SPARE (Readequações Rede Operativa)</t>
  </si>
  <si>
    <t>Equipamentos para as redes LAN e WAN dos sites do interior</t>
  </si>
  <si>
    <t>Firewall para Segurança de SEs e Salas de Telemática</t>
  </si>
  <si>
    <t>Construção de uma arquitetura para otimização de camadas geográficas com armazenamento e controle de cache.</t>
  </si>
  <si>
    <t>Aumento do tempo de abertura dos painéis de informação; Time out nas solicitações para processamento das informações geográficas.</t>
  </si>
  <si>
    <t>WildFire (Palo Alto)</t>
  </si>
  <si>
    <t>Aquisição de Equipamentos de Uso Geral - SC - Geração</t>
  </si>
  <si>
    <t xml:space="preserve">Atual. Moeda - Edificações e complementos (Irapé) </t>
  </si>
  <si>
    <t>GE01113</t>
  </si>
  <si>
    <t>UHE IRAPÉ - Regularização Imobiliária</t>
  </si>
  <si>
    <t>INFR.131.01113</t>
  </si>
  <si>
    <t>Execução de bacia de contenção coberta no CDI de Sete Lagoas</t>
  </si>
  <si>
    <t>Aquisição de Equipamentos de Uso Geral - SC - Distribuição</t>
  </si>
  <si>
    <t>TI05218</t>
  </si>
  <si>
    <t>Licenciamento Bentley</t>
  </si>
  <si>
    <t>TINV.18.D.042.BE</t>
  </si>
  <si>
    <t>Recursos Pedagógicos - Ferramentas  - RH/EC</t>
  </si>
  <si>
    <t>INFR.341.01718</t>
  </si>
  <si>
    <t>Real Abril/18</t>
  </si>
  <si>
    <t>Real Jan/2018</t>
  </si>
  <si>
    <t>Real Fev/2018</t>
  </si>
  <si>
    <t xml:space="preserve">Real Mar/2018 </t>
  </si>
  <si>
    <t>Márcio Machado</t>
  </si>
  <si>
    <t>GDIS</t>
  </si>
  <si>
    <t>Evolução e Sustentação JAVA - Magik</t>
  </si>
  <si>
    <t>Evoluir as soluções tecnológicas referentes aos processos de gestão empresarial, comercial e de informações empresariais; Modernizar as integrações dos sistemas SAP ERP, CCS/CRM e BW/BO com os sistemas legados (GDIS, AGV, CTI, URA, PEC, entre outros); Atender às leis, normas, resoluções e diretrizes governamentais ou corporativas.</t>
  </si>
  <si>
    <t>Aquisição de video wall para o centro de operação de telecomunicações. Equipamento será utilizado para a supervição do sistema de telecomunicações.</t>
  </si>
  <si>
    <t>Risco de multa e/ou penalidades pelo órgão regulador e outras instituições, devido ao não atendimento das resoluções normativas e legais; Perda da oportunidade de redução de custo para as áreas operacionais; Impacto financeiro nas áreas de negócio dos processos de gestão.</t>
  </si>
  <si>
    <t>Dispersão das aplicações de geoprocessamento dentro da Cemignet, dificultando a localização e o acesso às funcionalidades; Falta de um padrão visual e de interface com os usuários; Aumento no custo tanto para a construção individualizada, como para as futuras manutenções.</t>
  </si>
  <si>
    <t>Ineficiência na identificação de problemas na rede. Aumento do tempo no reparo de defeitos na rede. Aumento de custo para na identificação de defeitos.</t>
  </si>
  <si>
    <t>Luciano Nunes</t>
  </si>
  <si>
    <t>Readequações DMZs</t>
  </si>
  <si>
    <t>Possibilitar a continuidade dos serviços de voz dos escritórios da Cemig Distribuição com o sistema de telefonia adquirido da CEMIGTelecom.</t>
  </si>
  <si>
    <t xml:space="preserve">Aquisição tablets MG/SB </t>
  </si>
  <si>
    <t>Aquisição de Licença do Software Logic Linx para a UHE Nova Ponte, visando repor equipamento danificado.</t>
  </si>
  <si>
    <t>Aumento de Opex com serviços de reparos e manutenção dos atuais equipamentos (Gateways Mediant 1000).</t>
  </si>
  <si>
    <t>Impossibilidade de intervenção nos equipamentos em caso de necessidade, gerando atraso na execução de serviços na UHE Nova Ponte; Falha no diagnostico e priorização de investimentos em equipamentos da geração, podendo levar a indisponibilidade operativa e consequente perda de receita da geração.</t>
  </si>
  <si>
    <t>Modernização de equipamentos e mobiliário UNIVERCEMIG.</t>
  </si>
  <si>
    <t>Aquisição de recursos pedagógicos para Univercemig 2018</t>
  </si>
  <si>
    <t>GE01018</t>
  </si>
  <si>
    <t>INFR.342.01818</t>
  </si>
  <si>
    <t>TI05318</t>
  </si>
  <si>
    <t>Licenças WARPZ</t>
  </si>
  <si>
    <t>TINV.18.D.762.WZ</t>
  </si>
  <si>
    <t>Mariana Tanure</t>
  </si>
  <si>
    <t>SC00518</t>
  </si>
  <si>
    <t>INFR.342.02118</t>
  </si>
  <si>
    <t xml:space="preserve">AQUISIÇÃO EXTINTORES DE INCÊNDIO - SE's CEMIG D-REGIONAIS LESTE E VALE DO AÇO </t>
  </si>
  <si>
    <t>CE</t>
  </si>
  <si>
    <t>DRC</t>
  </si>
  <si>
    <t>Tércia Moreira</t>
  </si>
  <si>
    <t>Aquisição de equipamentos de video/imagem para CE</t>
  </si>
  <si>
    <t>Rótulos de Linha</t>
  </si>
  <si>
    <t>Soma de Total 2018</t>
  </si>
  <si>
    <t>Soma de Total 2019</t>
  </si>
  <si>
    <t>Soma de Total 2020</t>
  </si>
  <si>
    <t>Soma de Total 2021</t>
  </si>
  <si>
    <t>Soma de Total 2022</t>
  </si>
  <si>
    <t>Soma de Total
2018/22</t>
  </si>
  <si>
    <t>--</t>
  </si>
  <si>
    <t>MG</t>
  </si>
  <si>
    <t>Leonardo Victoretti , Mateus Trevisani, Diego Thadeu 31-3535-7617
SIT-944 351</t>
  </si>
  <si>
    <t>MG00818</t>
  </si>
  <si>
    <t>INFR.131.02218</t>
  </si>
  <si>
    <t>AQUISIÇÃO DE EQUIPAMENTO GERAL PARA MG</t>
  </si>
  <si>
    <t>TI05818</t>
  </si>
  <si>
    <t>TINV.18.G.042.SB</t>
  </si>
  <si>
    <t>GR00118</t>
  </si>
  <si>
    <t>Aquisição da Câmara Climática</t>
  </si>
  <si>
    <t>INFR.341.01918</t>
  </si>
  <si>
    <t>Aquisição de Extintores de Incêndio - SE's Cemig D - Regionais Leste e Vale do Aço</t>
  </si>
  <si>
    <t>TI05418</t>
  </si>
  <si>
    <t>TINV.18.D.054.DM</t>
  </si>
  <si>
    <t>TI05518</t>
  </si>
  <si>
    <t>TINV.18.D.054.EP</t>
  </si>
  <si>
    <t>TI05618</t>
  </si>
  <si>
    <t>TINV.18.D.054.ME</t>
  </si>
  <si>
    <t>TI05718</t>
  </si>
  <si>
    <t>Projeto Compartilhamento de Infraestrutura</t>
  </si>
  <si>
    <t>TINV.18.D.042.CI</t>
  </si>
  <si>
    <t>SC00618</t>
  </si>
  <si>
    <t>INFR.342.02418</t>
  </si>
  <si>
    <t xml:space="preserve">DANILO SOARES DA SILVA </t>
  </si>
  <si>
    <t>SC00718</t>
  </si>
  <si>
    <t>INFR.342.02518</t>
  </si>
  <si>
    <t>Registrador eletrônico de ponto</t>
  </si>
  <si>
    <t>AD/AC</t>
  </si>
  <si>
    <t>AD/AD</t>
  </si>
  <si>
    <t>CE00118</t>
  </si>
  <si>
    <t>INFR.342.02618</t>
  </si>
  <si>
    <t>Aquisição de Equipamento Geral p/ MG</t>
  </si>
  <si>
    <t>TI06118</t>
  </si>
  <si>
    <t xml:space="preserve">Solução de Firewall Check Point </t>
  </si>
  <si>
    <t>TINV.18.T.054.FW</t>
  </si>
  <si>
    <t>TI05918</t>
  </si>
  <si>
    <t>TINV.18.D.054.RO</t>
  </si>
  <si>
    <t>Projeto Compartilhamento de Infraestrutura (antigo Projeto Uso Mútuo)</t>
  </si>
  <si>
    <t>Real até maio</t>
  </si>
  <si>
    <t>GE01118</t>
  </si>
  <si>
    <t>INFR.342.02018</t>
  </si>
  <si>
    <t>Fábio</t>
  </si>
  <si>
    <t>Pedro Alberto</t>
  </si>
  <si>
    <t>CD/GP</t>
  </si>
  <si>
    <t>MG/TR</t>
  </si>
  <si>
    <t>Evolução SGCP - Sistema de Gestão e Controle de Patrocínio</t>
  </si>
  <si>
    <t>Desenvolvimento de novas funcionalidades no sistema SGCP; Adequação do processo de gestão dos patrocínios na empresa.</t>
  </si>
  <si>
    <t>Obsolescência da solução de gestão de patrocínios da empresa; Ocorrência de erros que podem gerar inconformidades; Falta de compatibilidade do sistema com os processos vigentes na empresa.</t>
  </si>
  <si>
    <t xml:space="preserve"> Nº de Equipamentos </t>
  </si>
  <si>
    <t>Aquisição de solução e ativos de Rede IP para reestruturação das DMZs das redes Corporativa e Operativa da Cemig; Atualização tecnológica da solução, que garante segmentação de redes para prover segurança contra ataques cibernéticos.</t>
  </si>
  <si>
    <t>Indisponibilidade de sistemas críticos, provocada por ataques cibernéticos; Indisponibilidade de sistemas críticos, provocada porfalhas em equipamentos desatualizados e sem suporte do fabricante; Roubo de informações críticas em decorrência de ataques cibernéticos.</t>
  </si>
  <si>
    <t>Evolução Portal Cemig (Sharepoint)</t>
  </si>
  <si>
    <t>Reconstrução do Portal Cemig na internet</t>
  </si>
  <si>
    <t>Pontes fase 2 - Aquisição de Routers para eliminação de Terminais Servers</t>
  </si>
  <si>
    <t>Aquisição de Solução de Rede (Roteadores)  para construção de Rede de dados (MERIT) no  triangulo Mineiro e região  Metropolitana; Objetiva a posterior descontratação de links de dados das regiões triângulo e metropolitana, com redução de custos; A rede construida garantirá links de  maior disponibilidade e desempenho, garantindo em consequência maior disponibilidade e desemenho para as aplicações Operativas e Corporativas que por ela trafegarem.</t>
  </si>
  <si>
    <t>Desenvolvimento de um Front Ende para o Portal Médico; Acesso a laudos e informações médicas por meio da internet.</t>
  </si>
  <si>
    <t>Aquisição e implantação de equipamentos para atualização tecnológica de estruturas de redes Operativas e Corporativas envolvendo Rede Subterrânea e SCADA; Melhoria da disponibilidade e do desempenho de estruturas de rede que suportam aplicações críticas.</t>
  </si>
  <si>
    <t>Licenças WARPZ de otimização de programas no ambiente SAP</t>
  </si>
  <si>
    <t>Otimização do processamento no ambiente SAP, realizado por programas ABAP utilizando  20 licenças  do produto WARPZ , com o objetivo de reduzir o tempo de execução dos programas, menor necessidade de hardwares como memorias e processadores.</t>
  </si>
  <si>
    <t>Solução para gestão do compartilhamento de infraestrutura entre distribuidoras e prestadoras de serviços de telecomunicações; Criar uma ferramenta computacional que ofereça suporte geográfico para gestão do compartilhamento de infraestrutura; Integrar diversas soluções utilizadas para gestão do compartilhamento de infraestrutura; Atender obrigação regulatória de disponibilizar dados georreferenciados das infraestruturas disponíveis para compartilhamento (RC004/2014).</t>
  </si>
  <si>
    <t>Diminuição do acesso ao site da empresa na internet; Time out nas solicitações para processamento das informações.</t>
  </si>
  <si>
    <t>Indisponibilidade de aplicações Operativas em função de falhas de rede; Gastos que poderiam ser evitados com canais de comunicação de Operadoras.</t>
  </si>
  <si>
    <t>Utilização de papel no envio das informações; Maior tempo para a divulgação das informações aos interessados; Extravios e acesso indevido às informações pessoais.</t>
  </si>
  <si>
    <t>Indisponibilidade de estruturas Operativas e Corporativas  em função de falhas de rede e falta de equipamentos Reserva para substituição; Indisponibilidade de estruturas Operativas e Corporativas  em função de falhas  de equipamentos por obsolescência.</t>
  </si>
  <si>
    <t>Necessitar maior investimento em hardware de processamento; Ocorrer frequentemente reclamação em função de problema de desempenho no processo on-line provocado por atraso no processamento da Janela batch;</t>
  </si>
  <si>
    <t>Risco regulatório por não atendimento da resolução (RC004/2014); Perda de oportunidade de melhoria da base cadastral de compartilhamento de infraestrutura; Possível perda de receita devido falta de ferramentas para gestão do compartilhamento de infraestrutura.</t>
  </si>
  <si>
    <t>N° Sistemas/Versões/Releases Implantadas</t>
  </si>
  <si>
    <t>Pontos de Função</t>
  </si>
  <si>
    <t>Licenciamento</t>
  </si>
  <si>
    <t>N° de Licenças</t>
  </si>
  <si>
    <t>UST</t>
  </si>
  <si>
    <t xml:space="preserve"> N° de Firewalls </t>
  </si>
  <si>
    <t>NA1</t>
  </si>
  <si>
    <t>Utilização do Sistema de Mobilidade SIGGA Brizzo nos Processos de Execução da Manutenção de Geração e Transmissão, integrado ao ECC (SAP) através de linguagem SAP (ABAP - RFC), garantindo maior estabilidade sem a necessidade de camada intermediária de PI; Permitir plena utilização de Ordens de Manutenção e Notas de Manutenção, confirmação de HH manualmente ou automaticamente, etc.</t>
  </si>
  <si>
    <t>A proposta atual da SIGGA para o Sistema de Mobilidade brizzo é bastante atrativa para a CEMIG, principalmente quando se compara com o custo SAP, que é 924,87% maior: Custo SIGGA por licença (mês): R$ 66,67; Custo SAP por licença (mês): R$ 616,58.; Risco regulatório de multa da ANEEL principalmente na Transmissão pala deficiencia na gestão dos planos de manutenção em consonancia com a ReN 669.</t>
  </si>
  <si>
    <t xml:space="preserve">Atualizações de versão de software para Solução de Firewall Check Point </t>
  </si>
  <si>
    <t>Proteção do ambiente corporativo da CEMIG contra ataques, invasões oriundas da Internet e terceiros; Autorização e controle de acesso remoto ao ambiente corporativo; Garantir a comunicação da Cemig com a CCEE e com os grandes consumidores de energia da Cemig.</t>
  </si>
  <si>
    <t>Aparelho para serviços de telefonia via satélite.</t>
  </si>
  <si>
    <t>Exposição inadequada das informações da Cemig; Contaminação dos dados da Rede Corporativa; Indisponibilidade de sistemas corporativos.</t>
  </si>
  <si>
    <t>Licenciamento Microsoft G</t>
  </si>
  <si>
    <t>Licenciamento Microsoft H</t>
  </si>
  <si>
    <t>Licenciamento HEXAGON G</t>
  </si>
  <si>
    <t>Licenciamento de Softwares (Oracle) D</t>
  </si>
  <si>
    <t>Licenciamento de Softwares (Oracle) G</t>
  </si>
  <si>
    <t>Modernização do Parque Microinformática (CORPORATIVO) D</t>
  </si>
  <si>
    <t>Modernização do Parque Microinformática (CORPORATIVO) G</t>
  </si>
  <si>
    <t>Modernização do Parque Microinformática (CORPORATIVO) T</t>
  </si>
  <si>
    <t>Modernização do Parque Microinformática (CORPORATIVO) H</t>
  </si>
  <si>
    <t>Evolução e Sustentação SAP TI03217</t>
  </si>
  <si>
    <t>Evolução e Sustentação SAP TI00914</t>
  </si>
  <si>
    <t>Comunicação via Satélite (Telefonia)</t>
  </si>
  <si>
    <t>HP SERVICE MANAGER G</t>
  </si>
  <si>
    <t>HP SERVICE MANAGER D</t>
  </si>
  <si>
    <t>Distribuição - Ciclo 2018/2022</t>
  </si>
  <si>
    <t>Geração - Ciclo 2018/2022</t>
  </si>
  <si>
    <t>Transmissão - Ciclo 2018/2022</t>
  </si>
  <si>
    <t>Holding - Ciclo 2018/2022</t>
  </si>
  <si>
    <t>DGTH- Ciclo 2018/2022</t>
  </si>
  <si>
    <t>Justificativa de alteração do desembolso do projeto</t>
  </si>
  <si>
    <t>LAUDO</t>
  </si>
  <si>
    <t>ODI</t>
  </si>
  <si>
    <t>RC</t>
  </si>
  <si>
    <t>PC</t>
  </si>
  <si>
    <t>Planejamento
Atual</t>
  </si>
  <si>
    <t>(c)</t>
  </si>
  <si>
    <t>(c/b)</t>
  </si>
  <si>
    <t xml:space="preserve">(d) </t>
  </si>
  <si>
    <t>(e)=(c+d)</t>
  </si>
  <si>
    <t>(f)=(e/b)</t>
  </si>
  <si>
    <t>TI06618</t>
  </si>
  <si>
    <t>Comunicação via Satélite</t>
  </si>
  <si>
    <t>TINV.18.T.054.SA</t>
  </si>
  <si>
    <t>Aquisição de equipamento fotográfico para a CE</t>
  </si>
  <si>
    <t>TI06218</t>
  </si>
  <si>
    <t>TINV.18.D.042.PC</t>
  </si>
  <si>
    <t>TI06318</t>
  </si>
  <si>
    <t xml:space="preserve"> TINV.18.D.042.SG</t>
  </si>
  <si>
    <t>TI06418</t>
  </si>
  <si>
    <t>TINV.18.D.042.SS</t>
  </si>
  <si>
    <t>TI06518</t>
  </si>
  <si>
    <t>TINV.18.D.054.FI</t>
  </si>
  <si>
    <t>Projeto com início previsto para 2018 (R$ 1.513 mil) postergado para 2019 devido a dificuldades com adaptação dos implementos nos veículos disponíveis e diferença de prazo de entrega, que era 60 dias e nos novos orçamentos foi de 150.</t>
  </si>
  <si>
    <t>Alongamento da curva de desembolso.</t>
  </si>
  <si>
    <t>Emerson Sidney</t>
  </si>
  <si>
    <t>Aquisição de Equipamento Geral (câmera fotográfica) para EM</t>
  </si>
  <si>
    <t>EM00118</t>
  </si>
  <si>
    <t>EM00218</t>
  </si>
  <si>
    <t>INFR.341.02718</t>
  </si>
  <si>
    <t>INFR.342.02818</t>
  </si>
  <si>
    <t>Aquisição de veículo para MD para instalação de Sistema Veicular de Inspeção Termográfica e Visual para inspeção de subestações, redes e linhas aéreas.</t>
  </si>
  <si>
    <t xml:space="preserve">José Flávio </t>
  </si>
  <si>
    <t>Aquisição/Instalção de Porta Pallets em Igarapé</t>
  </si>
  <si>
    <t>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t>
  </si>
  <si>
    <t>Será feita uma compra internacional, cujo prazo de entrega após o processo licitatória é de 7 (sete) meses.</t>
  </si>
  <si>
    <t>Houve alteração de mercado em relação às opções até então disponíveis. Necessidade de prospectar novamente no mercado e construir a especificação técnica.</t>
  </si>
  <si>
    <t>Trata-se de desenvolvimento do produto.</t>
  </si>
  <si>
    <t>Alongamento da curva de desembolso, para atendimento à demanda financeira da empresa.</t>
  </si>
  <si>
    <t>Trata-se de um único projeto de obra, cujo desembolso é consecutivo, por isso precisou ser adiantada.</t>
  </si>
  <si>
    <t>Orçamento de mercado superior ao previsto em função de variação do dólar. O desembolso ocorre na entrega do pagamento, logo houve antecipação.</t>
  </si>
  <si>
    <t>Em 2018 haverá apenas a contratação de laudo técnico para avaliação da causa do problema e identificação de solução apropriada. A obra está prevista para 2019. Valor original: 350. Valor previsto com base em orçamentos de mercado: 400. A alteração de orçamento se deve à gravidade do problema que abrange parte da estrutura do telhado e dificuldade de identificação de solução mais apropriada.</t>
  </si>
  <si>
    <t>É necessário contratação de projeto para definição de solução a ser dada, devido à complexidade do problema. A contratação conjunta de projeto e obra pode gerar conflito de interesse e não é recomendada pela empresa. Desta forma, o projeto está previsto para 2018. No entanto, a obra será desembolsada apenas em 2019.</t>
  </si>
  <si>
    <t>Alongamento da curva de desembolso, para atendimento à demanda financeira da empresa em conjunto com dificuldade de rastreamento do projeto, devido a desligamento de empregado pelo PDVP sem gestão do conhecimento.</t>
  </si>
  <si>
    <t>Alongamento da curva de desembolso, para atendimento à demanda financeira da empresa. Além disso, está sendo elaborada pelo SC ata de registro de preços para obras, a fim de viabilizar execução dos trabalhos a partir de 2018.</t>
  </si>
  <si>
    <t>Projeto em planejamento, desembolso previsto apenas para 2019.</t>
  </si>
  <si>
    <t>Cancelamento do projeto, devido a nova iniciativa que vem a substituir sua demanda. Previsto recurso mais baixo para aquisição de catraca para reposição em interiores, até a implantação total do projeto.</t>
  </si>
  <si>
    <t>É necessário contratação de projeto executivo para realização de obras. O projeto está previsto para 2018. No entanto, a obra será desembolsada em 2019.</t>
  </si>
  <si>
    <t>Alongamento da curva de desembolso, para atendimento à demanda financeira da empresa. Além de necessidade de contratação de projeto anterior a obra, o que traz a necessidade de postergação do valor da obra.</t>
  </si>
  <si>
    <t>Necessidade de início dos serviços ainda em 2018. Parte do recurso foi antecipado em troca com planejamento previsto para o projeto "Substituição do sistema de abastecimento de água das unidades AR, CI, IT e SE-NA".</t>
  </si>
  <si>
    <t>Projeto PMT</t>
  </si>
  <si>
    <t>Sistemas de Ar Condicionado da Transmissora - Ses</t>
  </si>
  <si>
    <t>Tiago Leite</t>
  </si>
  <si>
    <t>Sistemas de Ar Condicionado SEs</t>
  </si>
  <si>
    <t>Notebooks Laboratório MS/QL</t>
  </si>
  <si>
    <t>Sistema de Controle de Jornada</t>
  </si>
  <si>
    <t>Software: Banco de Preço e Inteligência em Compras</t>
  </si>
  <si>
    <t>Software: Desenvolvimento BI</t>
  </si>
  <si>
    <t>Software: Chatbot de atendimento do cadastro de fornecedores</t>
  </si>
  <si>
    <t>Solução de QOS/Monitoramento de Rede</t>
  </si>
  <si>
    <t>Orçamento a ser priorizado pela DDC</t>
  </si>
  <si>
    <t>Otimização dos Ativos de Betim</t>
  </si>
  <si>
    <t>TI06818</t>
  </si>
  <si>
    <t>TINV.18.G.042.OS</t>
  </si>
  <si>
    <t>TI07218</t>
  </si>
  <si>
    <t>Licenciamento Microsoft</t>
  </si>
  <si>
    <t>TINV.18.G.045.MS</t>
  </si>
  <si>
    <t>TI06718</t>
  </si>
  <si>
    <t>TINV.18.D.045.TF</t>
  </si>
  <si>
    <t>TI07018</t>
  </si>
  <si>
    <t>TINV.18.D.045.MS</t>
  </si>
  <si>
    <t>TI07118</t>
  </si>
  <si>
    <t>TINV.18.H.045.MS</t>
  </si>
  <si>
    <t>Real até mai/18</t>
  </si>
  <si>
    <t>Plan jun/18</t>
  </si>
  <si>
    <t>Plan jul/18</t>
  </si>
  <si>
    <t>Plan ago/18</t>
  </si>
  <si>
    <t>Plan set/18</t>
  </si>
  <si>
    <t>Plan out/18</t>
  </si>
  <si>
    <t>Plan nov/18</t>
  </si>
  <si>
    <t>Plan dez/18</t>
  </si>
  <si>
    <t>Negócio/Macroprojeto</t>
  </si>
  <si>
    <t>Karla Louise</t>
  </si>
  <si>
    <t>Econômico</t>
  </si>
  <si>
    <t>Financeiro</t>
  </si>
  <si>
    <t>Real até junho/18</t>
  </si>
  <si>
    <t>Plan jan/19</t>
  </si>
  <si>
    <t>Plan fev/19</t>
  </si>
  <si>
    <t>Plan mar/19</t>
  </si>
  <si>
    <t>Plan abr/19</t>
  </si>
  <si>
    <t>Plan mai/19</t>
  </si>
  <si>
    <t>Plan jun/19</t>
  </si>
  <si>
    <t>Otimização dos Ativos de Lavras</t>
  </si>
  <si>
    <t>3CPOGE01118</t>
  </si>
  <si>
    <t>Sistema Multiponto</t>
  </si>
  <si>
    <t>Distribuição - 2018 (Apenas projetos DDC)</t>
  </si>
  <si>
    <t>José Luciano</t>
  </si>
  <si>
    <t>Aquisição de Equipamento Geral para Diretoria</t>
  </si>
  <si>
    <t>Órgão Resp</t>
  </si>
  <si>
    <t>Demandante</t>
  </si>
  <si>
    <t>Franco Menho Silva</t>
  </si>
  <si>
    <t>PO/PE</t>
  </si>
  <si>
    <t>Ivan Sérgio Carneiro</t>
  </si>
  <si>
    <t>MG/CT</t>
  </si>
  <si>
    <t>Elisete Dias Costa Miranda</t>
  </si>
  <si>
    <t>Alexsandro Teixeira Gomes</t>
  </si>
  <si>
    <t>Antônio Carlos Arantes</t>
  </si>
  <si>
    <t>José Maria Nascimento Filho</t>
  </si>
  <si>
    <t>Diogo Martins</t>
  </si>
  <si>
    <t>Adriana de Castro Passos Martins</t>
  </si>
  <si>
    <t>Diego Balbi</t>
  </si>
  <si>
    <t>ALEXANDRE VAZ DE MELO</t>
  </si>
  <si>
    <t>Daniel Bretas</t>
  </si>
  <si>
    <t>PE/OS</t>
  </si>
  <si>
    <t>Cleber Esteves Sacramento</t>
  </si>
  <si>
    <t>Marisa Lages Murta</t>
  </si>
  <si>
    <t>Sandro de Castro Assis - 3506-2967</t>
  </si>
  <si>
    <t>Rodrigo Otávio Carneiro Moreira
3506 2966</t>
  </si>
  <si>
    <t>Reginaldo de Almeida Silva
3506-2964</t>
  </si>
  <si>
    <t>CD/GI</t>
  </si>
  <si>
    <t>Luiz Augusto Costa</t>
  </si>
  <si>
    <t>RH/AP</t>
  </si>
  <si>
    <t>Paulo Cesar Soares</t>
  </si>
  <si>
    <t>Amantino Alves da Costa</t>
  </si>
  <si>
    <t>TI, PS e MS</t>
  </si>
  <si>
    <t>Leandro Corrêa de Castro - PS/ES</t>
  </si>
  <si>
    <t>Ormindo Filho</t>
  </si>
  <si>
    <t>Instrumentos da Distribuidora - Equipe Campo</t>
  </si>
  <si>
    <t>Instrumentos de teste de equipamentos de telecomunicações.</t>
  </si>
  <si>
    <t>Demora no reparo dos equipamentos de telecomunicações e fibra óptica.</t>
  </si>
  <si>
    <t>Instrumentos da Transmissora - Equipe Campo</t>
  </si>
  <si>
    <t>Aquisição de Instrumentos da Transmissora para suporte e manutenção em estações de comunicação</t>
  </si>
  <si>
    <t>Órgão Demandante</t>
  </si>
  <si>
    <t>Postergação do desembolso para adequação da curva de investimento.</t>
  </si>
  <si>
    <t>Revisão do valor em virtude do balizamento de preços.</t>
  </si>
  <si>
    <t>Revisão do escopo do projeto, considerando necessidade do sistema pela área usuária.</t>
  </si>
  <si>
    <t>Revisão de escopo do projeto, considerando a necessidade de atualização dos servidores.</t>
  </si>
  <si>
    <t>Revisão de escopo do projeto, considerando ganho obtido na contratação.</t>
  </si>
  <si>
    <t>Revisão do escopo do projeto, incorporando ganhos obtidos na negociação do licenciamento.</t>
  </si>
  <si>
    <t>Postergação do desembolso, conforme estratégia de contratação/renovação dos produtos licenciados.</t>
  </si>
  <si>
    <t>Revisão do escopo do projeto, conforme demanda da área usuária.</t>
  </si>
  <si>
    <t>Revisão do escopo do projeto, com postergação do desembolso conforme cronograma de execução.</t>
  </si>
  <si>
    <t>Demanda incorporada à carteira, considerando remanejamento entre projetos.</t>
  </si>
  <si>
    <t>Revisão do escopo do projeto.</t>
  </si>
  <si>
    <t>Revisão do escopo do projeto alinhada com a proposta de redução dos cabos OPGW das subestações, bem como nos escritórios da MT e MG devido à entrega das concessões das usinas no Triângulo.</t>
  </si>
  <si>
    <t>Revisão do escopo do projeto, conforme novas demandas de equipamentos.</t>
  </si>
  <si>
    <t>Revisão do escopo do projeto, conforme definições da estrutura de segurança e conectividade.</t>
  </si>
  <si>
    <t>Demanda incorporada à carteira, considerando a estratégia de contratação do serviço de Data Center.</t>
  </si>
  <si>
    <t>Postergação do desembolso em virtude de atraso na implantação/integração com o GDIS 2.0.</t>
  </si>
  <si>
    <t>Revisão do escopo do projeto, considerando as demandas dos canais de atendimento virtuais e comunicação bancária.</t>
  </si>
  <si>
    <t>Antecipação do desembolso, conforme necessidade de atualização do sistema.</t>
  </si>
  <si>
    <t>Revisão do escopo do projeto, conforme demandas de sustentação e evolução dos ambientes CCS, CRM, BW, BPC, BO e ECC (ERP).</t>
  </si>
  <si>
    <t>Revisão do escopo do projeto, conforme demandas do Plano de Resultados.</t>
  </si>
  <si>
    <t>Antecipação do desembolso de 2020 para atendimento da integração Atlântis.</t>
  </si>
  <si>
    <t>Revisão do escopo do projeto, considerando as demandas de geoprocessamento.</t>
  </si>
  <si>
    <t>Revisão de escopo. Antecipação de desembolso em virtude de requisito de segurança de rede.</t>
  </si>
  <si>
    <t>Revisão do cronograma de desembolso, considerando demandas do GDIS 2.0.</t>
  </si>
  <si>
    <t>Antecipação do desembolso, conforme necessidade do sistema pela área usuária.</t>
  </si>
  <si>
    <t>Revisão do escopo do projeto, conforme requisitos de desenvolvimento do Sistema FROTA.</t>
  </si>
  <si>
    <t>Desenvolvimento CRM DCM – Plataforma Sales Force</t>
  </si>
  <si>
    <t>Aquisição de Ferramentas para EM</t>
  </si>
  <si>
    <t>Aquisição de Equipamento Geral para EM</t>
  </si>
  <si>
    <t>TI07318</t>
  </si>
  <si>
    <t>Central Telefônica - Upgrade BCT</t>
  </si>
  <si>
    <t>TINV.18.D.054.CT</t>
  </si>
  <si>
    <t>Aquisição/Instalação de Porta Pallets no CDA Igarapé</t>
  </si>
  <si>
    <t>INFR.341.03018</t>
  </si>
  <si>
    <t>EA00118</t>
  </si>
  <si>
    <t xml:space="preserve">Afonso Vanderlei Nunes Barbosa EA/EP
Beline Q. A. Fonseca EA/EO
José William Campomizzi EA/EL
</t>
  </si>
  <si>
    <t>EA</t>
  </si>
  <si>
    <t>Aquisição de um par de Receptor GPS de dupla frequência L1/L2 - RTK  – Incluindo software de descarregamento e transformação dos dados brutos para formato RINEX e seus acessórios 
Aquisição de uma estação total e seus acessórios  (mira, tripé, bolsae caixa de transporte, baliza e bastão de aluminio, baterias, controladora e trena eletrônica)
Aquisição de 4 Notebook´s para utilização dos técnicos de automação e comissionamento (2 Xomni e 2 Softer analisador de protocolo) 
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
Substituição de dois notebooks obsoletos (Agnaldo Neves e Ricardo Dourado).
Aquisição de 4 máquinas fotográficas digital com Zoom ótico maior que 28X</t>
  </si>
  <si>
    <t>Aumento do custo de mão-obra própria com o uso das tecnologias atuais;
Aumento do riscos de má qualidade do projetos;
Risco de atraso nas obras;
Dependencia de software  e hardware (Notebooks) das equipes de manutenção regional que nem sempre estao disponiveis .
Contribui para a morosidade na tomada de decisão do engenheiro de obra.
Demora na disponibilização de informações de campo e prestação de contas em sistemas corporativos.
A fiscalização, no solo, da montagem de estrturas em LD´s , pórticos etc.. Durante o pre-comissionamento, ocasionando o retrabalho do comissionamento das equipes de LD´s regionais.</t>
  </si>
  <si>
    <t>Aquisição de Ferramentas para EA
Junção dos seguintes projetos:
Modernização do parque tecnológio da EA/EP para serviços geodésicos.
Modernização do parque tecnológio da EA/EP para serviços topográficos
Aquisição de 4 computadores  Notebook.
Aquisição de Smartfone para os fiscais de obra, com recurso de internet e boa resolução para registro fotográfico, acesso em campo aos sistemas GESET e GEDEX.
Aquisição de 2 computadores do tipo Notebook.
Aquisição de uma máquina fotográfica Semi profissional</t>
  </si>
  <si>
    <t>INFR.341.02918</t>
  </si>
  <si>
    <t>AD00118</t>
  </si>
  <si>
    <t>Aquisição de Ferramentas p/ AD/AD</t>
  </si>
  <si>
    <t>Aquisição de Ferramentas p/ EA</t>
  </si>
  <si>
    <t>Aquisição de Ferramentas p/ EM</t>
  </si>
  <si>
    <t>Rafael Pimenta F Filho</t>
  </si>
  <si>
    <t>GR/MP</t>
  </si>
  <si>
    <t>Aquisição de software para a GR</t>
  </si>
  <si>
    <t>Aquisição de Ferramentas para a AD/AD
Junção dos seguintes projetos:
Equipamento analisador de nível de sinal celular - AQS 
Ferramentas e equipamentos para Laboratório de testes de equipamentos  em Uberlândia</t>
  </si>
  <si>
    <t>Elevação de custos de OPEX com serviço de campo para  manutenção do pontos que apresentam baixa performance para operação do COD.  Não será capturado melhoria dos indicadores de qualidade, dentre eles o DEC
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t>
  </si>
  <si>
    <t>Aquisição de 25 equipamento analisador de nível de sinal celular - AQS 
Aquisição de equipamentos para testes em equipamentos de rede em Uberlândia (Fonte de corrente 300A,Hipots 10kV, Alicates volt amperímetro CAT IV e fontes de tensão VCC estabilizada)</t>
  </si>
  <si>
    <t>TI07418</t>
  </si>
  <si>
    <t>Aquisição de Software analisador de protocolos</t>
  </si>
  <si>
    <t>TINV.18.D.045.AP</t>
  </si>
  <si>
    <t>TI07518</t>
  </si>
  <si>
    <t>Licenciamento NIX</t>
  </si>
  <si>
    <t>TINV.18.D.042.NI</t>
  </si>
  <si>
    <t>TI07618</t>
  </si>
  <si>
    <t>TINV.18.H.762.SF</t>
  </si>
  <si>
    <t>MD</t>
  </si>
  <si>
    <t>Fabio Henrique de Souza</t>
  </si>
  <si>
    <t>SC00918</t>
  </si>
  <si>
    <t>INFR.342.03218</t>
  </si>
  <si>
    <t>SC00818</t>
  </si>
  <si>
    <t>INFR.342.03118</t>
  </si>
  <si>
    <t>Aquisição de carrinho para a cozinha da Diretoria</t>
  </si>
  <si>
    <t>Aquisição de carrinho para a cozinha da Diretoria visando melhorar a infraestrutura da cozinha e dos serviços prestados à Diretoria</t>
  </si>
  <si>
    <t>Queda na qualidade do atendimento à Diretoria</t>
  </si>
  <si>
    <t>Marcos dos projetos de 2018</t>
  </si>
  <si>
    <t>TI08018</t>
  </si>
  <si>
    <t>Bancos de Baterias da Geradora</t>
  </si>
  <si>
    <t>TINV.18.G.054.BC</t>
  </si>
  <si>
    <t>TI07918</t>
  </si>
  <si>
    <t>TINV.18.D.054.BC</t>
  </si>
  <si>
    <t>TI03017</t>
  </si>
  <si>
    <t>Atualização Hardware IBM</t>
  </si>
  <si>
    <t>TINV.17.D.045.HI</t>
  </si>
  <si>
    <t>INFR.131.03518</t>
  </si>
  <si>
    <t>MS00118</t>
  </si>
  <si>
    <t>INFR.342.03318</t>
  </si>
  <si>
    <t>SC01018</t>
  </si>
  <si>
    <t>Carrinhos p/ Cozinha da Diretoria</t>
  </si>
  <si>
    <t>Substituição do telhado do CRIU de Uberlândia</t>
  </si>
  <si>
    <t>TI08218</t>
  </si>
  <si>
    <t>Evolução do Sistema MECE - Centro de Medição</t>
  </si>
  <si>
    <t>TINV.18.D.042.MC</t>
  </si>
  <si>
    <t>(b/a)</t>
  </si>
  <si>
    <t xml:space="preserve">(c) </t>
  </si>
  <si>
    <t>(d)=(b+c)</t>
  </si>
  <si>
    <t>(e)=(d/a)</t>
  </si>
  <si>
    <t>% REALIZADO</t>
  </si>
  <si>
    <t>30.07.2018</t>
  </si>
  <si>
    <t>% DISPOSTO
(REAL+COMPROMISSO)</t>
  </si>
  <si>
    <t>SC01218</t>
  </si>
  <si>
    <t>Aquisição de recursos pedagógicos para Univercemig - RH00218</t>
  </si>
  <si>
    <t>Aquisição 1 dinamômetro 2 Ton para atendimento NR35</t>
  </si>
  <si>
    <t>Aquisição  1 alicate mili-amperímetro de processo</t>
  </si>
  <si>
    <t>Ferramenta necessária para cumprimento dos requisitis da NR35 na checagem de pontos de ancoragem.</t>
  </si>
  <si>
    <t>Ferramenta utilizada na medição de corrente sem necessidade de rompimento de cabos, aumentando a eficiência e reduzindo os riscos de acidentes.</t>
  </si>
  <si>
    <t>GE/PC</t>
  </si>
  <si>
    <t>Viviane Fernanda</t>
  </si>
  <si>
    <t>Saldo 1-3-6 Ferramentas da Geração</t>
  </si>
  <si>
    <t>Luiz Augusto</t>
  </si>
  <si>
    <t>Equipamentos de Uso Geral</t>
  </si>
  <si>
    <t>INFR.131.01018</t>
  </si>
  <si>
    <t>TI07818</t>
  </si>
  <si>
    <t>Sistemas de Ar Condicionado da Transmissora</t>
  </si>
  <si>
    <t>TINV.18.T.045.AR</t>
  </si>
  <si>
    <t>MT50118</t>
  </si>
  <si>
    <t>Aquisição de Ferramentas 2019</t>
  </si>
  <si>
    <t>INAT/19/FE</t>
  </si>
  <si>
    <t>Aquisição de equipamentos para o laboratório de ensaios do novo CDM</t>
  </si>
  <si>
    <t>TI07718</t>
  </si>
  <si>
    <t>Sistemas de Ar Condicionado - Ses</t>
  </si>
  <si>
    <t>TINV.18.D.045.AR</t>
  </si>
  <si>
    <t>Alex de Assis</t>
  </si>
  <si>
    <t>TI08318</t>
  </si>
  <si>
    <t>Sant Clair</t>
  </si>
  <si>
    <t>Aquisição de Equipamento Geral para GE/PC</t>
  </si>
  <si>
    <t>Licenciamento ASPEN</t>
  </si>
  <si>
    <t>Software: Gestão de Suprimentos - ARIBA</t>
  </si>
  <si>
    <t>RH</t>
  </si>
  <si>
    <t>Daniel Macedo</t>
  </si>
  <si>
    <t>MS</t>
  </si>
  <si>
    <t>Pablo</t>
  </si>
  <si>
    <t>Arquivo deslizante - readequação do arquivo da MS/CS e MS/MT</t>
  </si>
  <si>
    <t>AQUISIÇÃO DE FERRAMENTAS MT 2019</t>
  </si>
  <si>
    <t>Saldo 1-3-1 Edificações G</t>
  </si>
  <si>
    <t>Aquisição de ferramentas de manutenção diversas 2018 - MT01017</t>
  </si>
  <si>
    <t>AQUISIÇÃO DE FERRAMENTAS MT SALDO NA 2019 e 2020</t>
  </si>
  <si>
    <t>SC01318</t>
  </si>
  <si>
    <t>INFR.342.03618</t>
  </si>
  <si>
    <t>Saldo 3-4-1 Ferramentas D</t>
  </si>
  <si>
    <t>Saldo 3-4-2 Edificações D</t>
  </si>
  <si>
    <t>GE01418</t>
  </si>
  <si>
    <t>INFR.342.03718</t>
  </si>
  <si>
    <t>Assistente Virtual (Chatbot) para Cadastro de Fornecedores da Cemig</t>
  </si>
  <si>
    <t>TINV.18.D.042.CH</t>
  </si>
  <si>
    <t>TI08418</t>
  </si>
  <si>
    <t>Desenvolvimento de painéis na plataforma de BI Qlik Sense</t>
  </si>
  <si>
    <t>TINV.18.D.042.QS</t>
  </si>
  <si>
    <t xml:space="preserve">Desenvolvimento de painéis na plataforma de BI Qlik Sense </t>
  </si>
  <si>
    <t>Programa de Substituição e Modernização de Ferramentas MD/CS 2018</t>
  </si>
  <si>
    <t>Programa de Substituição e Modernização de Ferramentas MD/CS - NA</t>
  </si>
  <si>
    <t>Aquisição de Equipamento Geral - Ar Condicionado, Bebedouro, Projetor e Microondas - Distribuição - NA</t>
  </si>
  <si>
    <t>Atualizado em 28/06/2018</t>
  </si>
  <si>
    <t>PDs</t>
  </si>
  <si>
    <t>Planejamento Atual</t>
  </si>
  <si>
    <t>Diferença (Planejamento Atual - PDs)</t>
  </si>
  <si>
    <t xml:space="preserve">Geração  </t>
  </si>
  <si>
    <t xml:space="preserve">Tansmissão </t>
  </si>
  <si>
    <t>Planejamento
Original - PD</t>
  </si>
  <si>
    <t>Registrador eletrônico de ponto - Geração</t>
  </si>
  <si>
    <t xml:space="preserve">Aquisição de Equipamentos Geral GE/PC </t>
  </si>
  <si>
    <t>TI08518</t>
  </si>
  <si>
    <t>Mobilidade - Sistema para Projeto, Execução e Recebimento de Obras com Equipamento Móvel em Campo</t>
  </si>
  <si>
    <t>TINV.18.D.042.MO</t>
  </si>
  <si>
    <t>SC01418</t>
  </si>
  <si>
    <t>MG50118</t>
  </si>
  <si>
    <t>INFR.136.03918</t>
  </si>
  <si>
    <t>Aquisição de Ferramentas para a MG</t>
  </si>
  <si>
    <t>Ver guia Junção de Projetos</t>
  </si>
  <si>
    <t>Aquisição de 02 Notebooks UTIG</t>
  </si>
  <si>
    <t>Aquisição de Ferramentas - MG</t>
  </si>
  <si>
    <t>Execução de 2 Muros de Arrimo no Anel Rodoviário</t>
  </si>
  <si>
    <t>INFR.231.04018</t>
  </si>
  <si>
    <t>TI08618</t>
  </si>
  <si>
    <t>Desenvolvimento de Solução Computacional para o PMT - Plano de Melhoria da Transmissora</t>
  </si>
  <si>
    <t>TINV.18.T.042.PM</t>
  </si>
  <si>
    <t>AD00218</t>
  </si>
  <si>
    <t>Aquisição de medidores de qualidade de energia classe A - Procedimentos de Rede e PRODIST</t>
  </si>
  <si>
    <t>INFR.341.04218</t>
  </si>
  <si>
    <t>3CPOSC00918</t>
  </si>
  <si>
    <t>MD00418</t>
  </si>
  <si>
    <t>Aquisição de Veículo para MD</t>
  </si>
  <si>
    <t>INFR.346.03818</t>
  </si>
  <si>
    <t>Aquisição de medidores de qualidade de energia classe A para atendimento aos requisitos dos Procedimentos de Rede e da revisão 8 do Módulo 8 do PRODIST.  - NA</t>
  </si>
  <si>
    <t>Aquisição de medidores de qualidade de energia classe A para atendimento aos requisitos dos Procedimentos de Rede e da revisão 8 do Módulo 8 do PRODIST. - AD00218</t>
  </si>
  <si>
    <t>Registrador eletrônico de ponto - Distribuição - SC00718</t>
  </si>
  <si>
    <t>GE01518</t>
  </si>
  <si>
    <t>INFR.342.04118</t>
  </si>
  <si>
    <t>GE01618</t>
  </si>
  <si>
    <t>GE01718</t>
  </si>
  <si>
    <t>Reforma da Edificação do CDA Betim</t>
  </si>
  <si>
    <t>INFR.342.04618</t>
  </si>
  <si>
    <t>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
Executar obras que compreendem na construção de: cerca de divisa, almoxarifado, sistema de esgotamento sanitário, baias de sucatas e portaria.</t>
  </si>
  <si>
    <t>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
Adaptação de uma edificação utilizada como Quiosque no imóvel, por meio de uma reforma civil, para a instalação e funcionamento de um Almoxarifado para armazenamento de equipamentos de manutenção da MD local, possibilitando a desocupação de uma das edificações existentes na área a ser alienada.</t>
  </si>
  <si>
    <t>PIRE/18/0342</t>
  </si>
  <si>
    <t>PIRE/18/0001</t>
  </si>
  <si>
    <t>PIRE/18/REBT</t>
  </si>
  <si>
    <t>SC01518</t>
  </si>
  <si>
    <t>INFR.131.04418</t>
  </si>
  <si>
    <t>MS00218</t>
  </si>
  <si>
    <t>INFR.342.04518</t>
  </si>
  <si>
    <t>TI08718</t>
  </si>
  <si>
    <t>TINV.18.D.054.CM</t>
  </si>
  <si>
    <t>TI08818</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</si>
</sst>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1" formatCode="_-* #,##0_-;\-* #,##0_-;_-* &quot;-&quot;_-;_-@_-"/>
    <numFmt numFmtId="43" formatCode="_-* #,##0.00_-;\-* #,##0.00_-;_-* &quot;-&quot;??_-;_-@_-"/>
    <numFmt numFmtId="164" formatCode="_-* #,##0_-;\-* #,##0_-;_-* &quot;-&quot;??_-;_-@_-"/>
    <numFmt numFmtId="165" formatCode="_(* #,##0.00_);_(* \(#,##0.00\);_(* &quot;-&quot;??_);_(@_)"/>
    <numFmt numFmtId="166" formatCode="0.000%"/>
    <numFmt numFmtId="167" formatCode="_-* #,##0.0_-;\-* #,##0.0_-;_-* &quot;-&quot;??_-;_-@_-"/>
    <numFmt numFmtId="168" formatCode="dd/mm/yy;@"/>
    <numFmt numFmtId="169" formatCode="_(* #,##0_);_(* \(#,##0\);_(* &quot;-&quot;??_);_(@_)"/>
    <numFmt numFmtId="170" formatCode="0.000"/>
    <numFmt numFmtId="171" formatCode="_-* #,##0.00000000_-;\-* #,##0.00000000_-;_-* &quot;-&quot;_-;_-@_-"/>
    <numFmt numFmtId="172" formatCode="_-* #,##0.000_-;\-* #,##0.000_-;_-* &quot;-&quot;??_-;_-@_-"/>
    <numFmt numFmtId="173" formatCode="_-* #,##0.0000_-;\-* #,##0.0000_-;_-* &quot;-&quot;_-;_-@_-"/>
    <numFmt numFmtId="174" formatCode="_-* #,##0.00000_-;\-* #,##0.00000_-;_-* &quot;-&quot;_-;_-@_-"/>
    <numFmt numFmtId="175" formatCode="0.0%"/>
    <numFmt numFmtId="176" formatCode="_-* #,##0.0_-;\-* #,##0.0_-;_-* &quot;-&quot;_-;_-@_-"/>
    <numFmt numFmtId="177" formatCode="_-* #,##0_-;\-* #,##0_-;_-* &quot;-&quot;????_-;_-@_-"/>
    <numFmt numFmtId="178" formatCode="_-* #,##0.00000_-;\-* #,##0.00000_-;_-* &quot;-&quot;??_-;_-@_-"/>
    <numFmt numFmtId="179" formatCode="_-* #,##0.000_-;\-* #,##0.000_-;_-* &quot;-&quot;???_-;_-@_-"/>
    <numFmt numFmtId="180" formatCode="_-* #,##0.0000_-;\-* #,##0.0000_-;_-* &quot;-&quot;??_-;_-@_-"/>
  </numFmts>
  <fonts count="46" x14ac:knownFonts="1">
    <font>
      <sz val="11"/>
      <color theme="1"/>
      <name val="Calibri"/>
      <family val="2"/>
      <scheme val="minor"/>
    </font>
    <font>
      <sz val="10"/>
      <color theme="1"/>
      <name val="Arial"/>
      <family val="2"/>
    </font>
    <font>
      <b/>
      <sz val="10"/>
      <color theme="0"/>
      <name val="Arial"/>
      <family val="2"/>
    </font>
    <font>
      <b/>
      <sz val="10"/>
      <color theme="1"/>
      <name val="Arial"/>
      <family val="2"/>
    </font>
    <font>
      <sz val="9"/>
      <color indexed="81"/>
      <name val="Segoe UI"/>
      <family val="2"/>
    </font>
    <font>
      <b/>
      <sz val="10"/>
      <name val="Arial"/>
      <family val="2"/>
    </font>
    <font>
      <sz val="11"/>
      <color theme="1"/>
      <name val="Arial"/>
      <family val="2"/>
    </font>
    <font>
      <b/>
      <sz val="11"/>
      <color theme="0"/>
      <name val="Arial"/>
      <family val="2"/>
    </font>
    <font>
      <b/>
      <sz val="16"/>
      <color theme="1"/>
      <name val="Arial"/>
      <family val="2"/>
    </font>
    <font>
      <sz val="10"/>
      <name val="Arial"/>
      <family val="2"/>
    </font>
    <font>
      <b/>
      <sz val="12"/>
      <name val="Arial"/>
      <family val="2"/>
    </font>
    <font>
      <b/>
      <sz val="11"/>
      <color theme="1"/>
      <name val="Calibri"/>
      <family val="2"/>
      <scheme val="minor"/>
    </font>
    <font>
      <sz val="11"/>
      <color theme="1"/>
      <name val="Calibri"/>
      <family val="2"/>
      <scheme val="minor"/>
    </font>
    <font>
      <sz val="10"/>
      <color rgb="FFFF0000"/>
      <name val="Arial"/>
      <family val="2"/>
    </font>
    <font>
      <sz val="10"/>
      <color rgb="FF000000"/>
      <name val="Arial"/>
      <family val="2"/>
    </font>
    <font>
      <b/>
      <sz val="9"/>
      <color indexed="81"/>
      <name val="Segoe UI"/>
      <family val="2"/>
    </font>
    <font>
      <sz val="11"/>
      <color theme="1"/>
      <name val="Arial Narrow"/>
      <family val="2"/>
    </font>
    <font>
      <b/>
      <sz val="11"/>
      <color theme="0"/>
      <name val="Arial Narrow"/>
      <family val="2"/>
    </font>
    <font>
      <b/>
      <sz val="14"/>
      <color theme="1"/>
      <name val="Arial Narrow"/>
      <family val="2"/>
    </font>
    <font>
      <b/>
      <sz val="11"/>
      <color theme="1"/>
      <name val="Arial Narrow"/>
      <family val="2"/>
    </font>
    <font>
      <b/>
      <sz val="10"/>
      <color theme="1"/>
      <name val="Arial Narrow"/>
      <family val="2"/>
    </font>
    <font>
      <b/>
      <sz val="11"/>
      <name val="Arial Narrow"/>
      <family val="2"/>
    </font>
    <font>
      <sz val="11"/>
      <name val="Arial Narrow"/>
      <family val="2"/>
    </font>
    <font>
      <sz val="10"/>
      <color rgb="FF0000FF"/>
      <name val="Arial"/>
      <family val="2"/>
    </font>
    <font>
      <sz val="10"/>
      <color theme="1"/>
      <name val="Arial Narrow"/>
      <family val="2"/>
    </font>
    <font>
      <b/>
      <sz val="11"/>
      <color rgb="FFFF0000"/>
      <name val="Arial Narrow"/>
      <family val="2"/>
    </font>
    <font>
      <b/>
      <sz val="16"/>
      <color theme="1"/>
      <name val="Arial Narrow"/>
      <family val="2"/>
    </font>
    <font>
      <b/>
      <sz val="10"/>
      <color theme="0"/>
      <name val="Arial Narrow"/>
      <family val="2"/>
    </font>
    <font>
      <sz val="11"/>
      <name val="Calibri"/>
      <family val="2"/>
      <scheme val="minor"/>
    </font>
    <font>
      <b/>
      <sz val="14"/>
      <color theme="1"/>
      <name val="Arial"/>
      <family val="2"/>
    </font>
    <font>
      <u/>
      <sz val="10"/>
      <name val="Arial"/>
      <family val="2"/>
    </font>
    <font>
      <b/>
      <u/>
      <sz val="10"/>
      <color theme="1"/>
      <name val="Arial"/>
      <family val="2"/>
    </font>
    <font>
      <b/>
      <sz val="8"/>
      <name val="Arial"/>
      <family val="2"/>
    </font>
    <font>
      <sz val="9"/>
      <name val="Arial"/>
      <family val="2"/>
    </font>
    <font>
      <b/>
      <sz val="11"/>
      <name val="Arial"/>
      <family val="2"/>
    </font>
    <font>
      <b/>
      <sz val="12"/>
      <color theme="1"/>
      <name val="Calibri"/>
      <family val="2"/>
      <scheme val="minor"/>
    </font>
    <font>
      <sz val="10"/>
      <color theme="1"/>
      <name val="Times New Roman"/>
      <family val="1"/>
    </font>
    <font>
      <sz val="11"/>
      <color rgb="FFFF0000"/>
      <name val="Calibri"/>
      <family val="2"/>
      <scheme val="minor"/>
    </font>
    <font>
      <b/>
      <sz val="14"/>
      <color theme="1"/>
      <name val="Calibri"/>
      <family val="2"/>
      <scheme val="minor"/>
    </font>
    <font>
      <sz val="10"/>
      <color theme="0"/>
      <name val="Arial"/>
      <family val="2"/>
    </font>
    <font>
      <sz val="9"/>
      <color indexed="81"/>
      <name val="Tahoma"/>
      <family val="2"/>
    </font>
    <font>
      <sz val="10"/>
      <color theme="0" tint="-0.499984740745262"/>
      <name val="Arial"/>
      <family val="2"/>
    </font>
    <font>
      <sz val="11"/>
      <color rgb="FF0000FF"/>
      <name val="Calibri"/>
      <family val="2"/>
      <scheme val="minor"/>
    </font>
    <font>
      <sz val="12"/>
      <color theme="1"/>
      <name val="Calibri"/>
      <family val="2"/>
      <scheme val="minor"/>
    </font>
    <font>
      <b/>
      <sz val="12"/>
      <color theme="0"/>
      <name val="Calibri"/>
      <family val="2"/>
      <scheme val="minor"/>
    </font>
    <font>
      <b/>
      <sz val="10"/>
      <color rgb="FFFF0000"/>
      <name val="Arial"/>
      <family val="2"/>
    </font>
  </fonts>
  <fills count="35">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0" tint="-4.9989318521683403E-2"/>
        <bgColor theme="4" tint="0.79998168889431442"/>
      </patternFill>
    </fill>
    <fill>
      <patternFill patternType="solid">
        <fgColor indexed="65"/>
        <bgColor theme="4" tint="0.79998168889431442"/>
      </patternFill>
    </fill>
    <fill>
      <patternFill patternType="solid">
        <fgColor theme="4" tint="0.39997558519241921"/>
        <bgColor indexed="64"/>
      </patternFill>
    </fill>
    <fill>
      <patternFill patternType="solid">
        <fgColor theme="4" tint="-0.49998474074526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59999389629810485"/>
        <bgColor rgb="FF000000"/>
      </patternFill>
    </fill>
    <fill>
      <patternFill patternType="solid">
        <fgColor rgb="FFFFCCFF"/>
        <bgColor indexed="64"/>
      </patternFill>
    </fill>
    <fill>
      <patternFill patternType="solid">
        <fgColor theme="4" tint="0.59999389629810485"/>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5" tint="0.79998168889431442"/>
        <bgColor rgb="FF000000"/>
      </patternFill>
    </fill>
    <fill>
      <patternFill patternType="solid">
        <fgColor theme="0" tint="-0.249977111117893"/>
        <bgColor indexed="64"/>
      </patternFill>
    </fill>
    <fill>
      <patternFill patternType="solid">
        <fgColor theme="9" tint="0.79998168889431442"/>
        <bgColor rgb="FF000000"/>
      </patternFill>
    </fill>
    <fill>
      <patternFill patternType="solid">
        <fgColor theme="7"/>
        <bgColor indexed="64"/>
      </patternFill>
    </fill>
    <fill>
      <patternFill patternType="solid">
        <fgColor theme="6" tint="0.39997558519241921"/>
        <bgColor indexed="64"/>
      </patternFill>
    </fill>
    <fill>
      <patternFill patternType="solid">
        <fgColor rgb="FFFFFFFF"/>
        <bgColor indexed="64"/>
      </patternFill>
    </fill>
    <fill>
      <patternFill patternType="solid">
        <fgColor rgb="FFC198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9" tint="-0.249977111117893"/>
        <bgColor indexed="64"/>
      </patternFill>
    </fill>
  </fills>
  <borders count="7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style="thin">
        <color theme="0" tint="-0.499984740745262"/>
      </bottom>
      <diagonal/>
    </border>
    <border>
      <left/>
      <right/>
      <top style="thin">
        <color theme="0" tint="-0.499984740745262"/>
      </top>
      <bottom style="thin">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style="medium">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0" tint="-0.499984740745262"/>
      </left>
      <right style="medium">
        <color theme="2" tint="-0.499984740745262"/>
      </right>
      <top/>
      <bottom style="thin">
        <color theme="0" tint="-0.499984740745262"/>
      </bottom>
      <diagonal/>
    </border>
    <border>
      <left style="thin">
        <color theme="0" tint="-0.499984740745262"/>
      </left>
      <right style="medium">
        <color theme="2" tint="-0.499984740745262"/>
      </right>
      <top style="thin">
        <color theme="0" tint="-0.499984740745262"/>
      </top>
      <bottom style="thin">
        <color theme="0" tint="-0.499984740745262"/>
      </bottom>
      <diagonal/>
    </border>
    <border>
      <left style="medium">
        <color theme="2" tint="-0.499984740745262"/>
      </left>
      <right style="medium">
        <color theme="2" tint="-0.499984740745262"/>
      </right>
      <top style="thin">
        <color theme="0" tint="-0.499984740745262"/>
      </top>
      <bottom style="thin">
        <color theme="0" tint="-0.499984740745262"/>
      </bottom>
      <diagonal/>
    </border>
    <border>
      <left style="thin">
        <color theme="0" tint="-0.499984740745262"/>
      </left>
      <right style="medium">
        <color theme="2" tint="-0.499984740745262"/>
      </right>
      <top style="medium">
        <color theme="2" tint="-0.499984740745262"/>
      </top>
      <bottom/>
      <diagonal/>
    </border>
    <border>
      <left style="hair">
        <color auto="1"/>
      </left>
      <right style="hair">
        <color auto="1"/>
      </right>
      <top style="hair">
        <color auto="1"/>
      </top>
      <bottom style="hair">
        <color auto="1"/>
      </bottom>
      <diagonal/>
    </border>
    <border>
      <left/>
      <right/>
      <top/>
      <bottom style="hair">
        <color auto="1"/>
      </bottom>
      <diagonal/>
    </border>
    <border>
      <left style="hair">
        <color theme="0" tint="-0.499984740745262"/>
      </left>
      <right style="hair">
        <color theme="0" tint="-0.499984740745262"/>
      </right>
      <top style="hair">
        <color theme="0" tint="-0.499984740745262"/>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auto="1"/>
      </right>
      <top style="thin">
        <color theme="4" tint="0.39997558519241921"/>
      </top>
      <bottom style="thin">
        <color theme="4" tint="0.39997558519241921"/>
      </bottom>
      <diagonal/>
    </border>
    <border>
      <left style="thin">
        <color theme="4" tint="0.39997558519241921"/>
      </left>
      <right style="thin">
        <color theme="4" tint="0.39997558519241921"/>
      </right>
      <top/>
      <bottom/>
      <diagonal/>
    </border>
    <border>
      <left/>
      <right style="thin">
        <color auto="1"/>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hair">
        <color theme="0" tint="-0.499984740745262"/>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theme="0" tint="-0.499984740745262"/>
      </right>
      <top/>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theme="2" tint="-0.499984740745262"/>
      </left>
      <right style="thin">
        <color theme="0" tint="-0.499984740745262"/>
      </right>
      <top/>
      <bottom style="thin">
        <color theme="0" tint="-0.499984740745262"/>
      </bottom>
      <diagonal/>
    </border>
    <border>
      <left style="medium">
        <color theme="2" tint="-0.499984740745262"/>
      </left>
      <right style="medium">
        <color theme="0" tint="-0.499984740745262"/>
      </right>
      <top/>
      <bottom style="thin">
        <color theme="0" tint="-0.499984740745262"/>
      </bottom>
      <diagonal/>
    </border>
    <border>
      <left style="medium">
        <color theme="2" tint="-0.499984740745262"/>
      </left>
      <right style="thin">
        <color theme="0" tint="-0.499984740745262"/>
      </right>
      <top/>
      <bottom/>
      <diagonal/>
    </border>
    <border>
      <left style="thin">
        <color theme="0" tint="-0.499984740745262"/>
      </left>
      <right style="medium">
        <color theme="0" tint="-0.499984740745262"/>
      </right>
      <top/>
      <bottom/>
      <diagonal/>
    </border>
    <border>
      <left style="thin">
        <color rgb="FF808080"/>
      </left>
      <right style="thin">
        <color rgb="FF808080"/>
      </right>
      <top style="thin">
        <color rgb="FF808080"/>
      </top>
      <bottom style="thin">
        <color rgb="FF808080"/>
      </bottom>
      <diagonal/>
    </border>
    <border>
      <left style="medium">
        <color theme="1" tint="0.499984740745262"/>
      </left>
      <right style="thin">
        <color theme="0" tint="-0.499984740745262"/>
      </right>
      <top style="thin">
        <color theme="0" tint="-0.499984740745262"/>
      </top>
      <bottom style="thin">
        <color theme="0" tint="-0.49998474074526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medium">
        <color theme="2" tint="-0.499984740745262"/>
      </left>
      <right/>
      <top style="medium">
        <color theme="2" tint="-0.499984740745262"/>
      </top>
      <bottom style="medium">
        <color theme="2" tint="-0.499984740745262"/>
      </bottom>
      <diagonal/>
    </border>
    <border>
      <left/>
      <right style="medium">
        <color theme="0" tint="-0.499984740745262"/>
      </right>
      <top style="medium">
        <color theme="2" tint="-0.499984740745262"/>
      </top>
      <bottom style="medium">
        <color theme="2" tint="-0.499984740745262"/>
      </bottom>
      <diagonal/>
    </border>
    <border>
      <left style="hair">
        <color theme="0" tint="-0.249977111117893"/>
      </left>
      <right/>
      <top style="hair">
        <color theme="0" tint="-0.249977111117893"/>
      </top>
      <bottom style="thin">
        <color theme="0" tint="-0.249977111117893"/>
      </bottom>
      <diagonal/>
    </border>
    <border>
      <left/>
      <right/>
      <top style="hair">
        <color theme="0" tint="-0.249977111117893"/>
      </top>
      <bottom style="thin">
        <color theme="0" tint="-0.249977111117893"/>
      </bottom>
      <diagonal/>
    </border>
    <border>
      <left/>
      <right style="hair">
        <color theme="0" tint="-0.249977111117893"/>
      </right>
      <top style="hair">
        <color theme="0" tint="-0.249977111117893"/>
      </top>
      <bottom style="thin">
        <color theme="0" tint="-0.249977111117893"/>
      </bottom>
      <diagonal/>
    </border>
    <border>
      <left style="hair">
        <color theme="0" tint="-0.249977111117893"/>
      </left>
      <right style="hair">
        <color theme="0" tint="-0.249977111117893"/>
      </right>
      <top style="hair">
        <color theme="0" tint="-0.249977111117893"/>
      </top>
      <bottom/>
      <diagonal/>
    </border>
    <border>
      <left style="thin">
        <color theme="0" tint="-0.249977111117893"/>
      </left>
      <right style="thin">
        <color theme="0" tint="-0.249977111117893"/>
      </right>
      <top style="thin">
        <color theme="0" tint="-0.249977111117893"/>
      </top>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diagonal/>
    </border>
    <border>
      <left/>
      <right style="hair">
        <color theme="0" tint="-0.249977111117893"/>
      </right>
      <top/>
      <bottom style="hair">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6">
    <xf numFmtId="0" fontId="0" fillId="0" borderId="0"/>
    <xf numFmtId="0" fontId="12"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165" fontId="12" fillId="0" borderId="0" applyFont="0" applyFill="0" applyBorder="0" applyAlignment="0" applyProtection="0"/>
  </cellStyleXfs>
  <cellXfs count="553">
    <xf numFmtId="0" fontId="0" fillId="0" borderId="0" xfId="0"/>
    <xf numFmtId="0" fontId="1" fillId="0" borderId="0" xfId="0" applyFont="1"/>
    <xf numFmtId="41" fontId="1" fillId="4" borderId="1" xfId="0" applyNumberFormat="1" applyFont="1" applyFill="1" applyBorder="1"/>
    <xf numFmtId="3" fontId="1" fillId="4" borderId="1" xfId="0" applyNumberFormat="1" applyFont="1" applyFill="1" applyBorder="1"/>
    <xf numFmtId="3" fontId="1" fillId="5" borderId="1" xfId="0" applyNumberFormat="1" applyFont="1" applyFill="1" applyBorder="1"/>
    <xf numFmtId="0" fontId="5" fillId="3" borderId="1" xfId="0" applyFont="1" applyFill="1" applyBorder="1" applyAlignment="1">
      <alignment horizontal="center" vertical="center"/>
    </xf>
    <xf numFmtId="0" fontId="6" fillId="0" borderId="0" xfId="0" applyFont="1"/>
    <xf numFmtId="41" fontId="1" fillId="0" borderId="6" xfId="0" applyNumberFormat="1" applyFont="1" applyBorder="1"/>
    <xf numFmtId="3" fontId="1" fillId="6" borderId="7" xfId="0" applyNumberFormat="1" applyFont="1" applyFill="1" applyBorder="1"/>
    <xf numFmtId="17" fontId="0" fillId="0" borderId="0" xfId="0" applyNumberFormat="1"/>
    <xf numFmtId="0" fontId="1" fillId="0" borderId="0" xfId="0" applyFont="1" applyAlignment="1">
      <alignmen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5" fillId="3" borderId="9" xfId="0" applyFont="1" applyFill="1" applyBorder="1" applyAlignment="1">
      <alignment vertical="center" wrapText="1"/>
    </xf>
    <xf numFmtId="0" fontId="2" fillId="2" borderId="9"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16" xfId="0" applyFont="1" applyFill="1" applyBorder="1" applyAlignment="1">
      <alignment vertical="center" wrapText="1"/>
    </xf>
    <xf numFmtId="0" fontId="2" fillId="2" borderId="1" xfId="0" applyFont="1" applyFill="1" applyBorder="1" applyAlignment="1">
      <alignment horizontal="center" vertical="center"/>
    </xf>
    <xf numFmtId="0" fontId="11" fillId="0" borderId="0" xfId="0" applyFont="1"/>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Fill="1"/>
    <xf numFmtId="0" fontId="1" fillId="0" borderId="1" xfId="0" applyFont="1" applyBorder="1" applyAlignment="1">
      <alignment horizontal="left" vertical="top"/>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17" fontId="3" fillId="3" borderId="6" xfId="0" applyNumberFormat="1" applyFont="1" applyFill="1" applyBorder="1" applyAlignment="1">
      <alignment horizontal="center"/>
    </xf>
    <xf numFmtId="17" fontId="3" fillId="3" borderId="1" xfId="0" applyNumberFormat="1" applyFont="1" applyFill="1" applyBorder="1" applyAlignment="1">
      <alignment horizontal="center" vertical="center"/>
    </xf>
    <xf numFmtId="0" fontId="7" fillId="2" borderId="2" xfId="0" applyFont="1" applyFill="1" applyBorder="1" applyAlignment="1">
      <alignment vertical="center" wrapText="1"/>
    </xf>
    <xf numFmtId="0" fontId="7" fillId="2" borderId="18" xfId="0" applyFont="1" applyFill="1" applyBorder="1" applyAlignment="1">
      <alignment horizontal="center" vertical="center" wrapText="1"/>
    </xf>
    <xf numFmtId="0" fontId="7" fillId="2" borderId="18" xfId="0" applyFont="1" applyFill="1" applyBorder="1" applyAlignment="1">
      <alignment vertical="center" wrapText="1"/>
    </xf>
    <xf numFmtId="0" fontId="2" fillId="2" borderId="19" xfId="0" applyFont="1" applyFill="1" applyBorder="1" applyAlignment="1">
      <alignment vertical="center" wrapText="1"/>
    </xf>
    <xf numFmtId="0" fontId="1" fillId="0" borderId="1" xfId="0" applyFont="1" applyFill="1" applyBorder="1" applyAlignment="1">
      <alignment horizontal="left" vertical="top"/>
    </xf>
    <xf numFmtId="0" fontId="1" fillId="0" borderId="0" xfId="0" applyFont="1" applyAlignment="1">
      <alignment wrapText="1"/>
    </xf>
    <xf numFmtId="0" fontId="7" fillId="2" borderId="7" xfId="0" applyFont="1" applyFill="1" applyBorder="1" applyAlignment="1">
      <alignment vertical="center" wrapText="1"/>
    </xf>
    <xf numFmtId="0" fontId="1" fillId="0" borderId="1" xfId="0" applyFont="1" applyBorder="1" applyAlignment="1">
      <alignment horizontal="center" vertical="center"/>
    </xf>
    <xf numFmtId="0" fontId="5" fillId="3" borderId="16" xfId="0" applyFont="1" applyFill="1" applyBorder="1" applyAlignment="1">
      <alignment vertical="center" wrapText="1"/>
    </xf>
    <xf numFmtId="0" fontId="2" fillId="2" borderId="22" xfId="0" applyFont="1" applyFill="1" applyBorder="1" applyAlignment="1">
      <alignment horizontal="center" vertical="center" wrapText="1"/>
    </xf>
    <xf numFmtId="0" fontId="16" fillId="0" borderId="26" xfId="0" applyFont="1" applyBorder="1"/>
    <xf numFmtId="164" fontId="16" fillId="0" borderId="26" xfId="3" applyNumberFormat="1" applyFont="1" applyBorder="1"/>
    <xf numFmtId="0" fontId="17" fillId="10" borderId="0" xfId="0" applyFont="1" applyFill="1"/>
    <xf numFmtId="0" fontId="16" fillId="0" borderId="0" xfId="0" applyFont="1"/>
    <xf numFmtId="164" fontId="16" fillId="0" borderId="0" xfId="0" applyNumberFormat="1" applyFont="1"/>
    <xf numFmtId="0" fontId="19" fillId="0" borderId="0" xfId="0" applyFont="1"/>
    <xf numFmtId="164" fontId="17" fillId="10" borderId="0" xfId="0" applyNumberFormat="1" applyFont="1" applyFill="1"/>
    <xf numFmtId="164" fontId="16" fillId="0" borderId="0" xfId="3" applyNumberFormat="1" applyFont="1"/>
    <xf numFmtId="0" fontId="20" fillId="0" borderId="0" xfId="0" applyFont="1"/>
    <xf numFmtId="0" fontId="17" fillId="10" borderId="0" xfId="0" applyFont="1" applyFill="1" applyBorder="1" applyAlignment="1">
      <alignment horizontal="left" vertical="top" wrapText="1"/>
    </xf>
    <xf numFmtId="164" fontId="17" fillId="10" borderId="0" xfId="3" applyNumberFormat="1" applyFont="1" applyFill="1"/>
    <xf numFmtId="0" fontId="17" fillId="10" borderId="28" xfId="0" applyFont="1" applyFill="1" applyBorder="1" applyAlignment="1">
      <alignment horizontal="center" vertical="center" wrapText="1"/>
    </xf>
    <xf numFmtId="0" fontId="16" fillId="0" borderId="11" xfId="0" applyFont="1" applyFill="1" applyBorder="1" applyAlignment="1">
      <alignment horizontal="left" vertical="top" wrapText="1"/>
    </xf>
    <xf numFmtId="164" fontId="16" fillId="0" borderId="11" xfId="3" applyNumberFormat="1" applyFont="1" applyBorder="1"/>
    <xf numFmtId="0" fontId="9" fillId="0" borderId="11" xfId="0" applyFont="1" applyBorder="1" applyAlignment="1">
      <alignment horizontal="left" vertical="top" wrapText="1"/>
    </xf>
    <xf numFmtId="0" fontId="1" fillId="0" borderId="11" xfId="0" applyFont="1" applyFill="1" applyBorder="1" applyAlignment="1">
      <alignment horizontal="left" vertical="top" wrapText="1"/>
    </xf>
    <xf numFmtId="0" fontId="9" fillId="0" borderId="11" xfId="0" applyFont="1" applyFill="1" applyBorder="1" applyAlignment="1">
      <alignment horizontal="left" vertical="top" wrapText="1"/>
    </xf>
    <xf numFmtId="0" fontId="16" fillId="0" borderId="11" xfId="0" applyFont="1" applyBorder="1" applyAlignment="1">
      <alignment vertical="top"/>
    </xf>
    <xf numFmtId="0" fontId="17" fillId="10" borderId="0" xfId="0" applyFont="1" applyFill="1" applyBorder="1" applyAlignment="1">
      <alignment horizontal="left" vertical="top"/>
    </xf>
    <xf numFmtId="0" fontId="1" fillId="0" borderId="11" xfId="0" applyFont="1" applyBorder="1" applyAlignment="1">
      <alignment horizontal="left" vertical="top" wrapText="1"/>
    </xf>
    <xf numFmtId="0" fontId="16" fillId="0" borderId="11" xfId="0" quotePrefix="1" applyFont="1" applyFill="1" applyBorder="1" applyAlignment="1">
      <alignment horizontal="left" vertical="top" wrapText="1"/>
    </xf>
    <xf numFmtId="0" fontId="1" fillId="0" borderId="11" xfId="0" quotePrefix="1" applyFont="1" applyFill="1" applyBorder="1" applyAlignment="1">
      <alignment horizontal="left" vertical="top" wrapText="1"/>
    </xf>
    <xf numFmtId="0" fontId="9" fillId="0" borderId="11" xfId="0" quotePrefix="1" applyFont="1" applyFill="1" applyBorder="1" applyAlignment="1" applyProtection="1">
      <alignment horizontal="left" vertical="top" wrapText="1"/>
      <protection locked="0"/>
    </xf>
    <xf numFmtId="0" fontId="14" fillId="0" borderId="11" xfId="0" quotePrefix="1" applyFont="1" applyFill="1" applyBorder="1" applyAlignment="1">
      <alignment vertical="top" wrapText="1"/>
    </xf>
    <xf numFmtId="0" fontId="1" fillId="0" borderId="11" xfId="0" quotePrefix="1" applyFont="1" applyFill="1" applyBorder="1" applyAlignment="1">
      <alignment vertical="top" wrapText="1"/>
    </xf>
    <xf numFmtId="0" fontId="16" fillId="0" borderId="5" xfId="0" applyFont="1" applyBorder="1"/>
    <xf numFmtId="164" fontId="16" fillId="0" borderId="5" xfId="3" applyNumberFormat="1" applyFont="1" applyBorder="1"/>
    <xf numFmtId="0" fontId="19" fillId="0" borderId="5" xfId="0" applyFont="1" applyBorder="1" applyAlignment="1">
      <alignment horizontal="center"/>
    </xf>
    <xf numFmtId="164" fontId="19" fillId="0" borderId="5" xfId="3" applyNumberFormat="1" applyFont="1" applyBorder="1"/>
    <xf numFmtId="0" fontId="19" fillId="0" borderId="5" xfId="0" applyFont="1" applyBorder="1" applyAlignment="1">
      <alignment horizontal="center" vertical="center"/>
    </xf>
    <xf numFmtId="0" fontId="21" fillId="0" borderId="26" xfId="0" applyFont="1" applyBorder="1"/>
    <xf numFmtId="0" fontId="21" fillId="0" borderId="26" xfId="0" applyFont="1" applyFill="1" applyBorder="1"/>
    <xf numFmtId="17" fontId="19" fillId="0" borderId="26" xfId="0" applyNumberFormat="1" applyFont="1" applyBorder="1"/>
    <xf numFmtId="0" fontId="0" fillId="0" borderId="26" xfId="0" applyBorder="1"/>
    <xf numFmtId="0" fontId="0" fillId="10" borderId="0" xfId="0" applyFill="1"/>
    <xf numFmtId="164" fontId="16" fillId="9" borderId="26" xfId="3" applyNumberFormat="1" applyFont="1" applyFill="1" applyBorder="1"/>
    <xf numFmtId="0" fontId="22" fillId="0" borderId="26" xfId="0" applyFont="1" applyBorder="1"/>
    <xf numFmtId="164" fontId="3" fillId="7" borderId="0" xfId="3" applyNumberFormat="1" applyFont="1" applyFill="1"/>
    <xf numFmtId="164" fontId="3" fillId="7" borderId="0" xfId="3" applyNumberFormat="1" applyFont="1" applyFill="1" applyAlignment="1">
      <alignment wrapText="1"/>
    </xf>
    <xf numFmtId="0" fontId="8" fillId="0" borderId="0" xfId="0" applyNumberFormat="1" applyFont="1"/>
    <xf numFmtId="0" fontId="0" fillId="0" borderId="0" xfId="0" applyAlignment="1">
      <alignment horizontal="left" indent="1"/>
    </xf>
    <xf numFmtId="0" fontId="7" fillId="2" borderId="8" xfId="0" applyFont="1" applyFill="1" applyBorder="1" applyAlignment="1">
      <alignment horizontal="center" vertical="center" wrapText="1"/>
    </xf>
    <xf numFmtId="0" fontId="7" fillId="2" borderId="7" xfId="0" applyFont="1" applyFill="1" applyBorder="1" applyAlignment="1">
      <alignment horizontal="center" vertical="center" wrapText="1"/>
    </xf>
    <xf numFmtId="9" fontId="1" fillId="4" borderId="1" xfId="4" applyFont="1" applyFill="1" applyBorder="1"/>
    <xf numFmtId="166" fontId="1" fillId="4" borderId="1" xfId="4" applyNumberFormat="1" applyFont="1" applyFill="1" applyBorder="1"/>
    <xf numFmtId="0" fontId="18" fillId="0" borderId="0" xfId="0" applyFont="1"/>
    <xf numFmtId="9" fontId="16" fillId="0" borderId="0" xfId="4" applyNumberFormat="1" applyFont="1"/>
    <xf numFmtId="9" fontId="16" fillId="0" borderId="0" xfId="4" applyFont="1"/>
    <xf numFmtId="0" fontId="24" fillId="0" borderId="0" xfId="0" applyFont="1"/>
    <xf numFmtId="0" fontId="24" fillId="0" borderId="5" xfId="0" applyFont="1" applyBorder="1"/>
    <xf numFmtId="0" fontId="24" fillId="0" borderId="0" xfId="0" applyFont="1" applyBorder="1"/>
    <xf numFmtId="164" fontId="16" fillId="0" borderId="0" xfId="3" applyNumberFormat="1" applyFont="1" applyBorder="1"/>
    <xf numFmtId="164" fontId="19" fillId="0" borderId="0" xfId="3" applyNumberFormat="1" applyFont="1" applyBorder="1"/>
    <xf numFmtId="164" fontId="19" fillId="0" borderId="5" xfId="0" applyNumberFormat="1" applyFont="1" applyBorder="1" applyAlignment="1">
      <alignment horizontal="center" vertical="center"/>
    </xf>
    <xf numFmtId="0" fontId="9" fillId="0" borderId="1" xfId="0" applyFont="1" applyFill="1" applyBorder="1" applyAlignment="1">
      <alignment horizontal="left" vertical="top" wrapText="1"/>
    </xf>
    <xf numFmtId="41" fontId="1" fillId="0" borderId="0" xfId="0" applyNumberFormat="1" applyFont="1"/>
    <xf numFmtId="43" fontId="16" fillId="0" borderId="0" xfId="3" applyFont="1"/>
    <xf numFmtId="168" fontId="16" fillId="0" borderId="29" xfId="0" applyNumberFormat="1" applyFont="1" applyBorder="1" applyAlignment="1">
      <alignment vertical="top"/>
    </xf>
    <xf numFmtId="0" fontId="16" fillId="0" borderId="29" xfId="0" applyFont="1" applyBorder="1" applyAlignment="1">
      <alignment vertical="top"/>
    </xf>
    <xf numFmtId="0" fontId="16" fillId="0" borderId="29" xfId="0" applyFont="1" applyBorder="1" applyAlignment="1">
      <alignment vertical="top" wrapText="1"/>
    </xf>
    <xf numFmtId="0" fontId="16" fillId="0" borderId="29" xfId="0" quotePrefix="1" applyFont="1" applyBorder="1" applyAlignment="1">
      <alignment vertical="top" wrapText="1"/>
    </xf>
    <xf numFmtId="168" fontId="16" fillId="0" borderId="29" xfId="0" applyNumberFormat="1" applyFont="1" applyBorder="1"/>
    <xf numFmtId="168" fontId="16" fillId="0" borderId="30" xfId="0" applyNumberFormat="1" applyFont="1" applyBorder="1"/>
    <xf numFmtId="0" fontId="16" fillId="0" borderId="30" xfId="0" applyFont="1" applyBorder="1" applyAlignment="1">
      <alignment vertical="top"/>
    </xf>
    <xf numFmtId="168" fontId="16" fillId="0" borderId="31" xfId="0" applyNumberFormat="1" applyFont="1" applyBorder="1" applyAlignment="1">
      <alignment vertical="top"/>
    </xf>
    <xf numFmtId="0" fontId="16" fillId="0" borderId="31" xfId="0" applyFont="1" applyBorder="1" applyAlignment="1">
      <alignment vertical="top"/>
    </xf>
    <xf numFmtId="0" fontId="16" fillId="0" borderId="31" xfId="0" applyFont="1" applyBorder="1" applyAlignment="1">
      <alignment vertical="top" wrapText="1"/>
    </xf>
    <xf numFmtId="0" fontId="26" fillId="0" borderId="5" xfId="0" applyFont="1" applyBorder="1" applyAlignment="1">
      <alignment horizontal="center" vertical="center"/>
    </xf>
    <xf numFmtId="168" fontId="16" fillId="0" borderId="29" xfId="0" applyNumberFormat="1" applyFont="1" applyBorder="1" applyAlignment="1">
      <alignment horizontal="right" vertical="top"/>
    </xf>
    <xf numFmtId="9" fontId="0" fillId="0" borderId="0" xfId="4" applyFont="1"/>
    <xf numFmtId="164" fontId="1" fillId="0" borderId="0" xfId="3" applyNumberFormat="1" applyFont="1" applyAlignment="1">
      <alignment wrapText="1"/>
    </xf>
    <xf numFmtId="164" fontId="1" fillId="0" borderId="0" xfId="3" applyNumberFormat="1" applyFont="1"/>
    <xf numFmtId="164" fontId="2" fillId="2" borderId="25" xfId="3" applyNumberFormat="1" applyFont="1" applyFill="1" applyBorder="1" applyAlignment="1">
      <alignment vertical="center" wrapText="1"/>
    </xf>
    <xf numFmtId="164" fontId="2" fillId="2" borderId="22" xfId="3" applyNumberFormat="1" applyFont="1" applyFill="1" applyBorder="1" applyAlignment="1">
      <alignment horizontal="center" vertical="center" wrapText="1"/>
    </xf>
    <xf numFmtId="164" fontId="3" fillId="0" borderId="23" xfId="3" applyNumberFormat="1" applyFont="1" applyBorder="1" applyAlignment="1"/>
    <xf numFmtId="164" fontId="23" fillId="0" borderId="0" xfId="3" applyNumberFormat="1" applyFont="1"/>
    <xf numFmtId="164" fontId="1" fillId="5" borderId="1" xfId="3" applyNumberFormat="1" applyFont="1" applyFill="1" applyBorder="1"/>
    <xf numFmtId="164" fontId="0" fillId="0" borderId="0" xfId="3" applyNumberFormat="1" applyFont="1"/>
    <xf numFmtId="0" fontId="0" fillId="0" borderId="0" xfId="0" applyAlignment="1">
      <alignment horizontal="center"/>
    </xf>
    <xf numFmtId="164" fontId="0" fillId="0" borderId="0" xfId="0" applyNumberFormat="1"/>
    <xf numFmtId="2" fontId="0" fillId="0" borderId="0" xfId="0" applyNumberFormat="1"/>
    <xf numFmtId="0" fontId="1" fillId="0" borderId="12" xfId="0" applyFont="1" applyFill="1" applyBorder="1" applyAlignment="1">
      <alignment horizontal="left" vertical="top" wrapText="1"/>
    </xf>
    <xf numFmtId="0" fontId="0" fillId="0" borderId="0" xfId="0" applyBorder="1"/>
    <xf numFmtId="0" fontId="16" fillId="0" borderId="0" xfId="0" applyFont="1" applyAlignment="1">
      <alignment horizontal="left" indent="6"/>
    </xf>
    <xf numFmtId="0" fontId="21" fillId="11" borderId="0" xfId="0" applyFont="1" applyFill="1"/>
    <xf numFmtId="164" fontId="21" fillId="11" borderId="0" xfId="0" applyNumberFormat="1" applyFont="1" applyFill="1"/>
    <xf numFmtId="0" fontId="19" fillId="5" borderId="0" xfId="0" applyFont="1" applyFill="1"/>
    <xf numFmtId="164" fontId="19" fillId="5" borderId="0" xfId="0" applyNumberFormat="1" applyFont="1" applyFill="1"/>
    <xf numFmtId="9" fontId="21" fillId="11" borderId="0" xfId="4" applyFont="1" applyFill="1" applyAlignment="1">
      <alignment vertical="center"/>
    </xf>
    <xf numFmtId="164" fontId="22" fillId="0" borderId="5" xfId="3" applyNumberFormat="1" applyFont="1" applyBorder="1"/>
    <xf numFmtId="164" fontId="21" fillId="0" borderId="5" xfId="3" applyNumberFormat="1" applyFont="1" applyBorder="1"/>
    <xf numFmtId="0" fontId="27" fillId="10" borderId="0" xfId="0" applyFont="1" applyFill="1" applyAlignment="1">
      <alignment horizontal="right"/>
    </xf>
    <xf numFmtId="0" fontId="19" fillId="5" borderId="0" xfId="0" applyFont="1" applyFill="1" applyAlignment="1"/>
    <xf numFmtId="0" fontId="25" fillId="5" borderId="0" xfId="0" applyFont="1" applyFill="1" applyAlignment="1"/>
    <xf numFmtId="164" fontId="25" fillId="5" borderId="0" xfId="0" applyNumberFormat="1" applyFont="1" applyFill="1"/>
    <xf numFmtId="0" fontId="1" fillId="4" borderId="1" xfId="4" applyNumberFormat="1" applyFont="1" applyFill="1" applyBorder="1"/>
    <xf numFmtId="0" fontId="3" fillId="0" borderId="1" xfId="0" applyFont="1" applyBorder="1" applyAlignment="1">
      <alignment horizontal="center" vertical="center"/>
    </xf>
    <xf numFmtId="2" fontId="3" fillId="3" borderId="1" xfId="0" applyNumberFormat="1" applyFont="1" applyFill="1" applyBorder="1" applyAlignment="1">
      <alignment horizontal="center" vertical="center"/>
    </xf>
    <xf numFmtId="170" fontId="3" fillId="3" borderId="1" xfId="0" applyNumberFormat="1" applyFont="1" applyFill="1" applyBorder="1" applyAlignment="1">
      <alignment horizontal="center" vertical="center"/>
    </xf>
    <xf numFmtId="43" fontId="3" fillId="3" borderId="1" xfId="3" applyNumberFormat="1" applyFont="1" applyFill="1" applyBorder="1" applyAlignment="1">
      <alignment horizontal="center" vertical="center"/>
    </xf>
    <xf numFmtId="164" fontId="1" fillId="5" borderId="1" xfId="0" applyNumberFormat="1" applyFont="1" applyFill="1" applyBorder="1"/>
    <xf numFmtId="0" fontId="23" fillId="0" borderId="1" xfId="0" applyFont="1" applyBorder="1" applyAlignment="1">
      <alignment horizontal="left" vertical="top" wrapText="1"/>
    </xf>
    <xf numFmtId="0" fontId="23" fillId="0" borderId="1" xfId="0" applyFont="1" applyFill="1" applyBorder="1" applyAlignment="1">
      <alignment horizontal="left" vertical="top"/>
    </xf>
    <xf numFmtId="0" fontId="23" fillId="0" borderId="1" xfId="0" applyFont="1" applyBorder="1" applyAlignment="1">
      <alignment horizontal="left" vertical="top"/>
    </xf>
    <xf numFmtId="0" fontId="23" fillId="0" borderId="1" xfId="0" applyFont="1" applyBorder="1" applyAlignment="1">
      <alignment horizontal="center" vertical="center"/>
    </xf>
    <xf numFmtId="0" fontId="23" fillId="0" borderId="1" xfId="0" applyFont="1" applyFill="1" applyBorder="1" applyAlignment="1">
      <alignment horizontal="left" vertical="top" wrapText="1"/>
    </xf>
    <xf numFmtId="41" fontId="23" fillId="4" borderId="1" xfId="0" applyNumberFormat="1" applyFont="1" applyFill="1" applyBorder="1"/>
    <xf numFmtId="41" fontId="23" fillId="0" borderId="6" xfId="0" applyNumberFormat="1" applyFont="1" applyBorder="1"/>
    <xf numFmtId="3" fontId="23" fillId="4" borderId="1" xfId="0" applyNumberFormat="1" applyFont="1" applyFill="1" applyBorder="1"/>
    <xf numFmtId="0" fontId="11" fillId="5" borderId="33" xfId="0" applyFont="1" applyFill="1" applyBorder="1"/>
    <xf numFmtId="0" fontId="0" fillId="5" borderId="33" xfId="0" applyFont="1" applyFill="1" applyBorder="1"/>
    <xf numFmtId="169" fontId="28" fillId="12" borderId="34" xfId="0" applyNumberFormat="1" applyFont="1" applyFill="1" applyBorder="1"/>
    <xf numFmtId="169" fontId="28" fillId="5" borderId="33" xfId="0" applyNumberFormat="1" applyFont="1" applyFill="1" applyBorder="1"/>
    <xf numFmtId="169" fontId="28" fillId="5" borderId="35" xfId="0" applyNumberFormat="1" applyFont="1" applyFill="1" applyBorder="1"/>
    <xf numFmtId="0" fontId="0" fillId="0" borderId="0" xfId="0" applyFont="1"/>
    <xf numFmtId="169" fontId="28" fillId="13" borderId="36" xfId="0" applyNumberFormat="1" applyFont="1" applyFill="1" applyBorder="1"/>
    <xf numFmtId="169" fontId="28" fillId="0" borderId="0" xfId="0" applyNumberFormat="1" applyFont="1"/>
    <xf numFmtId="169" fontId="28" fillId="0" borderId="37" xfId="0" applyNumberFormat="1" applyFont="1" applyBorder="1"/>
    <xf numFmtId="169" fontId="28" fillId="0" borderId="0" xfId="0" applyNumberFormat="1" applyFont="1" applyBorder="1"/>
    <xf numFmtId="0" fontId="11" fillId="14" borderId="38" xfId="0" applyFont="1" applyFill="1" applyBorder="1" applyAlignment="1">
      <alignment horizontal="center" vertical="center"/>
    </xf>
    <xf numFmtId="0" fontId="0" fillId="14" borderId="39" xfId="0" applyFill="1" applyBorder="1"/>
    <xf numFmtId="14" fontId="0" fillId="14" borderId="39" xfId="0" applyNumberFormat="1" applyFill="1" applyBorder="1"/>
    <xf numFmtId="0" fontId="11" fillId="14" borderId="39" xfId="0" applyFont="1" applyFill="1" applyBorder="1"/>
    <xf numFmtId="14" fontId="11" fillId="14" borderId="39" xfId="0" applyNumberFormat="1" applyFont="1" applyFill="1" applyBorder="1"/>
    <xf numFmtId="0" fontId="11" fillId="14" borderId="40" xfId="0" applyFont="1" applyFill="1" applyBorder="1"/>
    <xf numFmtId="0" fontId="11" fillId="14" borderId="41" xfId="0" applyFont="1" applyFill="1" applyBorder="1"/>
    <xf numFmtId="0" fontId="0" fillId="14" borderId="40" xfId="0" applyFill="1" applyBorder="1"/>
    <xf numFmtId="0" fontId="11" fillId="14" borderId="43" xfId="0" applyFont="1" applyFill="1" applyBorder="1" applyAlignment="1">
      <alignment horizontal="center"/>
    </xf>
    <xf numFmtId="0" fontId="11" fillId="14" borderId="42" xfId="0" applyFont="1" applyFill="1" applyBorder="1"/>
    <xf numFmtId="0" fontId="11" fillId="14" borderId="42" xfId="0" applyFont="1" applyFill="1" applyBorder="1" applyAlignment="1">
      <alignment horizontal="center"/>
    </xf>
    <xf numFmtId="0" fontId="11" fillId="14" borderId="42" xfId="0" applyNumberFormat="1" applyFont="1" applyFill="1" applyBorder="1" applyAlignment="1">
      <alignment horizontal="center"/>
    </xf>
    <xf numFmtId="0" fontId="11" fillId="14" borderId="42" xfId="0" quotePrefix="1" applyNumberFormat="1" applyFont="1" applyFill="1" applyBorder="1" applyAlignment="1">
      <alignment horizontal="center"/>
    </xf>
    <xf numFmtId="0" fontId="11" fillId="14" borderId="42" xfId="0" applyNumberFormat="1" applyFont="1" applyFill="1" applyBorder="1" applyAlignment="1">
      <alignment horizontal="center" vertical="center"/>
    </xf>
    <xf numFmtId="43" fontId="0" fillId="0" borderId="0" xfId="3" applyNumberFormat="1" applyFont="1"/>
    <xf numFmtId="0" fontId="29" fillId="0" borderId="0" xfId="0" applyFont="1"/>
    <xf numFmtId="0" fontId="1" fillId="0" borderId="44" xfId="0" applyFont="1" applyBorder="1" applyAlignment="1">
      <alignment horizontal="left" vertical="top" wrapText="1"/>
    </xf>
    <xf numFmtId="0" fontId="2" fillId="15" borderId="11" xfId="0" applyFont="1" applyFill="1" applyBorder="1" applyAlignment="1">
      <alignment horizontal="center" vertical="center" wrapText="1"/>
    </xf>
    <xf numFmtId="0" fontId="5" fillId="0" borderId="11" xfId="0" applyFont="1" applyBorder="1" applyAlignment="1">
      <alignment vertical="center" wrapText="1"/>
    </xf>
    <xf numFmtId="0" fontId="9" fillId="0" borderId="11" xfId="0" applyFont="1" applyBorder="1" applyAlignment="1">
      <alignment horizontal="justify" vertical="center" wrapText="1"/>
    </xf>
    <xf numFmtId="0" fontId="9" fillId="0" borderId="11" xfId="0" applyFont="1" applyBorder="1" applyAlignment="1">
      <alignment vertical="center" wrapText="1"/>
    </xf>
    <xf numFmtId="0" fontId="11" fillId="14" borderId="38" xfId="0" applyFont="1" applyFill="1" applyBorder="1" applyAlignment="1">
      <alignment horizontal="center" vertical="center"/>
    </xf>
    <xf numFmtId="164" fontId="13" fillId="0" borderId="1" xfId="3" applyNumberFormat="1" applyFont="1" applyBorder="1"/>
    <xf numFmtId="0" fontId="32" fillId="0" borderId="0" xfId="0" applyFont="1"/>
    <xf numFmtId="14" fontId="33" fillId="0" borderId="11" xfId="0" applyNumberFormat="1" applyFont="1" applyBorder="1"/>
    <xf numFmtId="0" fontId="33" fillId="0" borderId="11" xfId="0" applyFont="1" applyBorder="1"/>
    <xf numFmtId="3" fontId="33" fillId="0" borderId="11" xfId="0" applyNumberFormat="1" applyFont="1" applyBorder="1"/>
    <xf numFmtId="9" fontId="33" fillId="0" borderId="11" xfId="4" applyFont="1" applyBorder="1"/>
    <xf numFmtId="0" fontId="34" fillId="16" borderId="11" xfId="0" applyFont="1" applyFill="1" applyBorder="1"/>
    <xf numFmtId="3" fontId="34" fillId="16" borderId="11" xfId="0" applyNumberFormat="1" applyFont="1" applyFill="1" applyBorder="1"/>
    <xf numFmtId="9" fontId="34" fillId="16" borderId="11" xfId="4" applyFont="1" applyFill="1" applyBorder="1"/>
    <xf numFmtId="9" fontId="34" fillId="16" borderId="11" xfId="0" applyNumberFormat="1" applyFont="1" applyFill="1" applyBorder="1"/>
    <xf numFmtId="0" fontId="35" fillId="0" borderId="0" xfId="0" applyFont="1"/>
    <xf numFmtId="0" fontId="1" fillId="0" borderId="33" xfId="0" applyFont="1" applyBorder="1" applyAlignment="1">
      <alignment horizontal="center" vertical="center"/>
    </xf>
    <xf numFmtId="0" fontId="2" fillId="10" borderId="28" xfId="0" applyFont="1" applyFill="1" applyBorder="1" applyAlignment="1">
      <alignment horizontal="center" vertical="center" wrapText="1"/>
    </xf>
    <xf numFmtId="0" fontId="2" fillId="10" borderId="45" xfId="0" applyFont="1" applyFill="1" applyBorder="1" applyAlignment="1">
      <alignment horizontal="center" vertical="center" wrapText="1"/>
    </xf>
    <xf numFmtId="0" fontId="2" fillId="10" borderId="46" xfId="0" applyFont="1" applyFill="1" applyBorder="1" applyAlignment="1">
      <alignment horizontal="center" vertical="center" wrapText="1"/>
    </xf>
    <xf numFmtId="14" fontId="2" fillId="10" borderId="45" xfId="0" applyNumberFormat="1" applyFont="1" applyFill="1" applyBorder="1" applyAlignment="1">
      <alignment horizontal="center" vertical="center" wrapText="1"/>
    </xf>
    <xf numFmtId="14" fontId="0" fillId="17" borderId="47" xfId="0" applyNumberFormat="1" applyFill="1" applyBorder="1"/>
    <xf numFmtId="0" fontId="11" fillId="0" borderId="49" xfId="0" applyFont="1" applyBorder="1"/>
    <xf numFmtId="0" fontId="0" fillId="0" borderId="48" xfId="0" applyBorder="1"/>
    <xf numFmtId="169" fontId="0" fillId="0" borderId="0" xfId="0" applyNumberFormat="1"/>
    <xf numFmtId="0" fontId="1" fillId="0" borderId="0" xfId="0" applyFont="1" applyFill="1" applyAlignment="1">
      <alignment vertical="center"/>
    </xf>
    <xf numFmtId="0" fontId="13" fillId="0" borderId="0" xfId="0" applyFont="1" applyFill="1"/>
    <xf numFmtId="164" fontId="1" fillId="0" borderId="0" xfId="0" applyNumberFormat="1" applyFont="1"/>
    <xf numFmtId="0" fontId="1" fillId="18" borderId="1" xfId="0" applyFont="1" applyFill="1" applyBorder="1" applyAlignment="1">
      <alignment horizontal="left" vertical="top" wrapText="1"/>
    </xf>
    <xf numFmtId="0" fontId="1" fillId="18" borderId="1" xfId="0" applyFont="1" applyFill="1" applyBorder="1" applyAlignment="1">
      <alignment horizontal="left" vertical="top"/>
    </xf>
    <xf numFmtId="0" fontId="1" fillId="0" borderId="0" xfId="0" applyFont="1" applyFill="1" applyAlignment="1">
      <alignment horizontal="center" vertical="center"/>
    </xf>
    <xf numFmtId="0" fontId="0" fillId="0" borderId="0" xfId="0" applyAlignment="1">
      <alignment horizontal="center" vertical="center"/>
    </xf>
    <xf numFmtId="0" fontId="1" fillId="11" borderId="1" xfId="0" applyFont="1" applyFill="1" applyBorder="1" applyAlignment="1">
      <alignment horizontal="left" vertical="top" wrapText="1"/>
    </xf>
    <xf numFmtId="0" fontId="1" fillId="11" borderId="1" xfId="0" applyFont="1" applyFill="1" applyBorder="1" applyAlignment="1">
      <alignment horizontal="left" vertical="top"/>
    </xf>
    <xf numFmtId="0" fontId="1" fillId="11" borderId="1" xfId="0" applyFont="1" applyFill="1" applyBorder="1" applyAlignment="1">
      <alignment horizontal="center" vertical="center"/>
    </xf>
    <xf numFmtId="0" fontId="13" fillId="19" borderId="0" xfId="0" applyFont="1" applyFill="1"/>
    <xf numFmtId="164" fontId="13" fillId="19" borderId="1" xfId="3" applyNumberFormat="1" applyFont="1" applyFill="1" applyBorder="1"/>
    <xf numFmtId="0" fontId="1" fillId="21" borderId="1" xfId="0" applyFont="1" applyFill="1" applyBorder="1" applyAlignment="1">
      <alignment horizontal="left" vertical="top"/>
    </xf>
    <xf numFmtId="0" fontId="1" fillId="21" borderId="51" xfId="0" applyFont="1" applyFill="1" applyBorder="1" applyAlignment="1">
      <alignment vertical="center" wrapText="1"/>
    </xf>
    <xf numFmtId="0" fontId="0" fillId="21" borderId="0" xfId="0" applyFill="1"/>
    <xf numFmtId="2" fontId="1" fillId="21" borderId="52" xfId="3" applyNumberFormat="1" applyFont="1" applyFill="1" applyBorder="1" applyAlignment="1">
      <alignment horizontal="center" vertical="center" wrapText="1"/>
    </xf>
    <xf numFmtId="0" fontId="1" fillId="7" borderId="1" xfId="0" applyFont="1" applyFill="1" applyBorder="1" applyAlignment="1">
      <alignment horizontal="left" vertical="top" wrapText="1"/>
    </xf>
    <xf numFmtId="0" fontId="1" fillId="7" borderId="1" xfId="0" applyFont="1" applyFill="1" applyBorder="1" applyAlignment="1">
      <alignment horizontal="left" vertical="top"/>
    </xf>
    <xf numFmtId="0" fontId="1" fillId="7" borderId="1" xfId="0" applyFont="1" applyFill="1" applyBorder="1" applyAlignment="1">
      <alignment horizontal="center" vertical="center"/>
    </xf>
    <xf numFmtId="0" fontId="1" fillId="7" borderId="0" xfId="0" applyFont="1" applyFill="1" applyAlignment="1">
      <alignment wrapText="1"/>
    </xf>
    <xf numFmtId="41" fontId="14" fillId="22" borderId="6" xfId="0" applyNumberFormat="1" applyFont="1" applyFill="1" applyBorder="1"/>
    <xf numFmtId="41" fontId="1" fillId="7" borderId="1" xfId="0" applyNumberFormat="1" applyFont="1" applyFill="1" applyBorder="1"/>
    <xf numFmtId="164" fontId="1" fillId="7" borderId="1" xfId="3" applyNumberFormat="1" applyFont="1" applyFill="1" applyBorder="1"/>
    <xf numFmtId="41" fontId="1" fillId="7" borderId="24" xfId="0" applyNumberFormat="1" applyFont="1" applyFill="1" applyBorder="1"/>
    <xf numFmtId="0" fontId="1" fillId="7" borderId="0" xfId="0" applyFont="1" applyFill="1"/>
    <xf numFmtId="41" fontId="1" fillId="7" borderId="6" xfId="0" applyNumberFormat="1" applyFont="1" applyFill="1" applyBorder="1"/>
    <xf numFmtId="3" fontId="1" fillId="7" borderId="1" xfId="0" applyNumberFormat="1" applyFont="1" applyFill="1" applyBorder="1"/>
    <xf numFmtId="3" fontId="1" fillId="7" borderId="7" xfId="0" applyNumberFormat="1" applyFont="1" applyFill="1" applyBorder="1"/>
    <xf numFmtId="0" fontId="1" fillId="7" borderId="6" xfId="0" applyFont="1" applyFill="1" applyBorder="1" applyAlignment="1">
      <alignment horizontal="left" vertical="top"/>
    </xf>
    <xf numFmtId="0" fontId="1" fillId="7" borderId="12" xfId="0" applyFont="1" applyFill="1" applyBorder="1" applyAlignment="1">
      <alignment horizontal="left" vertical="top"/>
    </xf>
    <xf numFmtId="3" fontId="1" fillId="7" borderId="17" xfId="0" applyNumberFormat="1" applyFont="1" applyFill="1" applyBorder="1"/>
    <xf numFmtId="0" fontId="1" fillId="7" borderId="12" xfId="0" applyFont="1" applyFill="1" applyBorder="1"/>
    <xf numFmtId="3" fontId="1" fillId="7" borderId="4" xfId="0" applyNumberFormat="1" applyFont="1" applyFill="1" applyBorder="1"/>
    <xf numFmtId="164" fontId="13" fillId="7" borderId="1" xfId="3" applyNumberFormat="1" applyFont="1" applyFill="1" applyBorder="1"/>
    <xf numFmtId="0" fontId="13" fillId="7" borderId="0" xfId="0" applyFont="1" applyFill="1"/>
    <xf numFmtId="0" fontId="1" fillId="19" borderId="1" xfId="0" applyFont="1" applyFill="1" applyBorder="1" applyAlignment="1">
      <alignment horizontal="left" vertical="top" wrapText="1"/>
    </xf>
    <xf numFmtId="0" fontId="1" fillId="19" borderId="1" xfId="0" applyFont="1" applyFill="1" applyBorder="1" applyAlignment="1">
      <alignment horizontal="left" vertical="top"/>
    </xf>
    <xf numFmtId="0" fontId="1" fillId="19" borderId="1" xfId="0" applyFont="1" applyFill="1" applyBorder="1" applyAlignment="1">
      <alignment horizontal="center" vertical="center"/>
    </xf>
    <xf numFmtId="0" fontId="1" fillId="19" borderId="0" xfId="0" applyFont="1" applyFill="1" applyAlignment="1">
      <alignment wrapText="1"/>
    </xf>
    <xf numFmtId="41" fontId="14" fillId="20" borderId="6" xfId="0" applyNumberFormat="1" applyFont="1" applyFill="1" applyBorder="1"/>
    <xf numFmtId="41" fontId="1" fillId="19" borderId="1" xfId="0" applyNumberFormat="1" applyFont="1" applyFill="1" applyBorder="1"/>
    <xf numFmtId="164" fontId="1" fillId="19" borderId="1" xfId="3" applyNumberFormat="1" applyFont="1" applyFill="1" applyBorder="1"/>
    <xf numFmtId="41" fontId="1" fillId="19" borderId="24" xfId="0" applyNumberFormat="1" applyFont="1" applyFill="1" applyBorder="1"/>
    <xf numFmtId="0" fontId="1" fillId="19" borderId="0" xfId="0" applyFont="1" applyFill="1"/>
    <xf numFmtId="41" fontId="1" fillId="19" borderId="6" xfId="0" applyNumberFormat="1" applyFont="1" applyFill="1" applyBorder="1"/>
    <xf numFmtId="3" fontId="1" fillId="19" borderId="1" xfId="0" applyNumberFormat="1" applyFont="1" applyFill="1" applyBorder="1"/>
    <xf numFmtId="3" fontId="1" fillId="19" borderId="7" xfId="0" applyNumberFormat="1" applyFont="1" applyFill="1" applyBorder="1"/>
    <xf numFmtId="0" fontId="1" fillId="19" borderId="6" xfId="0" applyFont="1" applyFill="1" applyBorder="1" applyAlignment="1">
      <alignment horizontal="left" vertical="top"/>
    </xf>
    <xf numFmtId="0" fontId="1" fillId="19" borderId="12" xfId="0" applyFont="1" applyFill="1" applyBorder="1" applyAlignment="1">
      <alignment horizontal="left" vertical="top"/>
    </xf>
    <xf numFmtId="3" fontId="1" fillId="19" borderId="17" xfId="0" applyNumberFormat="1" applyFont="1" applyFill="1" applyBorder="1"/>
    <xf numFmtId="0" fontId="1" fillId="19" borderId="12" xfId="0" applyFont="1" applyFill="1" applyBorder="1"/>
    <xf numFmtId="3" fontId="1" fillId="19" borderId="4" xfId="0" applyNumberFormat="1" applyFont="1" applyFill="1" applyBorder="1"/>
    <xf numFmtId="0" fontId="1" fillId="23" borderId="1" xfId="0" applyFont="1" applyFill="1" applyBorder="1" applyAlignment="1">
      <alignment horizontal="left" vertical="top" wrapText="1"/>
    </xf>
    <xf numFmtId="0" fontId="1" fillId="23" borderId="1" xfId="0" applyFont="1" applyFill="1" applyBorder="1" applyAlignment="1">
      <alignment horizontal="left" vertical="top"/>
    </xf>
    <xf numFmtId="0" fontId="1" fillId="23" borderId="1" xfId="0" applyFont="1" applyFill="1" applyBorder="1" applyAlignment="1">
      <alignment horizontal="center" vertical="center"/>
    </xf>
    <xf numFmtId="0" fontId="1" fillId="23" borderId="0" xfId="0" applyFont="1" applyFill="1" applyAlignment="1">
      <alignment wrapText="1"/>
    </xf>
    <xf numFmtId="41" fontId="14" fillId="24" borderId="6" xfId="0" applyNumberFormat="1" applyFont="1" applyFill="1" applyBorder="1"/>
    <xf numFmtId="41" fontId="1" fillId="23" borderId="1" xfId="0" applyNumberFormat="1" applyFont="1" applyFill="1" applyBorder="1"/>
    <xf numFmtId="164" fontId="1" fillId="23" borderId="1" xfId="3" applyNumberFormat="1" applyFont="1" applyFill="1" applyBorder="1"/>
    <xf numFmtId="41" fontId="1" fillId="23" borderId="24" xfId="0" applyNumberFormat="1" applyFont="1" applyFill="1" applyBorder="1"/>
    <xf numFmtId="0" fontId="1" fillId="23" borderId="0" xfId="0" applyFont="1" applyFill="1"/>
    <xf numFmtId="41" fontId="1" fillId="23" borderId="6" xfId="0" applyNumberFormat="1" applyFont="1" applyFill="1" applyBorder="1"/>
    <xf numFmtId="3" fontId="1" fillId="23" borderId="1" xfId="0" applyNumberFormat="1" applyFont="1" applyFill="1" applyBorder="1"/>
    <xf numFmtId="3" fontId="1" fillId="23" borderId="7" xfId="0" applyNumberFormat="1" applyFont="1" applyFill="1" applyBorder="1"/>
    <xf numFmtId="0" fontId="1" fillId="23" borderId="6" xfId="0" applyFont="1" applyFill="1" applyBorder="1" applyAlignment="1">
      <alignment horizontal="left" vertical="top"/>
    </xf>
    <xf numFmtId="0" fontId="1" fillId="23" borderId="12" xfId="0" applyFont="1" applyFill="1" applyBorder="1" applyAlignment="1">
      <alignment horizontal="left" vertical="top"/>
    </xf>
    <xf numFmtId="3" fontId="1" fillId="23" borderId="17" xfId="0" applyNumberFormat="1" applyFont="1" applyFill="1" applyBorder="1"/>
    <xf numFmtId="0" fontId="1" fillId="23" borderId="12" xfId="0" applyFont="1" applyFill="1" applyBorder="1"/>
    <xf numFmtId="3" fontId="1" fillId="23" borderId="4" xfId="0" applyNumberFormat="1" applyFont="1" applyFill="1" applyBorder="1"/>
    <xf numFmtId="164" fontId="13" fillId="23" borderId="1" xfId="3" applyNumberFormat="1" applyFont="1" applyFill="1" applyBorder="1"/>
    <xf numFmtId="0" fontId="13" fillId="23" borderId="0" xfId="0" applyFont="1" applyFill="1"/>
    <xf numFmtId="0" fontId="1" fillId="18" borderId="0" xfId="0" applyFont="1" applyFill="1" applyAlignment="1">
      <alignment wrapText="1"/>
    </xf>
    <xf numFmtId="41" fontId="14" fillId="25" borderId="6" xfId="0" applyNumberFormat="1" applyFont="1" applyFill="1" applyBorder="1"/>
    <xf numFmtId="41" fontId="1" fillId="18" borderId="1" xfId="0" applyNumberFormat="1" applyFont="1" applyFill="1" applyBorder="1"/>
    <xf numFmtId="164" fontId="1" fillId="18" borderId="1" xfId="3" applyNumberFormat="1" applyFont="1" applyFill="1" applyBorder="1"/>
    <xf numFmtId="41" fontId="1" fillId="18" borderId="24" xfId="0" applyNumberFormat="1" applyFont="1" applyFill="1" applyBorder="1"/>
    <xf numFmtId="0" fontId="1" fillId="18" borderId="0" xfId="0" applyFont="1" applyFill="1"/>
    <xf numFmtId="41" fontId="1" fillId="18" borderId="6" xfId="0" applyNumberFormat="1" applyFont="1" applyFill="1" applyBorder="1"/>
    <xf numFmtId="3" fontId="1" fillId="18" borderId="1" xfId="0" applyNumberFormat="1" applyFont="1" applyFill="1" applyBorder="1"/>
    <xf numFmtId="3" fontId="1" fillId="18" borderId="7" xfId="0" applyNumberFormat="1" applyFont="1" applyFill="1" applyBorder="1"/>
    <xf numFmtId="0" fontId="1" fillId="18" borderId="6" xfId="0" applyFont="1" applyFill="1" applyBorder="1" applyAlignment="1">
      <alignment horizontal="left" vertical="top"/>
    </xf>
    <xf numFmtId="0" fontId="1" fillId="18" borderId="12" xfId="0" applyFont="1" applyFill="1" applyBorder="1" applyAlignment="1">
      <alignment horizontal="left" vertical="top"/>
    </xf>
    <xf numFmtId="3" fontId="1" fillId="18" borderId="17" xfId="0" applyNumberFormat="1" applyFont="1" applyFill="1" applyBorder="1"/>
    <xf numFmtId="0" fontId="1" fillId="18" borderId="12" xfId="0" applyFont="1" applyFill="1" applyBorder="1"/>
    <xf numFmtId="3" fontId="1" fillId="18" borderId="4" xfId="0" applyNumberFormat="1" applyFont="1" applyFill="1" applyBorder="1"/>
    <xf numFmtId="164" fontId="13" fillId="18" borderId="1" xfId="3" applyNumberFormat="1" applyFont="1" applyFill="1" applyBorder="1"/>
    <xf numFmtId="0" fontId="13" fillId="18" borderId="0" xfId="0" applyFont="1" applyFill="1"/>
    <xf numFmtId="0" fontId="9" fillId="26" borderId="1" xfId="0" applyFont="1" applyFill="1" applyBorder="1" applyAlignment="1">
      <alignment horizontal="left" vertical="top"/>
    </xf>
    <xf numFmtId="0" fontId="9" fillId="26" borderId="51" xfId="0" applyFont="1" applyFill="1" applyBorder="1" applyAlignment="1">
      <alignment vertical="center" wrapText="1"/>
    </xf>
    <xf numFmtId="0" fontId="28" fillId="26" borderId="0" xfId="0" applyFont="1" applyFill="1"/>
    <xf numFmtId="0" fontId="9" fillId="26" borderId="52" xfId="0" applyFont="1" applyFill="1" applyBorder="1" applyAlignment="1">
      <alignment horizontal="center" vertical="center" wrapText="1"/>
    </xf>
    <xf numFmtId="0" fontId="9" fillId="26" borderId="51" xfId="0" applyFont="1" applyFill="1" applyBorder="1" applyAlignment="1">
      <alignment vertical="center"/>
    </xf>
    <xf numFmtId="0" fontId="1" fillId="11" borderId="0" xfId="0" applyFont="1" applyFill="1" applyAlignment="1">
      <alignment wrapText="1"/>
    </xf>
    <xf numFmtId="41" fontId="14" fillId="27" borderId="6" xfId="0" applyNumberFormat="1" applyFont="1" applyFill="1" applyBorder="1"/>
    <xf numFmtId="41" fontId="1" fillId="11" borderId="1" xfId="0" applyNumberFormat="1" applyFont="1" applyFill="1" applyBorder="1"/>
    <xf numFmtId="164" fontId="1" fillId="11" borderId="1" xfId="3" applyNumberFormat="1" applyFont="1" applyFill="1" applyBorder="1"/>
    <xf numFmtId="41" fontId="1" fillId="11" borderId="24" xfId="0" applyNumberFormat="1" applyFont="1" applyFill="1" applyBorder="1"/>
    <xf numFmtId="0" fontId="1" fillId="11" borderId="0" xfId="0" applyFont="1" applyFill="1"/>
    <xf numFmtId="41" fontId="1" fillId="11" borderId="6" xfId="0" applyNumberFormat="1" applyFont="1" applyFill="1" applyBorder="1"/>
    <xf numFmtId="3" fontId="1" fillId="11" borderId="1" xfId="0" applyNumberFormat="1" applyFont="1" applyFill="1" applyBorder="1"/>
    <xf numFmtId="3" fontId="1" fillId="11" borderId="7" xfId="0" applyNumberFormat="1" applyFont="1" applyFill="1" applyBorder="1"/>
    <xf numFmtId="0" fontId="1" fillId="11" borderId="6" xfId="0" applyFont="1" applyFill="1" applyBorder="1" applyAlignment="1">
      <alignment horizontal="left" vertical="top"/>
    </xf>
    <xf numFmtId="0" fontId="1" fillId="11" borderId="12" xfId="0" applyFont="1" applyFill="1" applyBorder="1" applyAlignment="1">
      <alignment horizontal="left" vertical="top"/>
    </xf>
    <xf numFmtId="3" fontId="1" fillId="11" borderId="17" xfId="0" applyNumberFormat="1" applyFont="1" applyFill="1" applyBorder="1"/>
    <xf numFmtId="0" fontId="1" fillId="11" borderId="12" xfId="0" applyFont="1" applyFill="1" applyBorder="1"/>
    <xf numFmtId="3" fontId="1" fillId="11" borderId="4" xfId="0" applyNumberFormat="1" applyFont="1" applyFill="1" applyBorder="1"/>
    <xf numFmtId="164" fontId="13" fillId="11" borderId="1" xfId="3" applyNumberFormat="1" applyFont="1" applyFill="1" applyBorder="1"/>
    <xf numFmtId="0" fontId="13" fillId="11" borderId="0" xfId="0" applyFont="1" applyFill="1"/>
    <xf numFmtId="0" fontId="3" fillId="18" borderId="1" xfId="0" applyFont="1" applyFill="1" applyBorder="1" applyAlignment="1">
      <alignment horizontal="center" vertical="center"/>
    </xf>
    <xf numFmtId="173" fontId="16" fillId="0" borderId="0" xfId="0" applyNumberFormat="1" applyFont="1"/>
    <xf numFmtId="0" fontId="1" fillId="10" borderId="0" xfId="0" applyFont="1" applyFill="1"/>
    <xf numFmtId="0" fontId="1" fillId="10" borderId="0" xfId="0" applyFont="1" applyFill="1" applyAlignment="1">
      <alignment vertical="center"/>
    </xf>
    <xf numFmtId="0" fontId="2" fillId="10" borderId="1" xfId="0" applyFont="1" applyFill="1" applyBorder="1" applyAlignment="1">
      <alignment horizontal="center" vertical="center" wrapText="1"/>
    </xf>
    <xf numFmtId="0" fontId="1" fillId="0" borderId="0" xfId="0" applyFont="1" applyFill="1" applyAlignment="1">
      <alignment wrapText="1"/>
    </xf>
    <xf numFmtId="17" fontId="3" fillId="3" borderId="6" xfId="0" applyNumberFormat="1" applyFont="1" applyFill="1" applyBorder="1" applyAlignment="1">
      <alignment horizontal="center" wrapText="1"/>
    </xf>
    <xf numFmtId="0" fontId="3" fillId="3" borderId="1" xfId="0" applyFont="1" applyFill="1" applyBorder="1" applyAlignment="1">
      <alignment horizontal="center" vertical="center" wrapText="1"/>
    </xf>
    <xf numFmtId="0" fontId="11" fillId="14" borderId="38" xfId="0" applyFont="1" applyFill="1" applyBorder="1" applyAlignment="1">
      <alignment horizontal="center" vertical="center"/>
    </xf>
    <xf numFmtId="174" fontId="1" fillId="7" borderId="1" xfId="0" applyNumberFormat="1" applyFont="1" applyFill="1" applyBorder="1"/>
    <xf numFmtId="164" fontId="1" fillId="0" borderId="0" xfId="0" applyNumberFormat="1" applyFont="1" applyAlignment="1">
      <alignment wrapText="1"/>
    </xf>
    <xf numFmtId="164" fontId="7" fillId="2" borderId="9" xfId="0" applyNumberFormat="1" applyFont="1" applyFill="1" applyBorder="1" applyAlignment="1">
      <alignment horizontal="center" vertical="center"/>
    </xf>
    <xf numFmtId="164" fontId="7" fillId="2" borderId="3" xfId="0" applyNumberFormat="1" applyFont="1" applyFill="1" applyBorder="1" applyAlignment="1">
      <alignment horizontal="center" vertical="center"/>
    </xf>
    <xf numFmtId="164" fontId="3" fillId="3" borderId="1" xfId="3" applyNumberFormat="1" applyFont="1" applyFill="1" applyBorder="1" applyAlignment="1">
      <alignment horizontal="center" vertical="center" wrapText="1"/>
    </xf>
    <xf numFmtId="164" fontId="3" fillId="3" borderId="1" xfId="0" applyNumberFormat="1" applyFont="1" applyFill="1" applyBorder="1" applyAlignment="1">
      <alignment horizontal="center" vertical="center" wrapText="1"/>
    </xf>
    <xf numFmtId="164" fontId="1" fillId="4" borderId="1" xfId="0" applyNumberFormat="1" applyFont="1" applyFill="1" applyBorder="1"/>
    <xf numFmtId="164" fontId="23" fillId="4" borderId="1" xfId="0" applyNumberFormat="1" applyFont="1" applyFill="1" applyBorder="1"/>
    <xf numFmtId="164" fontId="23" fillId="0" borderId="0" xfId="4" applyNumberFormat="1" applyFont="1"/>
    <xf numFmtId="0" fontId="1" fillId="0" borderId="0" xfId="0" applyFont="1" applyBorder="1" applyAlignment="1">
      <alignment horizontal="center" vertical="center"/>
    </xf>
    <xf numFmtId="0" fontId="9" fillId="0" borderId="0" xfId="0" applyFont="1" applyFill="1"/>
    <xf numFmtId="0" fontId="9" fillId="0" borderId="1" xfId="0" applyFont="1" applyBorder="1" applyAlignment="1">
      <alignment horizontal="left" vertical="top" wrapText="1"/>
    </xf>
    <xf numFmtId="0" fontId="9" fillId="0" borderId="1" xfId="0" applyFont="1" applyFill="1" applyBorder="1" applyAlignment="1">
      <alignment horizontal="left" vertical="top"/>
    </xf>
    <xf numFmtId="0" fontId="9" fillId="0" borderId="1" xfId="0" applyFont="1" applyBorder="1" applyAlignment="1">
      <alignment horizontal="left" vertical="top"/>
    </xf>
    <xf numFmtId="0" fontId="5" fillId="0" borderId="1" xfId="0" applyFont="1" applyBorder="1" applyAlignment="1">
      <alignment horizontal="center" vertical="center"/>
    </xf>
    <xf numFmtId="41" fontId="9" fillId="4" borderId="1" xfId="0" applyNumberFormat="1" applyFont="1" applyFill="1" applyBorder="1"/>
    <xf numFmtId="164" fontId="9" fillId="4" borderId="1" xfId="0" applyNumberFormat="1" applyFont="1" applyFill="1" applyBorder="1"/>
    <xf numFmtId="41" fontId="9" fillId="0" borderId="6" xfId="0" applyNumberFormat="1" applyFont="1" applyBorder="1"/>
    <xf numFmtId="3" fontId="9" fillId="4" borderId="1" xfId="0" applyNumberFormat="1" applyFont="1" applyFill="1" applyBorder="1"/>
    <xf numFmtId="0" fontId="7" fillId="2" borderId="50" xfId="0" applyFont="1" applyFill="1" applyBorder="1" applyAlignment="1">
      <alignment vertical="center" wrapText="1"/>
    </xf>
    <xf numFmtId="0" fontId="1" fillId="28" borderId="1" xfId="0" applyFont="1" applyFill="1" applyBorder="1" applyAlignment="1">
      <alignment horizontal="left" vertical="top" wrapText="1"/>
    </xf>
    <xf numFmtId="175" fontId="1" fillId="4" borderId="1" xfId="4" applyNumberFormat="1" applyFont="1" applyFill="1" applyBorder="1"/>
    <xf numFmtId="41" fontId="13" fillId="4" borderId="1" xfId="0" applyNumberFormat="1" applyFont="1" applyFill="1" applyBorder="1"/>
    <xf numFmtId="0" fontId="0" fillId="0" borderId="0" xfId="0" pivotButton="1"/>
    <xf numFmtId="0" fontId="0" fillId="0" borderId="0" xfId="0" applyAlignment="1">
      <alignment horizontal="left"/>
    </xf>
    <xf numFmtId="0" fontId="0" fillId="19" borderId="0" xfId="0" applyFill="1"/>
    <xf numFmtId="0" fontId="36" fillId="19" borderId="0" xfId="0" applyFont="1" applyFill="1"/>
    <xf numFmtId="167" fontId="3" fillId="23" borderId="23" xfId="3" applyNumberFormat="1" applyFont="1" applyFill="1" applyBorder="1" applyAlignment="1"/>
    <xf numFmtId="167" fontId="3" fillId="19" borderId="23" xfId="3" applyNumberFormat="1" applyFont="1" applyFill="1" applyBorder="1" applyAlignment="1"/>
    <xf numFmtId="167" fontId="3" fillId="7" borderId="23" xfId="3" applyNumberFormat="1" applyFont="1" applyFill="1" applyBorder="1" applyAlignment="1"/>
    <xf numFmtId="167" fontId="3" fillId="11" borderId="23" xfId="3" applyNumberFormat="1" applyFont="1" applyFill="1" applyBorder="1" applyAlignment="1"/>
    <xf numFmtId="167" fontId="3" fillId="18" borderId="23" xfId="3" applyNumberFormat="1" applyFont="1" applyFill="1" applyBorder="1" applyAlignment="1"/>
    <xf numFmtId="167" fontId="28" fillId="26" borderId="0" xfId="0" applyNumberFormat="1" applyFont="1" applyFill="1"/>
    <xf numFmtId="167" fontId="0" fillId="21" borderId="0" xfId="0" applyNumberFormat="1" applyFill="1"/>
    <xf numFmtId="167" fontId="0" fillId="19" borderId="0" xfId="0" applyNumberFormat="1" applyFill="1"/>
    <xf numFmtId="0" fontId="37" fillId="19" borderId="0" xfId="0" applyFont="1" applyFill="1"/>
    <xf numFmtId="0" fontId="37" fillId="19" borderId="0" xfId="0" quotePrefix="1" applyFont="1" applyFill="1"/>
    <xf numFmtId="167" fontId="37" fillId="19" borderId="0" xfId="0" applyNumberFormat="1" applyFont="1" applyFill="1"/>
    <xf numFmtId="176" fontId="1" fillId="4" borderId="1" xfId="0" applyNumberFormat="1" applyFont="1" applyFill="1" applyBorder="1"/>
    <xf numFmtId="0" fontId="0" fillId="8" borderId="0" xfId="0" applyFill="1"/>
    <xf numFmtId="41" fontId="1" fillId="4" borderId="1" xfId="0" quotePrefix="1" applyNumberFormat="1" applyFont="1" applyFill="1" applyBorder="1"/>
    <xf numFmtId="167" fontId="38" fillId="0" borderId="0" xfId="3" applyNumberFormat="1" applyFont="1"/>
    <xf numFmtId="164" fontId="38" fillId="0" borderId="0" xfId="3" applyNumberFormat="1" applyFont="1"/>
    <xf numFmtId="0" fontId="11" fillId="14" borderId="38" xfId="0" applyFont="1" applyFill="1" applyBorder="1" applyAlignment="1">
      <alignment horizontal="center" vertical="center"/>
    </xf>
    <xf numFmtId="0" fontId="37" fillId="29" borderId="0" xfId="0" applyFont="1" applyFill="1"/>
    <xf numFmtId="9" fontId="1" fillId="0" borderId="0" xfId="4" applyFont="1"/>
    <xf numFmtId="164" fontId="39" fillId="0" borderId="0" xfId="3" applyNumberFormat="1" applyFont="1"/>
    <xf numFmtId="0" fontId="11" fillId="14" borderId="38" xfId="0" applyFont="1" applyFill="1" applyBorder="1" applyAlignment="1">
      <alignment horizontal="center" vertical="center"/>
    </xf>
    <xf numFmtId="43" fontId="3" fillId="7" borderId="0" xfId="3" applyNumberFormat="1" applyFont="1" applyFill="1"/>
    <xf numFmtId="177" fontId="1" fillId="0" borderId="0" xfId="0" applyNumberFormat="1" applyFont="1"/>
    <xf numFmtId="0" fontId="1" fillId="8" borderId="1" xfId="0" applyFont="1" applyFill="1" applyBorder="1" applyAlignment="1">
      <alignment horizontal="left" vertical="top" wrapText="1"/>
    </xf>
    <xf numFmtId="164" fontId="2" fillId="2" borderId="55" xfId="3" applyNumberFormat="1" applyFont="1" applyFill="1" applyBorder="1" applyAlignment="1">
      <alignment vertical="center" wrapText="1"/>
    </xf>
    <xf numFmtId="164" fontId="2" fillId="2" borderId="18" xfId="3" applyNumberFormat="1" applyFont="1" applyFill="1" applyBorder="1" applyAlignment="1">
      <alignment vertical="center" wrapText="1"/>
    </xf>
    <xf numFmtId="164" fontId="2" fillId="2" borderId="56" xfId="3" applyNumberFormat="1" applyFont="1" applyFill="1" applyBorder="1" applyAlignment="1">
      <alignment vertical="center" wrapText="1"/>
    </xf>
    <xf numFmtId="0" fontId="6" fillId="30" borderId="57" xfId="0" applyFont="1" applyFill="1" applyBorder="1" applyAlignment="1">
      <alignment horizontal="center" vertical="center"/>
    </xf>
    <xf numFmtId="0" fontId="1" fillId="0" borderId="1" xfId="0" applyFont="1" applyFill="1" applyBorder="1" applyAlignment="1">
      <alignment horizontal="center" vertical="center"/>
    </xf>
    <xf numFmtId="0" fontId="23" fillId="0" borderId="0" xfId="0" applyFont="1" applyFill="1"/>
    <xf numFmtId="0" fontId="23" fillId="0" borderId="0" xfId="0" applyFont="1"/>
    <xf numFmtId="0" fontId="23" fillId="0" borderId="0" xfId="0" applyFont="1" applyAlignment="1">
      <alignment wrapText="1"/>
    </xf>
    <xf numFmtId="0" fontId="42" fillId="0" borderId="0" xfId="0" applyFont="1"/>
    <xf numFmtId="0" fontId="3" fillId="0" borderId="1" xfId="0" applyFont="1" applyFill="1" applyBorder="1" applyAlignment="1">
      <alignment horizontal="center" vertical="center"/>
    </xf>
    <xf numFmtId="0" fontId="1" fillId="31" borderId="1" xfId="0" applyFont="1" applyFill="1" applyBorder="1" applyAlignment="1">
      <alignment horizontal="left" vertical="top" wrapText="1"/>
    </xf>
    <xf numFmtId="0" fontId="9" fillId="0" borderId="1" xfId="3" applyNumberFormat="1" applyFont="1" applyBorder="1" applyAlignment="1">
      <alignment wrapText="1"/>
    </xf>
    <xf numFmtId="164" fontId="9" fillId="0" borderId="1" xfId="3" applyNumberFormat="1" applyFont="1" applyBorder="1" applyAlignment="1">
      <alignment horizontal="left" wrapText="1"/>
    </xf>
    <xf numFmtId="164" fontId="9" fillId="0" borderId="1" xfId="3" applyNumberFormat="1" applyFont="1" applyBorder="1" applyAlignment="1">
      <alignment wrapText="1"/>
    </xf>
    <xf numFmtId="0" fontId="0" fillId="0" borderId="1" xfId="0" applyBorder="1"/>
    <xf numFmtId="0" fontId="1" fillId="0" borderId="0" xfId="0" applyFont="1" applyBorder="1" applyAlignment="1">
      <alignment horizontal="left" vertical="top"/>
    </xf>
    <xf numFmtId="0" fontId="0" fillId="0" borderId="1" xfId="0" applyFont="1" applyFill="1" applyBorder="1"/>
    <xf numFmtId="0" fontId="0" fillId="0" borderId="1" xfId="0" applyBorder="1" applyProtection="1">
      <protection locked="0"/>
    </xf>
    <xf numFmtId="0" fontId="12" fillId="0" borderId="1" xfId="1" applyFont="1" applyFill="1" applyBorder="1" applyAlignment="1">
      <alignment horizontal="center" vertical="center"/>
    </xf>
    <xf numFmtId="0" fontId="12" fillId="0" borderId="10" xfId="1" applyFont="1" applyFill="1" applyBorder="1" applyAlignment="1">
      <alignment horizontal="left" vertical="center"/>
    </xf>
    <xf numFmtId="0" fontId="12" fillId="0" borderId="1" xfId="2" applyFont="1" applyFill="1" applyBorder="1" applyAlignment="1">
      <alignment vertical="center"/>
    </xf>
    <xf numFmtId="0" fontId="1" fillId="0" borderId="10" xfId="0" applyFont="1" applyBorder="1" applyAlignment="1">
      <alignment horizontal="left" vertical="top"/>
    </xf>
    <xf numFmtId="0" fontId="12" fillId="0" borderId="1" xfId="2" applyFont="1" applyFill="1" applyBorder="1" applyAlignment="1">
      <alignment horizontal="left" vertical="center"/>
    </xf>
    <xf numFmtId="0" fontId="12" fillId="0" borderId="1" xfId="1" applyFont="1" applyFill="1" applyBorder="1" applyAlignment="1">
      <alignment horizontal="left" vertical="center"/>
    </xf>
    <xf numFmtId="0" fontId="1" fillId="31" borderId="0" xfId="0" applyFont="1" applyFill="1" applyBorder="1" applyAlignment="1">
      <alignment horizontal="left" vertical="top" wrapText="1"/>
    </xf>
    <xf numFmtId="0" fontId="0" fillId="0" borderId="0" xfId="0" applyFill="1"/>
    <xf numFmtId="0" fontId="1" fillId="28" borderId="1" xfId="0" applyFont="1" applyFill="1" applyBorder="1" applyAlignment="1">
      <alignment horizontal="left" vertical="top"/>
    </xf>
    <xf numFmtId="0" fontId="1" fillId="28" borderId="1" xfId="0" applyFont="1" applyFill="1" applyBorder="1" applyAlignment="1">
      <alignment horizontal="center" vertical="center"/>
    </xf>
    <xf numFmtId="41" fontId="1" fillId="28" borderId="1" xfId="0" applyNumberFormat="1" applyFont="1" applyFill="1" applyBorder="1"/>
    <xf numFmtId="41" fontId="13" fillId="28" borderId="1" xfId="0" applyNumberFormat="1" applyFont="1" applyFill="1" applyBorder="1"/>
    <xf numFmtId="164" fontId="1" fillId="28" borderId="1" xfId="0" applyNumberFormat="1" applyFont="1" applyFill="1" applyBorder="1"/>
    <xf numFmtId="0" fontId="37" fillId="28" borderId="0" xfId="0" applyFont="1" applyFill="1"/>
    <xf numFmtId="0" fontId="1" fillId="0" borderId="1" xfId="0" quotePrefix="1" applyFont="1" applyFill="1" applyBorder="1" applyAlignment="1">
      <alignment horizontal="center" vertical="center"/>
    </xf>
    <xf numFmtId="0" fontId="0" fillId="0" borderId="1" xfId="0" applyFill="1" applyBorder="1" applyAlignment="1">
      <alignment vertical="center" wrapText="1"/>
    </xf>
    <xf numFmtId="0" fontId="23"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37" fillId="0" borderId="0" xfId="0" applyFont="1" applyFill="1"/>
    <xf numFmtId="0" fontId="42" fillId="0" borderId="0" xfId="0" applyFont="1" applyFill="1"/>
    <xf numFmtId="164" fontId="1" fillId="28" borderId="1" xfId="3" applyNumberFormat="1" applyFont="1" applyFill="1" applyBorder="1"/>
    <xf numFmtId="0" fontId="0" fillId="0" borderId="0" xfId="0" applyAlignment="1">
      <alignment horizontal="right"/>
    </xf>
    <xf numFmtId="164" fontId="7" fillId="2" borderId="9" xfId="0" applyNumberFormat="1" applyFont="1" applyFill="1" applyBorder="1" applyAlignment="1">
      <alignment horizontal="center" vertical="center"/>
    </xf>
    <xf numFmtId="164" fontId="7" fillId="2" borderId="3" xfId="0" applyNumberFormat="1" applyFont="1" applyFill="1" applyBorder="1" applyAlignment="1">
      <alignment horizontal="center" vertical="center"/>
    </xf>
    <xf numFmtId="0" fontId="11" fillId="0" borderId="0" xfId="0" applyFont="1" applyAlignment="1">
      <alignment horizontal="left"/>
    </xf>
    <xf numFmtId="0" fontId="1" fillId="6" borderId="1" xfId="0" applyFont="1" applyFill="1" applyBorder="1" applyAlignment="1">
      <alignment horizontal="center" vertical="center"/>
    </xf>
    <xf numFmtId="0" fontId="2" fillId="10" borderId="28" xfId="0" applyFont="1" applyFill="1" applyBorder="1" applyAlignment="1">
      <alignment horizontal="center" vertical="center" wrapText="1"/>
    </xf>
    <xf numFmtId="0" fontId="2" fillId="10" borderId="45" xfId="0" applyFont="1" applyFill="1" applyBorder="1" applyAlignment="1">
      <alignment horizontal="center" vertical="center" wrapText="1"/>
    </xf>
    <xf numFmtId="3" fontId="0" fillId="0" borderId="0" xfId="0" applyNumberFormat="1"/>
    <xf numFmtId="0" fontId="13" fillId="8" borderId="0" xfId="0" applyFont="1" applyFill="1"/>
    <xf numFmtId="0" fontId="1" fillId="0" borderId="0" xfId="0" applyFont="1" applyFill="1" applyBorder="1" applyAlignment="1">
      <alignment horizontal="left" vertical="top" wrapText="1"/>
    </xf>
    <xf numFmtId="0" fontId="11" fillId="14" borderId="38" xfId="0" applyFont="1" applyFill="1" applyBorder="1" applyAlignment="1">
      <alignment horizontal="center" vertical="center"/>
    </xf>
    <xf numFmtId="164" fontId="9" fillId="0" borderId="0" xfId="3" applyNumberFormat="1" applyFont="1"/>
    <xf numFmtId="0" fontId="0" fillId="9" borderId="0" xfId="0" applyFill="1"/>
    <xf numFmtId="164" fontId="0" fillId="9" borderId="0" xfId="0" applyNumberFormat="1" applyFill="1"/>
    <xf numFmtId="0" fontId="6" fillId="0" borderId="57" xfId="0" applyFont="1" applyFill="1" applyBorder="1" applyAlignment="1">
      <alignment horizontal="center" vertical="center"/>
    </xf>
    <xf numFmtId="0" fontId="9" fillId="0" borderId="1" xfId="0" applyFont="1" applyFill="1" applyBorder="1" applyAlignment="1">
      <alignment horizontal="center" vertical="center"/>
    </xf>
    <xf numFmtId="0" fontId="0" fillId="21" borderId="0" xfId="0" applyFill="1" applyAlignment="1">
      <alignment horizontal="center" vertical="center"/>
    </xf>
    <xf numFmtId="164" fontId="0" fillId="21" borderId="0" xfId="0" applyNumberFormat="1" applyFill="1"/>
    <xf numFmtId="164" fontId="5" fillId="32" borderId="53" xfId="3" applyNumberFormat="1" applyFont="1" applyFill="1" applyBorder="1" applyAlignment="1">
      <alignment horizontal="center" vertical="center" wrapText="1"/>
    </xf>
    <xf numFmtId="164" fontId="5" fillId="32" borderId="54" xfId="3" applyNumberFormat="1" applyFont="1" applyFill="1" applyBorder="1" applyAlignment="1">
      <alignment horizontal="center" vertical="center" wrapText="1"/>
    </xf>
    <xf numFmtId="164" fontId="41" fillId="0" borderId="58" xfId="0" applyNumberFormat="1" applyFont="1" applyBorder="1" applyAlignment="1">
      <alignment horizontal="right" vertical="center"/>
    </xf>
    <xf numFmtId="43" fontId="41" fillId="0" borderId="58" xfId="0" applyNumberFormat="1" applyFont="1" applyBorder="1" applyAlignment="1">
      <alignment horizontal="right" vertical="center"/>
    </xf>
    <xf numFmtId="164" fontId="2" fillId="2" borderId="0" xfId="3" applyNumberFormat="1" applyFont="1" applyFill="1" applyBorder="1" applyAlignment="1">
      <alignment vertical="center" wrapText="1"/>
    </xf>
    <xf numFmtId="164" fontId="5" fillId="32" borderId="0" xfId="3" applyNumberFormat="1" applyFont="1" applyFill="1" applyBorder="1" applyAlignment="1">
      <alignment horizontal="center" vertical="center" wrapText="1"/>
    </xf>
    <xf numFmtId="0" fontId="6" fillId="18" borderId="57" xfId="0" applyFont="1" applyFill="1" applyBorder="1" applyAlignment="1">
      <alignment horizontal="center" vertical="center"/>
    </xf>
    <xf numFmtId="43" fontId="41" fillId="18" borderId="58" xfId="0" applyNumberFormat="1" applyFont="1" applyFill="1" applyBorder="1" applyAlignment="1">
      <alignment horizontal="right" vertical="center"/>
    </xf>
    <xf numFmtId="164" fontId="41" fillId="18" borderId="58" xfId="0" applyNumberFormat="1" applyFont="1" applyFill="1" applyBorder="1" applyAlignment="1">
      <alignment horizontal="right" vertical="center"/>
    </xf>
    <xf numFmtId="0" fontId="9" fillId="0" borderId="1" xfId="0" quotePrefix="1" applyFont="1" applyFill="1" applyBorder="1" applyAlignment="1">
      <alignment horizontal="center" vertical="center"/>
    </xf>
    <xf numFmtId="43" fontId="9" fillId="0" borderId="58" xfId="0" applyNumberFormat="1" applyFont="1" applyBorder="1" applyAlignment="1">
      <alignment horizontal="right" vertical="center"/>
    </xf>
    <xf numFmtId="0" fontId="13" fillId="33" borderId="0" xfId="0" applyFont="1" applyFill="1"/>
    <xf numFmtId="49" fontId="12" fillId="0" borderId="1" xfId="2" applyNumberFormat="1" applyFont="1" applyFill="1" applyBorder="1" applyAlignment="1">
      <alignment horizontal="left" vertical="center"/>
    </xf>
    <xf numFmtId="49" fontId="11" fillId="0" borderId="1" xfId="2" applyNumberFormat="1" applyFont="1" applyFill="1" applyBorder="1" applyAlignment="1">
      <alignment horizontal="center" vertical="center"/>
    </xf>
    <xf numFmtId="11" fontId="1" fillId="4" borderId="1" xfId="0" applyNumberFormat="1" applyFont="1" applyFill="1" applyBorder="1"/>
    <xf numFmtId="0" fontId="1" fillId="0" borderId="0" xfId="0" applyFont="1" applyFill="1" applyBorder="1" applyAlignment="1">
      <alignment horizontal="left" vertical="top"/>
    </xf>
    <xf numFmtId="164" fontId="3" fillId="7" borderId="0" xfId="3" applyNumberFormat="1" applyFont="1" applyFill="1" applyBorder="1"/>
    <xf numFmtId="164" fontId="3" fillId="7" borderId="0" xfId="3" applyNumberFormat="1" applyFont="1" applyFill="1" applyBorder="1" applyAlignment="1">
      <alignment wrapText="1"/>
    </xf>
    <xf numFmtId="166" fontId="1" fillId="4" borderId="32" xfId="4" applyNumberFormat="1" applyFont="1" applyFill="1" applyBorder="1"/>
    <xf numFmtId="0" fontId="11" fillId="14" borderId="38" xfId="0" applyFont="1" applyFill="1" applyBorder="1" applyAlignment="1">
      <alignment horizontal="center" vertical="center"/>
    </xf>
    <xf numFmtId="172" fontId="1" fillId="0" borderId="0" xfId="3" applyNumberFormat="1" applyFont="1"/>
    <xf numFmtId="178" fontId="1" fillId="0" borderId="0" xfId="0" applyNumberFormat="1" applyFont="1"/>
    <xf numFmtId="0" fontId="2" fillId="10" borderId="28" xfId="0" applyFont="1" applyFill="1" applyBorder="1" applyAlignment="1">
      <alignment horizontal="center" vertical="center" wrapText="1"/>
    </xf>
    <xf numFmtId="0" fontId="2" fillId="10" borderId="45" xfId="0" applyFont="1" applyFill="1" applyBorder="1" applyAlignment="1">
      <alignment horizontal="center" vertical="center" wrapText="1"/>
    </xf>
    <xf numFmtId="0" fontId="37" fillId="0" borderId="0" xfId="0" applyFont="1" applyAlignment="1">
      <alignment vertical="center"/>
    </xf>
    <xf numFmtId="0" fontId="43" fillId="0" borderId="0" xfId="0" applyFont="1" applyAlignment="1">
      <alignment vertical="center"/>
    </xf>
    <xf numFmtId="0" fontId="43" fillId="34" borderId="0" xfId="0" applyFont="1" applyFill="1" applyAlignment="1">
      <alignment vertical="center"/>
    </xf>
    <xf numFmtId="164" fontId="43" fillId="10" borderId="67" xfId="3" applyNumberFormat="1" applyFont="1" applyFill="1" applyBorder="1" applyAlignment="1">
      <alignment vertical="center"/>
    </xf>
    <xf numFmtId="0" fontId="0" fillId="9" borderId="68" xfId="0" applyFill="1" applyBorder="1" applyAlignment="1">
      <alignment horizontal="center" vertical="center" wrapText="1"/>
    </xf>
    <xf numFmtId="0" fontId="0" fillId="9" borderId="69" xfId="0" applyFill="1" applyBorder="1" applyAlignment="1">
      <alignment horizontal="center" vertical="center" wrapText="1"/>
    </xf>
    <xf numFmtId="164" fontId="0" fillId="9" borderId="70" xfId="3" applyNumberFormat="1" applyFont="1" applyFill="1" applyBorder="1" applyAlignment="1">
      <alignment horizontal="center" vertical="center" wrapText="1"/>
    </xf>
    <xf numFmtId="164" fontId="0" fillId="10" borderId="70" xfId="3" applyNumberFormat="1" applyFont="1" applyFill="1" applyBorder="1" applyAlignment="1">
      <alignment horizontal="center" vertical="center" wrapText="1"/>
    </xf>
    <xf numFmtId="164" fontId="0" fillId="9" borderId="71" xfId="3" applyNumberFormat="1" applyFont="1" applyFill="1" applyBorder="1" applyAlignment="1">
      <alignment horizontal="center" vertical="center" wrapText="1"/>
    </xf>
    <xf numFmtId="0" fontId="0" fillId="0" borderId="0" xfId="0" applyAlignment="1">
      <alignment wrapText="1"/>
    </xf>
    <xf numFmtId="0" fontId="0" fillId="0" borderId="73" xfId="0" applyBorder="1"/>
    <xf numFmtId="164" fontId="0" fillId="0" borderId="74" xfId="3" applyNumberFormat="1" applyFont="1" applyBorder="1"/>
    <xf numFmtId="167" fontId="0" fillId="0" borderId="74" xfId="3" applyNumberFormat="1" applyFont="1" applyBorder="1"/>
    <xf numFmtId="164" fontId="0" fillId="10" borderId="74" xfId="3" applyNumberFormat="1" applyFont="1" applyFill="1" applyBorder="1"/>
    <xf numFmtId="164" fontId="0" fillId="0" borderId="67" xfId="3" applyNumberFormat="1" applyFont="1" applyBorder="1"/>
    <xf numFmtId="0" fontId="0" fillId="0" borderId="75" xfId="0" applyBorder="1"/>
    <xf numFmtId="164" fontId="0" fillId="10" borderId="67" xfId="3" applyNumberFormat="1" applyFont="1" applyFill="1" applyBorder="1"/>
    <xf numFmtId="0" fontId="0" fillId="0" borderId="76" xfId="0" applyBorder="1"/>
    <xf numFmtId="0" fontId="0" fillId="11" borderId="77" xfId="0" applyFill="1" applyBorder="1"/>
    <xf numFmtId="0" fontId="0" fillId="11" borderId="69" xfId="0" applyFill="1" applyBorder="1"/>
    <xf numFmtId="164" fontId="0" fillId="11" borderId="70" xfId="3" applyNumberFormat="1" applyFont="1" applyFill="1" applyBorder="1"/>
    <xf numFmtId="164" fontId="0" fillId="10" borderId="70" xfId="3" applyNumberFormat="1" applyFont="1" applyFill="1" applyBorder="1"/>
    <xf numFmtId="172" fontId="0" fillId="0" borderId="74" xfId="3" applyNumberFormat="1" applyFont="1" applyBorder="1"/>
    <xf numFmtId="0" fontId="11" fillId="9" borderId="77" xfId="0" applyFont="1" applyFill="1" applyBorder="1"/>
    <xf numFmtId="0" fontId="11" fillId="9" borderId="69" xfId="0" applyFont="1" applyFill="1" applyBorder="1"/>
    <xf numFmtId="164" fontId="11" fillId="9" borderId="70" xfId="3" applyNumberFormat="1" applyFont="1" applyFill="1" applyBorder="1"/>
    <xf numFmtId="179" fontId="0" fillId="0" borderId="0" xfId="0" applyNumberFormat="1"/>
    <xf numFmtId="41" fontId="16" fillId="0" borderId="0" xfId="0" applyNumberFormat="1" applyFont="1"/>
    <xf numFmtId="0" fontId="16" fillId="0" borderId="0" xfId="0" pivotButton="1" applyFont="1"/>
    <xf numFmtId="0" fontId="16" fillId="0" borderId="0" xfId="0" pivotButton="1" applyFont="1"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vertical="center" wrapText="1"/>
    </xf>
    <xf numFmtId="178" fontId="2" fillId="2" borderId="22" xfId="3" applyNumberFormat="1" applyFont="1" applyFill="1" applyBorder="1" applyAlignment="1">
      <alignment horizontal="center" vertical="center" wrapText="1"/>
    </xf>
    <xf numFmtId="0" fontId="9" fillId="23" borderId="1" xfId="0" applyFont="1" applyFill="1" applyBorder="1" applyAlignment="1">
      <alignment horizontal="center" vertical="center"/>
    </xf>
    <xf numFmtId="0" fontId="0" fillId="9" borderId="0" xfId="0" applyFill="1" applyProtection="1">
      <protection locked="0"/>
    </xf>
    <xf numFmtId="1" fontId="0" fillId="9" borderId="0" xfId="0" applyNumberFormat="1" applyFill="1"/>
    <xf numFmtId="0" fontId="11" fillId="14" borderId="38" xfId="0" applyFont="1" applyFill="1" applyBorder="1" applyAlignment="1">
      <alignment horizontal="center" vertical="center"/>
    </xf>
    <xf numFmtId="0" fontId="0" fillId="0" borderId="0" xfId="0" applyAlignment="1" applyProtection="1">
      <alignment wrapText="1"/>
      <protection locked="0"/>
    </xf>
    <xf numFmtId="180" fontId="3" fillId="0" borderId="23" xfId="3" applyNumberFormat="1" applyFont="1" applyBorder="1" applyAlignment="1"/>
    <xf numFmtId="178" fontId="1" fillId="0" borderId="0" xfId="3" applyNumberFormat="1" applyFont="1"/>
    <xf numFmtId="180" fontId="1" fillId="8" borderId="0" xfId="3" applyNumberFormat="1" applyFont="1" applyFill="1"/>
    <xf numFmtId="0" fontId="1" fillId="0" borderId="0" xfId="0" applyFont="1" applyBorder="1" applyAlignment="1">
      <alignment horizontal="center" vertical="center" wrapText="1"/>
    </xf>
    <xf numFmtId="180" fontId="3" fillId="7" borderId="0" xfId="3" applyNumberFormat="1" applyFont="1" applyFill="1" applyBorder="1"/>
    <xf numFmtId="1" fontId="1" fillId="4" borderId="1" xfId="0" applyNumberFormat="1" applyFont="1" applyFill="1" applyBorder="1"/>
    <xf numFmtId="1" fontId="3" fillId="7" borderId="0" xfId="3" applyNumberFormat="1" applyFont="1" applyFill="1" applyBorder="1"/>
    <xf numFmtId="0" fontId="9" fillId="0" borderId="1" xfId="0" applyFont="1" applyFill="1" applyBorder="1" applyAlignment="1">
      <alignment horizontal="left" vertical="center"/>
    </xf>
    <xf numFmtId="0" fontId="13" fillId="0" borderId="1" xfId="0" applyFont="1" applyFill="1" applyBorder="1" applyAlignment="1">
      <alignment horizontal="left" vertical="top" wrapText="1"/>
    </xf>
    <xf numFmtId="0" fontId="13" fillId="0" borderId="1" xfId="0" applyFont="1" applyFill="1" applyBorder="1" applyAlignment="1">
      <alignment horizontal="left" vertical="top"/>
    </xf>
    <xf numFmtId="0" fontId="13" fillId="0" borderId="1" xfId="0" applyFont="1" applyBorder="1" applyAlignment="1">
      <alignment horizontal="left" vertical="top" wrapText="1"/>
    </xf>
    <xf numFmtId="0" fontId="45" fillId="0" borderId="1" xfId="0" applyFont="1" applyFill="1" applyBorder="1" applyAlignment="1">
      <alignment horizontal="center" vertical="center"/>
    </xf>
    <xf numFmtId="0" fontId="45" fillId="0" borderId="1" xfId="0" applyFont="1" applyBorder="1" applyAlignment="1">
      <alignment horizontal="center" vertical="center"/>
    </xf>
    <xf numFmtId="0" fontId="7" fillId="2" borderId="3" xfId="0" applyNumberFormat="1" applyFont="1" applyFill="1" applyBorder="1" applyAlignment="1">
      <alignment horizontal="center" vertical="center"/>
    </xf>
    <xf numFmtId="43" fontId="7" fillId="2" borderId="3"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0" fillId="3" borderId="14" xfId="0" applyFill="1" applyBorder="1" applyAlignment="1">
      <alignment vertical="center"/>
    </xf>
    <xf numFmtId="0" fontId="0" fillId="3" borderId="15" xfId="0" applyFill="1" applyBorder="1" applyAlignment="1">
      <alignment vertical="center"/>
    </xf>
    <xf numFmtId="0" fontId="7" fillId="2" borderId="4"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2" xfId="0" applyFont="1" applyFill="1" applyBorder="1" applyAlignment="1">
      <alignment horizontal="center" vertical="center"/>
    </xf>
    <xf numFmtId="0" fontId="10" fillId="3" borderId="20" xfId="0" applyFont="1" applyFill="1" applyBorder="1" applyAlignment="1">
      <alignment horizontal="center" vertical="center"/>
    </xf>
    <xf numFmtId="172" fontId="10" fillId="3" borderId="20" xfId="0" applyNumberFormat="1" applyFont="1" applyFill="1" applyBorder="1" applyAlignment="1">
      <alignment horizontal="center" vertical="center"/>
    </xf>
    <xf numFmtId="2" fontId="10" fillId="3" borderId="20" xfId="0" applyNumberFormat="1" applyFont="1" applyFill="1" applyBorder="1" applyAlignment="1">
      <alignment horizontal="center" vertical="center"/>
    </xf>
    <xf numFmtId="170" fontId="10" fillId="3" borderId="20" xfId="0" applyNumberFormat="1" applyFont="1" applyFill="1" applyBorder="1" applyAlignment="1">
      <alignment horizontal="center" vertical="center"/>
    </xf>
    <xf numFmtId="2" fontId="10" fillId="3" borderId="21" xfId="0" applyNumberFormat="1" applyFont="1" applyFill="1" applyBorder="1" applyAlignment="1">
      <alignment horizontal="center" vertical="center"/>
    </xf>
    <xf numFmtId="164" fontId="7" fillId="2" borderId="9" xfId="0" applyNumberFormat="1" applyFont="1" applyFill="1" applyBorder="1" applyAlignment="1">
      <alignment horizontal="center" vertical="center"/>
    </xf>
    <xf numFmtId="164" fontId="7" fillId="2" borderId="3" xfId="0" applyNumberFormat="1" applyFont="1" applyFill="1" applyBorder="1" applyAlignment="1">
      <alignment horizontal="center" vertical="center"/>
    </xf>
    <xf numFmtId="2" fontId="10" fillId="32" borderId="62" xfId="0" applyNumberFormat="1" applyFont="1" applyFill="1" applyBorder="1" applyAlignment="1">
      <alignment horizontal="center" vertical="center"/>
    </xf>
    <xf numFmtId="2" fontId="10" fillId="32" borderId="20" xfId="0" applyNumberFormat="1" applyFont="1" applyFill="1" applyBorder="1" applyAlignment="1">
      <alignment horizontal="center" vertical="center"/>
    </xf>
    <xf numFmtId="2" fontId="10" fillId="32" borderId="63" xfId="0" applyNumberFormat="1" applyFont="1" applyFill="1" applyBorder="1" applyAlignment="1">
      <alignment horizontal="center" vertical="center"/>
    </xf>
    <xf numFmtId="0" fontId="2" fillId="10" borderId="28" xfId="0" applyFont="1" applyFill="1" applyBorder="1" applyAlignment="1">
      <alignment horizontal="center" vertical="center" wrapText="1"/>
    </xf>
    <xf numFmtId="0" fontId="2" fillId="10" borderId="45" xfId="0" applyFont="1" applyFill="1" applyBorder="1" applyAlignment="1">
      <alignment horizontal="center" vertical="center" wrapText="1"/>
    </xf>
    <xf numFmtId="0" fontId="10" fillId="11" borderId="59" xfId="0" applyFont="1" applyFill="1" applyBorder="1" applyAlignment="1">
      <alignment horizontal="center" wrapText="1"/>
    </xf>
    <xf numFmtId="0" fontId="10" fillId="11" borderId="60" xfId="0" applyFont="1" applyFill="1" applyBorder="1" applyAlignment="1">
      <alignment horizontal="center" wrapText="1"/>
    </xf>
    <xf numFmtId="0" fontId="10" fillId="11" borderId="61" xfId="0" applyFont="1" applyFill="1" applyBorder="1" applyAlignment="1">
      <alignment horizontal="center" wrapText="1"/>
    </xf>
    <xf numFmtId="0" fontId="19" fillId="9" borderId="0" xfId="0" applyFont="1" applyFill="1" applyAlignment="1">
      <alignment horizontal="center"/>
    </xf>
    <xf numFmtId="0" fontId="11" fillId="14" borderId="38" xfId="0" applyFont="1" applyFill="1" applyBorder="1" applyAlignment="1">
      <alignment horizontal="center" vertical="center"/>
    </xf>
    <xf numFmtId="0" fontId="11" fillId="14" borderId="42" xfId="0" applyFont="1" applyFill="1" applyBorder="1" applyAlignment="1">
      <alignment horizontal="center" vertical="center"/>
    </xf>
    <xf numFmtId="0" fontId="11" fillId="14" borderId="38" xfId="0" applyFont="1" applyFill="1" applyBorder="1" applyAlignment="1">
      <alignment horizontal="center" vertical="center" wrapText="1"/>
    </xf>
    <xf numFmtId="0" fontId="11" fillId="14" borderId="42" xfId="0" applyFont="1" applyFill="1" applyBorder="1" applyAlignment="1">
      <alignment horizontal="center" vertical="center" wrapText="1"/>
    </xf>
    <xf numFmtId="0" fontId="0" fillId="0" borderId="72" xfId="0" applyBorder="1" applyAlignment="1">
      <alignment horizontal="center" vertical="center"/>
    </xf>
    <xf numFmtId="0" fontId="44" fillId="34" borderId="64" xfId="0" applyFont="1" applyFill="1" applyBorder="1" applyAlignment="1">
      <alignment horizontal="center" vertical="center"/>
    </xf>
    <xf numFmtId="0" fontId="44" fillId="34" borderId="65" xfId="0" applyFont="1" applyFill="1" applyBorder="1" applyAlignment="1">
      <alignment horizontal="center" vertical="center"/>
    </xf>
    <xf numFmtId="0" fontId="44" fillId="34" borderId="66" xfId="0" applyFont="1" applyFill="1" applyBorder="1" applyAlignment="1">
      <alignment horizontal="center" vertical="center"/>
    </xf>
    <xf numFmtId="164" fontId="44" fillId="34" borderId="67" xfId="3" applyNumberFormat="1" applyFont="1" applyFill="1" applyBorder="1" applyAlignment="1">
      <alignment horizontal="center" vertical="center"/>
    </xf>
    <xf numFmtId="0" fontId="44" fillId="34" borderId="67" xfId="0" applyFont="1" applyFill="1" applyBorder="1" applyAlignment="1">
      <alignment horizontal="center" vertical="center"/>
    </xf>
    <xf numFmtId="0" fontId="0" fillId="0" borderId="72" xfId="0" applyBorder="1" applyAlignment="1">
      <alignment horizontal="center" vertical="center" textRotation="90"/>
    </xf>
    <xf numFmtId="0" fontId="0" fillId="0" borderId="72" xfId="0" applyBorder="1" applyAlignment="1">
      <alignment horizontal="center" vertical="center" textRotation="90" wrapText="1"/>
    </xf>
    <xf numFmtId="0" fontId="0" fillId="9" borderId="0" xfId="0" applyFill="1" applyAlignment="1">
      <alignment horizontal="center" vertical="center"/>
    </xf>
    <xf numFmtId="0" fontId="13" fillId="23" borderId="50" xfId="0" applyFont="1" applyFill="1" applyBorder="1" applyAlignment="1">
      <alignment horizontal="center" vertical="center"/>
    </xf>
    <xf numFmtId="0" fontId="13" fillId="19" borderId="50" xfId="0" applyFont="1" applyFill="1" applyBorder="1" applyAlignment="1">
      <alignment horizontal="center" vertical="center"/>
    </xf>
    <xf numFmtId="0" fontId="13" fillId="18" borderId="50" xfId="0" applyFont="1" applyFill="1" applyBorder="1" applyAlignment="1">
      <alignment horizontal="center"/>
    </xf>
    <xf numFmtId="0" fontId="28" fillId="26" borderId="50" xfId="0" applyFont="1" applyFill="1" applyBorder="1" applyAlignment="1">
      <alignment horizontal="center" vertical="center"/>
    </xf>
    <xf numFmtId="0" fontId="0" fillId="19" borderId="0" xfId="0" applyFill="1" applyAlignment="1">
      <alignment horizontal="center" vertical="center"/>
    </xf>
    <xf numFmtId="0" fontId="0" fillId="21" borderId="50" xfId="0" applyFill="1" applyBorder="1" applyAlignment="1">
      <alignment horizontal="center" vertical="center"/>
    </xf>
    <xf numFmtId="0" fontId="13" fillId="7" borderId="50" xfId="0" applyFont="1" applyFill="1" applyBorder="1" applyAlignment="1">
      <alignment horizontal="center" vertical="center"/>
    </xf>
    <xf numFmtId="0" fontId="13" fillId="11" borderId="50" xfId="0" applyFont="1" applyFill="1" applyBorder="1" applyAlignment="1">
      <alignment horizontal="center" vertical="center"/>
    </xf>
    <xf numFmtId="0" fontId="1" fillId="0" borderId="0" xfId="0" applyFont="1" applyBorder="1" applyAlignment="1">
      <alignment horizontal="left" vertical="top" wrapText="1"/>
    </xf>
    <xf numFmtId="0" fontId="21" fillId="11" borderId="0" xfId="0" applyFont="1" applyFill="1" applyAlignment="1">
      <alignment horizontal="left" vertical="top" wrapText="1"/>
    </xf>
    <xf numFmtId="0" fontId="21" fillId="11" borderId="0" xfId="0" applyFont="1" applyFill="1" applyAlignment="1">
      <alignment horizontal="left" wrapText="1"/>
    </xf>
    <xf numFmtId="0" fontId="18" fillId="9" borderId="27" xfId="0" applyFont="1" applyFill="1" applyBorder="1" applyAlignment="1">
      <alignment horizontal="center"/>
    </xf>
    <xf numFmtId="0" fontId="20" fillId="9" borderId="27" xfId="0" applyFont="1" applyFill="1" applyBorder="1" applyAlignment="1">
      <alignment horizontal="right"/>
    </xf>
  </cellXfs>
  <cellStyles count="6">
    <cellStyle name="Comma" xfId="3" builtinId="3"/>
    <cellStyle name="Normal" xfId="0" builtinId="0"/>
    <cellStyle name="Normal 9 35 2" xfId="1"/>
    <cellStyle name="Normal 9 35 2 2" xfId="2"/>
    <cellStyle name="Percent" xfId="4" builtinId="5"/>
    <cellStyle name="Vírgula 6 2" xfId="5"/>
  </cellStyles>
  <dxfs count="39">
    <dxf>
      <numFmt numFmtId="164" formatCode="_-* #,##0_-;\-* #,##0_-;_-* &quot;-&quot;??_-;_-@_-"/>
    </dxf>
    <dxf>
      <font>
        <color rgb="FF0000FF"/>
      </font>
    </dxf>
    <dxf>
      <font>
        <color rgb="FFFF0000"/>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readingOrder="0"/>
    </dxf>
    <dxf>
      <alignment horizontal="right" readingOrder="0"/>
    </dxf>
    <dxf>
      <numFmt numFmtId="164" formatCode="_-* #,##0_-;\-* #,##0_-;_-* &quot;-&quot;??_-;_-@_-"/>
    </dxf>
    <dxf>
      <numFmt numFmtId="33" formatCode="_-* #,##0_-;\-* #,##0_-;_-* &quot;-&quot;_-;_-@_-"/>
    </dxf>
    <dxf>
      <numFmt numFmtId="173" formatCode="_-* #,##0.0000_-;\-* #,##0.0000_-;_-* &quot;-&quot;_-;_-@_-"/>
    </dxf>
    <dxf>
      <numFmt numFmtId="33" formatCode="_-* #,##0_-;\-* #,##0_-;_-* &quot;-&quot;_-;_-@_-"/>
    </dxf>
    <dxf>
      <numFmt numFmtId="171" formatCode="_-* #,##0.00000000_-;\-* #,##0.00000000_-;_-* &quot;-&quot;_-;_-@_-"/>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vertical="center" readingOrder="0"/>
    </dxf>
    <dxf>
      <alignment vertical="center" readingOrder="0"/>
    </dxf>
    <dxf>
      <alignment vertical="center" readingOrder="0"/>
    </dxf>
    <dxf>
      <alignment wrapText="1" readingOrder="0"/>
    </dxf>
    <dxf>
      <alignment horizontal="center" readingOrder="0"/>
    </dxf>
    <dxf>
      <alignment horizontal="center" readingOrder="0"/>
    </dxf>
    <dxf>
      <alignment horizontal="center" readingOrder="0"/>
    </dxf>
    <dxf>
      <numFmt numFmtId="33" formatCode="_-* #,##0_-;\-* #,##0_-;_-* &quot;-&quot;_-;_-@_-"/>
    </dxf>
  </dxfs>
  <tableStyles count="0" defaultTableStyle="TableStyleMedium2" defaultPivotStyle="PivotStyleLight16"/>
  <colors>
    <mruColors>
      <color rgb="FFA162D0"/>
      <color rgb="FFFFCCFF"/>
      <color rgb="FFC198E0"/>
      <color rgb="FF0000FF"/>
      <color rgb="FF006600"/>
      <color rgb="FF008000"/>
      <color rgb="FF009900"/>
      <color rgb="FF3366FF"/>
      <color rgb="FFFFF2E5"/>
      <color rgb="FFFFE6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microsoft.com/office/2007/relationships/slicerCache" Target="slicerCaches/slicerCache1.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Distribuição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1"/>
          <c:order val="0"/>
          <c:tx>
            <c:strRef>
              <c:f>'Gráfico - Curva de Desembolsos'!$B$6</c:f>
              <c:strCache>
                <c:ptCount val="1"/>
                <c:pt idx="0">
                  <c:v>Limite indicativo para investimento (anual)</c:v>
                </c:pt>
              </c:strCache>
            </c:strRef>
          </c:tx>
          <c:spPr>
            <a:solidFill>
              <a:srgbClr val="008000"/>
            </a:solidFill>
            <a:ln>
              <a:noFill/>
            </a:ln>
            <a:effectLst/>
          </c:spPr>
          <c:invertIfNegative val="0"/>
          <c:dLbls>
            <c:dLbl>
              <c:idx val="0"/>
              <c:layout>
                <c:manualLayout>
                  <c:x val="0"/>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
                  <c:y val="9.2592592592591737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6.8471052262407127E-17"/>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8674139067049518E-3"/>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3.7348278134097671E-3"/>
                  <c:y val="9.2592592592591737E-3"/>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4.3557796975054143E-3"/>
                  <c:y val="6.979075532225096E-3"/>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Desembolsos'!$C$6:$H$6</c:f>
              <c:numCache>
                <c:formatCode>_-* #,##0_-;\-* #,##0_-;_-* "-"??_-;_-@_-</c:formatCode>
                <c:ptCount val="6"/>
                <c:pt idx="0">
                  <c:v>50054</c:v>
                </c:pt>
                <c:pt idx="1">
                  <c:v>50054</c:v>
                </c:pt>
                <c:pt idx="2">
                  <c:v>66738</c:v>
                </c:pt>
                <c:pt idx="3">
                  <c:v>83423</c:v>
                </c:pt>
                <c:pt idx="4">
                  <c:v>83422</c:v>
                </c:pt>
                <c:pt idx="5">
                  <c:v>333691</c:v>
                </c:pt>
              </c:numCache>
            </c:numRef>
          </c:val>
        </c:ser>
        <c:ser>
          <c:idx val="0"/>
          <c:order val="1"/>
          <c:tx>
            <c:strRef>
              <c:f>'Gráfico - Curva de Desembolsos'!$B$8</c:f>
              <c:strCache>
                <c:ptCount val="1"/>
                <c:pt idx="0">
                  <c:v>Programa de investimento 2018-2022 (anual)</c:v>
                </c:pt>
              </c:strCache>
            </c:strRef>
          </c:tx>
          <c:spPr>
            <a:solidFill>
              <a:schemeClr val="accent5">
                <a:lumMod val="60000"/>
                <a:lumOff val="40000"/>
              </a:schemeClr>
            </a:solidFill>
            <a:ln>
              <a:noFill/>
            </a:ln>
            <a:effectLst/>
          </c:spPr>
          <c:invertIfNegative val="0"/>
          <c:dLbls>
            <c:dLbl>
              <c:idx val="0"/>
              <c:layout>
                <c:manualLayout>
                  <c:x val="5.602241720114650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1"/>
              <c:layout>
                <c:manualLayout>
                  <c:x val="9.3370695335244173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2"/>
              <c:layout>
                <c:manualLayout>
                  <c:x val="7.4696556268196027E-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dLbl>
              <c:idx val="5"/>
              <c:layout>
                <c:manualLayout>
                  <c:x val="-3.7348278134099037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Desembolsos'!$C$8:$H$8</c:f>
              <c:numCache>
                <c:formatCode>_-* #,##0_-;\-* #,##0_-;_-* "-"??_-;_-@_-</c:formatCode>
                <c:ptCount val="6"/>
                <c:pt idx="0">
                  <c:v>69957.157313967866</c:v>
                </c:pt>
                <c:pt idx="1">
                  <c:v>89451.144437086536</c:v>
                </c:pt>
                <c:pt idx="2">
                  <c:v>65279.377571619341</c:v>
                </c:pt>
                <c:pt idx="3">
                  <c:v>52102.574358179481</c:v>
                </c:pt>
                <c:pt idx="4">
                  <c:v>50814.725319137768</c:v>
                </c:pt>
                <c:pt idx="5">
                  <c:v>327604.97899999097</c:v>
                </c:pt>
              </c:numCache>
            </c:numRef>
          </c:val>
        </c:ser>
        <c:dLbls>
          <c:showLegendKey val="0"/>
          <c:showVal val="1"/>
          <c:showCatName val="0"/>
          <c:showSerName val="0"/>
          <c:showPercent val="0"/>
          <c:showBubbleSize val="0"/>
        </c:dLbls>
        <c:gapWidth val="52"/>
        <c:axId val="1095598144"/>
        <c:axId val="1095591072"/>
      </c:barChart>
      <c:catAx>
        <c:axId val="1095598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1095591072"/>
        <c:crosses val="autoZero"/>
        <c:auto val="1"/>
        <c:lblAlgn val="ctr"/>
        <c:lblOffset val="100"/>
        <c:noMultiLvlLbl val="0"/>
      </c:catAx>
      <c:valAx>
        <c:axId val="109559107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a:latin typeface="Arial Narrow" panose="020B0606020202030204" pitchFamily="34" charset="0"/>
                  </a:rPr>
                  <a:t>R$MM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095598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Geração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Desembolsos'!$B$64</c:f>
              <c:strCache>
                <c:ptCount val="1"/>
                <c:pt idx="0">
                  <c:v>Limite indicativo para investimento (anual)</c:v>
                </c:pt>
              </c:strCache>
            </c:strRef>
          </c:tx>
          <c:spPr>
            <a:solidFill>
              <a:srgbClr val="008000"/>
            </a:solidFill>
            <a:ln>
              <a:noFill/>
            </a:ln>
            <a:effectLst/>
          </c:spPr>
          <c:invertIfNegative val="0"/>
          <c:dLbls>
            <c:dLbl>
              <c:idx val="0"/>
              <c:layout>
                <c:manualLayout>
                  <c:x val="0"/>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7.469655626819568E-3"/>
                  <c:y val="2.3148148148148147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3.7348278134098356E-3"/>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8674139067048835E-3"/>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1.3694210452481425E-16"/>
                  <c:y val="1.3888888888888888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3.7348278134097671E-3"/>
                  <c:y val="1.8518518518518517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Desembolsos'!$C$63:$H$63</c:f>
              <c:strCache>
                <c:ptCount val="6"/>
                <c:pt idx="0">
                  <c:v>2018</c:v>
                </c:pt>
                <c:pt idx="1">
                  <c:v>2019</c:v>
                </c:pt>
                <c:pt idx="2">
                  <c:v>2020</c:v>
                </c:pt>
                <c:pt idx="3">
                  <c:v>2021</c:v>
                </c:pt>
                <c:pt idx="4">
                  <c:v>2022</c:v>
                </c:pt>
                <c:pt idx="5">
                  <c:v>Total</c:v>
                </c:pt>
              </c:strCache>
            </c:strRef>
          </c:cat>
          <c:val>
            <c:numRef>
              <c:f>'Gráfico - Curva de Desembolsos'!$C$64:$H$64</c:f>
              <c:numCache>
                <c:formatCode>_-* #,##0_-;\-* #,##0_-;_-* "-"??_-;_-@_-</c:formatCode>
                <c:ptCount val="6"/>
                <c:pt idx="0">
                  <c:v>2456.6</c:v>
                </c:pt>
                <c:pt idx="1">
                  <c:v>2456.6</c:v>
                </c:pt>
                <c:pt idx="2">
                  <c:v>2456.6</c:v>
                </c:pt>
                <c:pt idx="3">
                  <c:v>2456.6</c:v>
                </c:pt>
                <c:pt idx="4">
                  <c:v>2456.6</c:v>
                </c:pt>
                <c:pt idx="5">
                  <c:v>12283</c:v>
                </c:pt>
              </c:numCache>
            </c:numRef>
          </c:val>
        </c:ser>
        <c:ser>
          <c:idx val="1"/>
          <c:order val="1"/>
          <c:tx>
            <c:strRef>
              <c:f>'Gráfico - Curva de Desembolsos'!$B$66</c:f>
              <c:strCache>
                <c:ptCount val="1"/>
                <c:pt idx="0">
                  <c:v>Programa de investimento 2018-2022 (anual)</c:v>
                </c:pt>
              </c:strCache>
            </c:strRef>
          </c:tx>
          <c:spPr>
            <a:solidFill>
              <a:schemeClr val="accent5">
                <a:lumMod val="60000"/>
                <a:lumOff val="40000"/>
              </a:schemeClr>
            </a:solidFill>
            <a:ln>
              <a:noFill/>
            </a:ln>
            <a:effectLst/>
          </c:spPr>
          <c:invertIfNegative val="0"/>
          <c:dLbls>
            <c:dLbl>
              <c:idx val="5"/>
              <c:layout>
                <c:manualLayout>
                  <c:x val="3.8481678122063989E-3"/>
                  <c:y val="1.388888888888888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Desembolsos'!$C$63:$H$63</c:f>
              <c:strCache>
                <c:ptCount val="6"/>
                <c:pt idx="0">
                  <c:v>2018</c:v>
                </c:pt>
                <c:pt idx="1">
                  <c:v>2019</c:v>
                </c:pt>
                <c:pt idx="2">
                  <c:v>2020</c:v>
                </c:pt>
                <c:pt idx="3">
                  <c:v>2021</c:v>
                </c:pt>
                <c:pt idx="4">
                  <c:v>2022</c:v>
                </c:pt>
                <c:pt idx="5">
                  <c:v>Total</c:v>
                </c:pt>
              </c:strCache>
            </c:strRef>
          </c:cat>
          <c:val>
            <c:numRef>
              <c:f>'Gráfico - Curva de Desembolsos'!$C$66:$H$66</c:f>
              <c:numCache>
                <c:formatCode>_-* #,##0_-;\-* #,##0_-;_-* "-"??_-;_-@_-</c:formatCode>
                <c:ptCount val="6"/>
                <c:pt idx="0">
                  <c:v>2385.3743325702662</c:v>
                </c:pt>
                <c:pt idx="1">
                  <c:v>2256.5879623186884</c:v>
                </c:pt>
                <c:pt idx="2">
                  <c:v>2628.3198399761573</c:v>
                </c:pt>
                <c:pt idx="3">
                  <c:v>2700.5</c:v>
                </c:pt>
                <c:pt idx="4">
                  <c:v>2311.8755151348901</c:v>
                </c:pt>
                <c:pt idx="5">
                  <c:v>12282.657650000003</c:v>
                </c:pt>
              </c:numCache>
            </c:numRef>
          </c:val>
        </c:ser>
        <c:dLbls>
          <c:showLegendKey val="0"/>
          <c:showVal val="1"/>
          <c:showCatName val="0"/>
          <c:showSerName val="0"/>
          <c:showPercent val="0"/>
          <c:showBubbleSize val="0"/>
        </c:dLbls>
        <c:gapWidth val="50"/>
        <c:axId val="1095591616"/>
        <c:axId val="1095592160"/>
      </c:barChart>
      <c:catAx>
        <c:axId val="1095591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crossAx val="1095592160"/>
        <c:crosses val="autoZero"/>
        <c:auto val="1"/>
        <c:lblAlgn val="ctr"/>
        <c:lblOffset val="100"/>
        <c:noMultiLvlLbl val="0"/>
      </c:catAx>
      <c:valAx>
        <c:axId val="109559216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sz="1000" b="0" i="0" baseline="0">
                    <a:effectLst/>
                  </a:rPr>
                  <a:t>R$Mil</a:t>
                </a:r>
                <a:endParaRPr lang="pt-BR" sz="4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095591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Transmissão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Desembolsos'!$B$103</c:f>
              <c:strCache>
                <c:ptCount val="1"/>
                <c:pt idx="0">
                  <c:v>Limite indicativo para investimento (anual)</c:v>
                </c:pt>
              </c:strCache>
            </c:strRef>
          </c:tx>
          <c:spPr>
            <a:solidFill>
              <a:srgbClr val="0066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Desembolsos'!$C$103:$H$103</c:f>
              <c:numCache>
                <c:formatCode>_-* #,##0_-;\-* #,##0_-;_-* "-"??_-;_-@_-</c:formatCode>
                <c:ptCount val="6"/>
                <c:pt idx="0">
                  <c:v>2700</c:v>
                </c:pt>
                <c:pt idx="1">
                  <c:v>2752</c:v>
                </c:pt>
                <c:pt idx="2">
                  <c:v>2846</c:v>
                </c:pt>
                <c:pt idx="3">
                  <c:v>2940</c:v>
                </c:pt>
                <c:pt idx="4">
                  <c:v>3011</c:v>
                </c:pt>
                <c:pt idx="5">
                  <c:v>14249</c:v>
                </c:pt>
              </c:numCache>
            </c:numRef>
          </c:val>
        </c:ser>
        <c:ser>
          <c:idx val="1"/>
          <c:order val="1"/>
          <c:tx>
            <c:strRef>
              <c:f>'Gráfico - Curva de Desembolsos'!$B$105</c:f>
              <c:strCache>
                <c:ptCount val="1"/>
                <c:pt idx="0">
                  <c:v>Programa de investimento 2018-2022 (anual)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Desembolsos'!$C$105:$H$105</c:f>
              <c:numCache>
                <c:formatCode>_-* #,##0_-;\-* #,##0_-;_-* "-"??_-;_-@_-</c:formatCode>
                <c:ptCount val="6"/>
                <c:pt idx="0">
                  <c:v>2441.6929174855413</c:v>
                </c:pt>
                <c:pt idx="1">
                  <c:v>4494.0944475144588</c:v>
                </c:pt>
                <c:pt idx="2">
                  <c:v>2338.4936449999996</c:v>
                </c:pt>
                <c:pt idx="3">
                  <c:v>4641.2189899999994</c:v>
                </c:pt>
                <c:pt idx="4">
                  <c:v>333.5</c:v>
                </c:pt>
                <c:pt idx="5">
                  <c:v>14248.999999999998</c:v>
                </c:pt>
              </c:numCache>
            </c:numRef>
          </c:val>
        </c:ser>
        <c:dLbls>
          <c:showLegendKey val="0"/>
          <c:showVal val="1"/>
          <c:showCatName val="0"/>
          <c:showSerName val="0"/>
          <c:showPercent val="0"/>
          <c:showBubbleSize val="0"/>
        </c:dLbls>
        <c:gapWidth val="50"/>
        <c:axId val="1407172256"/>
        <c:axId val="1407171712"/>
      </c:barChart>
      <c:catAx>
        <c:axId val="1407172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crossAx val="1407171712"/>
        <c:crosses val="autoZero"/>
        <c:auto val="1"/>
        <c:lblAlgn val="ctr"/>
        <c:lblOffset val="100"/>
        <c:noMultiLvlLbl val="0"/>
      </c:catAx>
      <c:valAx>
        <c:axId val="140717171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sz="1100" b="0" i="0" baseline="0">
                    <a:effectLst/>
                  </a:rPr>
                  <a:t>R$Mil</a:t>
                </a:r>
                <a:endParaRPr lang="pt-BR" sz="6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407172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sz="1400" b="1" i="0" baseline="0">
                <a:effectLst/>
              </a:rPr>
              <a:t>Distribuição 2018-2022</a:t>
            </a:r>
            <a:endParaRPr lang="pt-BR" sz="14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1"/>
          <c:tx>
            <c:strRef>
              <c:f>'Gráfico - Curva de Desembolsos'!$B$8</c:f>
              <c:strCache>
                <c:ptCount val="1"/>
                <c:pt idx="0">
                  <c:v>Programa de investimento 2018-2022 (anual)</c:v>
                </c:pt>
              </c:strCache>
            </c:strRef>
          </c:tx>
          <c:spPr>
            <a:solidFill>
              <a:schemeClr val="bg1">
                <a:lumMod val="65000"/>
              </a:schemeClr>
            </a:solidFill>
            <a:ln>
              <a:noFill/>
            </a:ln>
            <a:effectLst/>
          </c:spPr>
          <c:invertIfNegative val="0"/>
          <c:dLbls>
            <c:dLbl>
              <c:idx val="0"/>
              <c:layout>
                <c:manualLayout>
                  <c:x val="5.6022417201146502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1"/>
              <c:layout>
                <c:manualLayout>
                  <c:x val="9.3370695335244173E-3"/>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2"/>
              <c:layout>
                <c:manualLayout>
                  <c:x val="7.4696556268196027E-3"/>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dLbl>
              <c:idx val="3"/>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dLbl>
              <c:idx val="4"/>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'Gráfico - Curva de Desembolsos'!$C$5:$G$5</c:f>
              <c:numCache>
                <c:formatCode>General</c:formatCode>
                <c:ptCount val="5"/>
                <c:pt idx="0">
                  <c:v>2018</c:v>
                </c:pt>
                <c:pt idx="1">
                  <c:v>2019</c:v>
                </c:pt>
                <c:pt idx="2">
                  <c:v>2020</c:v>
                </c:pt>
                <c:pt idx="3">
                  <c:v>2021</c:v>
                </c:pt>
                <c:pt idx="4">
                  <c:v>2022</c:v>
                </c:pt>
              </c:numCache>
            </c:numRef>
          </c:cat>
          <c:val>
            <c:numRef>
              <c:f>'Gráfico - Curva de Desembolsos'!$C$8:$G$8</c:f>
              <c:numCache>
                <c:formatCode>_-* #,##0_-;\-* #,##0_-;_-* "-"??_-;_-@_-</c:formatCode>
                <c:ptCount val="5"/>
                <c:pt idx="0">
                  <c:v>69957.157313967866</c:v>
                </c:pt>
                <c:pt idx="1">
                  <c:v>89451.144437086536</c:v>
                </c:pt>
                <c:pt idx="2">
                  <c:v>65279.377571619341</c:v>
                </c:pt>
                <c:pt idx="3">
                  <c:v>52102.574358179481</c:v>
                </c:pt>
                <c:pt idx="4">
                  <c:v>50814.725319137768</c:v>
                </c:pt>
              </c:numCache>
            </c:numRef>
          </c:val>
        </c:ser>
        <c:ser>
          <c:idx val="2"/>
          <c:order val="2"/>
          <c:tx>
            <c:strRef>
              <c:f>'Gráfico - Curva de Desembolsos'!$B$9</c:f>
              <c:strCache>
                <c:ptCount val="1"/>
                <c:pt idx="0">
                  <c:v>Programa de investimento 2018-2022 (acumulado)</c:v>
                </c:pt>
              </c:strCache>
            </c:strRef>
          </c:tx>
          <c:spPr>
            <a:solidFill>
              <a:srgbClr val="0066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'Gráfico - Curva de Desembolsos'!$C$5:$G$5</c:f>
              <c:numCache>
                <c:formatCode>General</c:formatCode>
                <c:ptCount val="5"/>
                <c:pt idx="0">
                  <c:v>2018</c:v>
                </c:pt>
                <c:pt idx="1">
                  <c:v>2019</c:v>
                </c:pt>
                <c:pt idx="2">
                  <c:v>2020</c:v>
                </c:pt>
                <c:pt idx="3">
                  <c:v>2021</c:v>
                </c:pt>
                <c:pt idx="4">
                  <c:v>2022</c:v>
                </c:pt>
              </c:numCache>
            </c:numRef>
          </c:cat>
          <c:val>
            <c:numRef>
              <c:f>'Gráfico - Curva de Desembolsos'!$C$9:$G$9</c:f>
              <c:numCache>
                <c:formatCode>_-* #,##0_-;\-* #,##0_-;_-* "-"??_-;_-@_-</c:formatCode>
                <c:ptCount val="5"/>
                <c:pt idx="0">
                  <c:v>69957.157313967866</c:v>
                </c:pt>
                <c:pt idx="1">
                  <c:v>159408.30175105442</c:v>
                </c:pt>
                <c:pt idx="2">
                  <c:v>224687.67932267376</c:v>
                </c:pt>
                <c:pt idx="3">
                  <c:v>276790.25368085323</c:v>
                </c:pt>
                <c:pt idx="4">
                  <c:v>327604.97899999097</c:v>
                </c:pt>
              </c:numCache>
            </c:numRef>
          </c:val>
        </c:ser>
        <c:dLbls>
          <c:showLegendKey val="0"/>
          <c:showVal val="1"/>
          <c:showCatName val="0"/>
          <c:showSerName val="0"/>
          <c:showPercent val="0"/>
          <c:showBubbleSize val="0"/>
        </c:dLbls>
        <c:gapWidth val="52"/>
        <c:axId val="1407172800"/>
        <c:axId val="1407173344"/>
        <c:extLst>
          <c:ext xmlns:c15="http://schemas.microsoft.com/office/drawing/2012/chart" uri="{02D57815-91ED-43cb-92C2-25804820EDAC}">
            <c15:filteredBarSeries>
              <c15:ser>
                <c:idx val="1"/>
                <c:order val="0"/>
                <c:tx>
                  <c:strRef>
                    <c:extLst>
                      <c:ext uri="{02D57815-91ED-43cb-92C2-25804820EDAC}">
                        <c15:formulaRef>
                          <c15:sqref>'Gráfico - Curva de Desembolsos'!$B$6</c15:sqref>
                        </c15:formulaRef>
                      </c:ext>
                    </c:extLst>
                    <c:strCache>
                      <c:ptCount val="1"/>
                      <c:pt idx="0">
                        <c:v>Limite indicativo para investimento (anual)</c:v>
                      </c:pt>
                    </c:strCache>
                  </c:strRef>
                </c:tx>
                <c:spPr>
                  <a:solidFill>
                    <a:srgbClr val="008000"/>
                  </a:solidFill>
                  <a:ln>
                    <a:solidFill>
                      <a:schemeClr val="accent4">
                        <a:lumMod val="50000"/>
                      </a:schemeClr>
                    </a:solidFill>
                  </a:ln>
                  <a:effectLst/>
                </c:spPr>
                <c:invertIfNegative val="0"/>
                <c:dLbls>
                  <c:dLbl>
                    <c:idx val="0"/>
                    <c:layout>
                      <c:manualLayout>
                        <c:x val="0"/>
                        <c:y val="1.3888888888888805E-2"/>
                      </c:manualLayout>
                    </c:layout>
                    <c:showLegendKey val="0"/>
                    <c:showVal val="1"/>
                    <c:showCatName val="0"/>
                    <c:showSerName val="0"/>
                    <c:showPercent val="0"/>
                    <c:showBubbleSize val="0"/>
                    <c:extLst>
                      <c:ext uri="{CE6537A1-D6FC-4f65-9D91-7224C49458BB}"/>
                    </c:extLst>
                  </c:dLbl>
                  <c:dLbl>
                    <c:idx val="1"/>
                    <c:layout>
                      <c:manualLayout>
                        <c:x val="0"/>
                        <c:y val="9.2592592592591737E-3"/>
                      </c:manualLayout>
                    </c:layout>
                    <c:showLegendKey val="0"/>
                    <c:showVal val="1"/>
                    <c:showCatName val="0"/>
                    <c:showSerName val="0"/>
                    <c:showPercent val="0"/>
                    <c:showBubbleSize val="0"/>
                    <c:extLst>
                      <c:ext uri="{CE6537A1-D6FC-4f65-9D91-7224C49458BB}"/>
                    </c:extLst>
                  </c:dLbl>
                  <c:dLbl>
                    <c:idx val="2"/>
                    <c:layout>
                      <c:manualLayout>
                        <c:x val="-6.8471052262407127E-17"/>
                        <c:y val="1.3888888888888805E-2"/>
                      </c:manualLayout>
                    </c:layout>
                    <c:showLegendKey val="0"/>
                    <c:showVal val="1"/>
                    <c:showCatName val="0"/>
                    <c:showSerName val="0"/>
                    <c:showPercent val="0"/>
                    <c:showBubbleSize val="0"/>
                    <c:extLst>
                      <c:ext uri="{CE6537A1-D6FC-4f65-9D91-7224C49458BB}"/>
                    </c:extLst>
                  </c:dLbl>
                  <c:dLbl>
                    <c:idx val="3"/>
                    <c:layout>
                      <c:manualLayout>
                        <c:x val="-1.8674139067049518E-3"/>
                        <c:y val="1.3888888888888805E-2"/>
                      </c:manualLayout>
                    </c:layout>
                    <c:showLegendKey val="0"/>
                    <c:showVal val="1"/>
                    <c:showCatName val="0"/>
                    <c:showSerName val="0"/>
                    <c:showPercent val="0"/>
                    <c:showBubbleSize val="0"/>
                    <c:extLst>
                      <c:ext uri="{CE6537A1-D6FC-4f65-9D91-7224C49458BB}"/>
                    </c:extLst>
                  </c:dLbl>
                  <c:dLbl>
                    <c:idx val="4"/>
                    <c:layout>
                      <c:manualLayout>
                        <c:x val="-3.7348278134097671E-3"/>
                        <c:y val="9.2592592592591737E-3"/>
                      </c:manualLayout>
                    </c:layout>
                    <c:showLegendKey val="0"/>
                    <c:showVal val="1"/>
                    <c:showCatName val="0"/>
                    <c:showSerName val="0"/>
                    <c:showPercent val="0"/>
                    <c:showBubbleSize val="0"/>
                    <c:extLst>
                      <c:ext uri="{CE6537A1-D6FC-4f65-9D91-7224C49458BB}"/>
                    </c:extLst>
                  </c:dLbl>
                  <c:dLbl>
                    <c:idx val="5"/>
                    <c:layout>
                      <c:manualLayout>
                        <c:x val="-4.3557796975054143E-3"/>
                        <c:y val="6.979075532225096E-3"/>
                      </c:manualLayout>
                    </c:layout>
                    <c:showLegendKey val="0"/>
                    <c:showVal val="1"/>
                    <c:showCatName val="0"/>
                    <c:showSerName val="0"/>
                    <c:showPercent val="0"/>
                    <c:showBubbleSize val="0"/>
                    <c:extLst>
                      <c:ex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'Gráfico - Curva de Desembolsos'!$C$5:$G$5</c15:sqref>
                        </c15:formulaRef>
                      </c:ext>
                    </c:extLst>
                    <c:numCache>
                      <c:formatCode>General</c:formatCode>
                      <c:ptCount val="5"/>
                      <c:pt idx="0">
                        <c:v>2018</c:v>
                      </c:pt>
                      <c:pt idx="1">
                        <c:v>2019</c:v>
                      </c:pt>
                      <c:pt idx="2">
                        <c:v>2020</c:v>
                      </c:pt>
                      <c:pt idx="3">
                        <c:v>2021</c:v>
                      </c:pt>
                      <c:pt idx="4">
                        <c:v>2022</c:v>
                      </c:pt>
                    </c:numCache>
                  </c:numRef>
                </c:cat>
                <c:val>
                  <c:numRef>
                    <c:extLst>
                      <c:ext uri="{02D57815-91ED-43cb-92C2-25804820EDAC}">
                        <c15:formulaRef>
                          <c15:sqref>'Gráfico - Curva de Desembolsos'!$C$6:$H$6</c15:sqref>
                        </c15:formulaRef>
                      </c:ext>
                    </c:extLst>
                    <c:numCache>
                      <c:formatCode>_-* #,##0_-;\-* #,##0_-;_-* "-"??_-;_-@_-</c:formatCode>
                      <c:ptCount val="6"/>
                      <c:pt idx="0">
                        <c:v>50054</c:v>
                      </c:pt>
                      <c:pt idx="1">
                        <c:v>50054</c:v>
                      </c:pt>
                      <c:pt idx="2">
                        <c:v>66738</c:v>
                      </c:pt>
                      <c:pt idx="3">
                        <c:v>83423</c:v>
                      </c:pt>
                      <c:pt idx="4">
                        <c:v>83422</c:v>
                      </c:pt>
                      <c:pt idx="5">
                        <c:v>333691</c:v>
                      </c:pt>
                    </c:numCache>
                  </c:numRef>
                </c:val>
              </c15:ser>
            </c15:filteredBarSeries>
          </c:ext>
        </c:extLst>
      </c:barChart>
      <c:catAx>
        <c:axId val="1407172800"/>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407173344"/>
        <c:crosses val="autoZero"/>
        <c:auto val="1"/>
        <c:lblAlgn val="ctr"/>
        <c:lblOffset val="100"/>
        <c:noMultiLvlLbl val="0"/>
      </c:catAx>
      <c:valAx>
        <c:axId val="1407173344"/>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407172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Distribuição 2018-2022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Desembolsos'!$B$8</c:f>
              <c:strCache>
                <c:ptCount val="1"/>
                <c:pt idx="0">
                  <c:v>Programa de investimento 2018-2022 (anual)</c:v>
                </c:pt>
              </c:strCache>
            </c:strRef>
          </c:tx>
          <c:spPr>
            <a:solidFill>
              <a:schemeClr val="bg1">
                <a:lumMod val="65000"/>
              </a:schemeClr>
            </a:solidFill>
            <a:ln>
              <a:noFill/>
            </a:ln>
            <a:effectLst/>
          </c:spPr>
          <c:invertIfNegative val="0"/>
          <c:dLbls>
            <c:dLbl>
              <c:idx val="0"/>
              <c:layout>
                <c:manualLayout>
                  <c:x val="5.6022417201146502E-3"/>
                  <c:y val="9.2592592592592587E-3"/>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3092768998280809E-5"/>
                  <c:y val="9.2592592592590887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1.2536020410035588E-3"/>
                  <c:y val="1.3888888888888805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4.6620046620047756E-3"/>
                  <c:y val="-8.4875562720133283E-17"/>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6.2160062160063296E-3"/>
                  <c:y val="0"/>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Desembolsos'!$C$8:$G$8</c:f>
              <c:numCache>
                <c:formatCode>_-* #,##0_-;\-* #,##0_-;_-* "-"??_-;_-@_-</c:formatCode>
                <c:ptCount val="5"/>
                <c:pt idx="0">
                  <c:v>69957.157313967866</c:v>
                </c:pt>
                <c:pt idx="1">
                  <c:v>89451.144437086536</c:v>
                </c:pt>
                <c:pt idx="2">
                  <c:v>65279.377571619341</c:v>
                </c:pt>
                <c:pt idx="3">
                  <c:v>52102.574358179481</c:v>
                </c:pt>
                <c:pt idx="4">
                  <c:v>50814.725319137768</c:v>
                </c:pt>
              </c:numCache>
            </c:numRef>
          </c:val>
        </c:ser>
        <c:ser>
          <c:idx val="2"/>
          <c:order val="1"/>
          <c:tx>
            <c:strRef>
              <c:f>'Gráfico - Curva de Desembolsos'!$B$9</c:f>
              <c:strCache>
                <c:ptCount val="1"/>
                <c:pt idx="0">
                  <c:v>Programa de investimento 2018-2022 (acumulado)</c:v>
                </c:pt>
              </c:strCache>
            </c:strRef>
          </c:tx>
          <c:spPr>
            <a:solidFill>
              <a:srgbClr val="006600"/>
            </a:solidFill>
            <a:ln>
              <a:noFill/>
            </a:ln>
            <a:effectLst/>
          </c:spPr>
          <c:invertIfNegative val="0"/>
          <c:dLbls>
            <c:dLbl>
              <c:idx val="0"/>
              <c:layout>
                <c:manualLayout>
                  <c:x val="1.3986013986013972E-2"/>
                  <c:y val="0"/>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3.108003108003108E-3"/>
                  <c:y val="4.6296296296297144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5.6979398749180387E-17"/>
                  <c:y val="1.3888888888888888E-2"/>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Desembolsos'!$C$9:$H$9</c:f>
              <c:numCache>
                <c:formatCode>_-* #,##0_-;\-* #,##0_-;_-* "-"??_-;_-@_-</c:formatCode>
                <c:ptCount val="6"/>
                <c:pt idx="0">
                  <c:v>69957.157313967866</c:v>
                </c:pt>
                <c:pt idx="1">
                  <c:v>159408.30175105442</c:v>
                </c:pt>
                <c:pt idx="2">
                  <c:v>224687.67932267376</c:v>
                </c:pt>
                <c:pt idx="3">
                  <c:v>276790.25368085323</c:v>
                </c:pt>
                <c:pt idx="4">
                  <c:v>327604.97899999097</c:v>
                </c:pt>
                <c:pt idx="5">
                  <c:v>327604.97899999097</c:v>
                </c:pt>
              </c:numCache>
            </c:numRef>
          </c:val>
        </c:ser>
        <c:ser>
          <c:idx val="1"/>
          <c:order val="2"/>
          <c:tx>
            <c:strRef>
              <c:f>'Gráfico - Curva de Desembolsos'!$B$7</c:f>
              <c:strCache>
                <c:ptCount val="1"/>
                <c:pt idx="0">
                  <c:v>Limite indicativo para investimento </c:v>
                </c:pt>
              </c:strCache>
            </c:strRef>
          </c:tx>
          <c:spPr>
            <a:solidFill>
              <a:schemeClr val="accent5">
                <a:lumMod val="60000"/>
                <a:lumOff val="40000"/>
              </a:schemeClr>
            </a:solidFill>
            <a:ln>
              <a:noFill/>
            </a:ln>
            <a:effectLst/>
          </c:spPr>
          <c:invertIfNegative val="0"/>
          <c:dLbls>
            <c:dLbl>
              <c:idx val="5"/>
              <c:layout>
                <c:manualLayout>
                  <c:x val="9.3240093240090968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Desembolsos'!$C$5:$H$5</c:f>
              <c:strCache>
                <c:ptCount val="6"/>
                <c:pt idx="0">
                  <c:v>2018</c:v>
                </c:pt>
                <c:pt idx="1">
                  <c:v>2019</c:v>
                </c:pt>
                <c:pt idx="2">
                  <c:v>2020</c:v>
                </c:pt>
                <c:pt idx="3">
                  <c:v>2021</c:v>
                </c:pt>
                <c:pt idx="4">
                  <c:v>2022</c:v>
                </c:pt>
                <c:pt idx="5">
                  <c:v>Total</c:v>
                </c:pt>
              </c:strCache>
            </c:strRef>
          </c:cat>
          <c:val>
            <c:numRef>
              <c:f>'Gráfico - Curva de Desembolsos'!$C$7:$H$7</c:f>
              <c:numCache>
                <c:formatCode>_-* #,##0_-;\-* #,##0_-;_-* "-"??_-;_-@_-</c:formatCode>
                <c:ptCount val="6"/>
                <c:pt idx="5">
                  <c:v>333691</c:v>
                </c:pt>
              </c:numCache>
            </c:numRef>
          </c:val>
        </c:ser>
        <c:dLbls>
          <c:showLegendKey val="0"/>
          <c:showVal val="1"/>
          <c:showCatName val="0"/>
          <c:showSerName val="0"/>
          <c:showPercent val="0"/>
          <c:showBubbleSize val="0"/>
        </c:dLbls>
        <c:gapWidth val="0"/>
        <c:axId val="1407173888"/>
        <c:axId val="1844067488"/>
        <c:extLst/>
      </c:barChart>
      <c:catAx>
        <c:axId val="1407173888"/>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844067488"/>
        <c:crosses val="autoZero"/>
        <c:auto val="1"/>
        <c:lblAlgn val="ctr"/>
        <c:lblOffset val="100"/>
        <c:noMultiLvlLbl val="0"/>
      </c:catAx>
      <c:valAx>
        <c:axId val="1844067488"/>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407173888"/>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r>
              <a: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rPr>
              <a:t>Geração 2018-2022</a:t>
            </a:r>
          </a:p>
        </c:rich>
      </c:tx>
      <c:overlay val="0"/>
      <c:spPr>
        <a:noFill/>
        <a:ln>
          <a:noFill/>
        </a:ln>
        <a:effectLst/>
      </c:spPr>
      <c:txPr>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Desembolsos'!$B$66</c:f>
              <c:strCache>
                <c:ptCount val="1"/>
                <c:pt idx="0">
                  <c:v>Programa de investimento 2018-2022 (anual)</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pt idx="5">
                  <c:v>Total</c:v>
                </c:pt>
              </c:strCache>
            </c:strRef>
          </c:cat>
          <c:val>
            <c:numRef>
              <c:extLst>
                <c:ext xmlns:c15="http://schemas.microsoft.com/office/drawing/2012/chart" uri="{02D57815-91ED-43cb-92C2-25804820EDAC}">
                  <c15:fullRef>
                    <c15:sqref>'Gráfico - Curva de Desembolsos'!$C$66:$G$66</c15:sqref>
                  </c15:fullRef>
                </c:ext>
              </c:extLst>
              <c:f>'Gráfico - Curva de Desembolsos'!$C$66:$G$66</c:f>
              <c:numCache>
                <c:formatCode>_-* #,##0_-;\-* #,##0_-;_-* "-"??_-;_-@_-</c:formatCode>
                <c:ptCount val="5"/>
                <c:pt idx="0">
                  <c:v>2385.3743325702662</c:v>
                </c:pt>
                <c:pt idx="1">
                  <c:v>2256.5879623186884</c:v>
                </c:pt>
                <c:pt idx="2">
                  <c:v>2628.3198399761573</c:v>
                </c:pt>
                <c:pt idx="3">
                  <c:v>2700.5</c:v>
                </c:pt>
                <c:pt idx="4">
                  <c:v>2311.8755151348901</c:v>
                </c:pt>
              </c:numCache>
            </c:numRef>
          </c:val>
        </c:ser>
        <c:ser>
          <c:idx val="2"/>
          <c:order val="1"/>
          <c:tx>
            <c:strRef>
              <c:f>'Gráfico - Curva de Desembolsos'!$B$67</c:f>
              <c:strCache>
                <c:ptCount val="1"/>
                <c:pt idx="0">
                  <c:v>Programa de investimento 2018-2022 (acumulado)</c:v>
                </c:pt>
              </c:strCache>
            </c:strRef>
          </c:tx>
          <c:spPr>
            <a:solidFill>
              <a:srgbClr val="0066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strCache>
            </c:strRef>
          </c:cat>
          <c:val>
            <c:numRef>
              <c:extLst>
                <c:ext xmlns:c15="http://schemas.microsoft.com/office/drawing/2012/chart" uri="{02D57815-91ED-43cb-92C2-25804820EDAC}">
                  <c15:fullRef>
                    <c15:sqref>'Gráfico - Curva de Desembolsos'!$C$67:$H$67</c15:sqref>
                  </c15:fullRef>
                </c:ext>
              </c:extLst>
              <c:f>'Gráfico - Curva de Desembolsos'!$C$67:$G$67</c:f>
              <c:numCache>
                <c:formatCode>_-* #,##0_-;\-* #,##0_-;_-* "-"??_-;_-@_-</c:formatCode>
                <c:ptCount val="5"/>
                <c:pt idx="0">
                  <c:v>2385.3743325702662</c:v>
                </c:pt>
                <c:pt idx="1">
                  <c:v>4641.9622948889546</c:v>
                </c:pt>
                <c:pt idx="2">
                  <c:v>7270.2821348651123</c:v>
                </c:pt>
                <c:pt idx="3">
                  <c:v>9970.7821348651123</c:v>
                </c:pt>
                <c:pt idx="4">
                  <c:v>12282.657650000003</c:v>
                </c:pt>
              </c:numCache>
            </c:numRef>
          </c:val>
        </c:ser>
        <c:dLbls>
          <c:showLegendKey val="0"/>
          <c:showVal val="1"/>
          <c:showCatName val="0"/>
          <c:showSerName val="0"/>
          <c:showPercent val="0"/>
          <c:showBubbleSize val="0"/>
        </c:dLbls>
        <c:gapWidth val="112"/>
        <c:axId val="1844062048"/>
        <c:axId val="1844066400"/>
        <c:extLst>
          <c:ext xmlns:c15="http://schemas.microsoft.com/office/drawing/2012/chart" uri="{02D57815-91ED-43cb-92C2-25804820EDAC}">
            <c15:filteredBarSeries>
              <c15:ser>
                <c:idx val="1"/>
                <c:order val="2"/>
                <c:tx>
                  <c:strRef>
                    <c:extLst>
                      <c:ext uri="{02D57815-91ED-43cb-92C2-25804820EDAC}">
                        <c15:formulaRef>
                          <c15:sqref>'Gráfico - Curva de Desembolsos'!$B$65</c15:sqref>
                        </c15:formulaRef>
                      </c:ext>
                    </c:extLst>
                    <c:strCache>
                      <c:ptCount val="1"/>
                      <c:pt idx="0">
                        <c:v>Limite indicativo para investimento </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'Gráfico - Curva de Desembolsos'!$C$63:$H$63</c15:sqref>
                        </c15:fullRef>
                        <c15:formulaRef>
                          <c15:sqref>'Gráfico - Curva de Desembolsos'!$C$63:$G$63</c15:sqref>
                        </c15:formulaRef>
                      </c:ext>
                    </c:extLst>
                    <c:strCache>
                      <c:ptCount val="5"/>
                      <c:pt idx="0">
                        <c:v>2018</c:v>
                      </c:pt>
                      <c:pt idx="1">
                        <c:v>2019</c:v>
                      </c:pt>
                      <c:pt idx="2">
                        <c:v>2020</c:v>
                      </c:pt>
                      <c:pt idx="3">
                        <c:v>2021</c:v>
                      </c:pt>
                      <c:pt idx="4">
                        <c:v>2022</c:v>
                      </c:pt>
                    </c:strCache>
                  </c:strRef>
                </c:cat>
                <c:val>
                  <c:numRef>
                    <c:extLst>
                      <c:ext uri="{02D57815-91ED-43cb-92C2-25804820EDAC}">
                        <c15:fullRef>
                          <c15:sqref>'Gráfico - Curva de Desembolsos'!$C$65:$H$65</c15:sqref>
                        </c15:fullRef>
                        <c15:formulaRef>
                          <c15:sqref>'Gráfico - Curva de Desembolsos'!$C$65:$G$65</c15:sqref>
                        </c15:formulaRef>
                      </c:ext>
                    </c:extLst>
                    <c:numCache>
                      <c:formatCode>_-* #,##0_-;\-* #,##0_-;_-* "-"??_-;_-@_-</c:formatCode>
                      <c:ptCount val="5"/>
                    </c:numCache>
                  </c:numRef>
                </c:val>
              </c15:ser>
            </c15:filteredBarSeries>
          </c:ext>
        </c:extLst>
      </c:barChart>
      <c:catAx>
        <c:axId val="1844062048"/>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844066400"/>
        <c:crosses val="autoZero"/>
        <c:auto val="1"/>
        <c:lblAlgn val="ctr"/>
        <c:lblOffset val="100"/>
        <c:noMultiLvlLbl val="0"/>
      </c:catAx>
      <c:valAx>
        <c:axId val="1844066400"/>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844062048"/>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r>
              <a: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rPr>
              <a:t>Transmissão 2018-2022</a:t>
            </a:r>
          </a:p>
        </c:rich>
      </c:tx>
      <c:overlay val="0"/>
      <c:spPr>
        <a:noFill/>
        <a:ln>
          <a:noFill/>
        </a:ln>
        <a:effectLst/>
      </c:spPr>
      <c:txPr>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Desembolsos'!$B$105</c:f>
              <c:strCache>
                <c:ptCount val="1"/>
                <c:pt idx="0">
                  <c:v>Programa de investimento 2018-2022 (anual)</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pt idx="5">
                  <c:v>Total</c:v>
                </c:pt>
              </c:strCache>
            </c:strRef>
          </c:cat>
          <c:val>
            <c:numRef>
              <c:extLst>
                <c:ext xmlns:c15="http://schemas.microsoft.com/office/drawing/2012/chart" uri="{02D57815-91ED-43cb-92C2-25804820EDAC}">
                  <c15:fullRef>
                    <c15:sqref>'Gráfico - Curva de Desembolsos'!$C$105:$G$105</c15:sqref>
                  </c15:fullRef>
                </c:ext>
              </c:extLst>
              <c:f>'Gráfico - Curva de Desembolsos'!$C$105:$G$105</c:f>
              <c:numCache>
                <c:formatCode>_-* #,##0_-;\-* #,##0_-;_-* "-"??_-;_-@_-</c:formatCode>
                <c:ptCount val="5"/>
                <c:pt idx="0">
                  <c:v>2441.6929174855413</c:v>
                </c:pt>
                <c:pt idx="1">
                  <c:v>4494.0944475144588</c:v>
                </c:pt>
                <c:pt idx="2">
                  <c:v>2338.4936449999996</c:v>
                </c:pt>
                <c:pt idx="3">
                  <c:v>4641.2189899999994</c:v>
                </c:pt>
                <c:pt idx="4">
                  <c:v>333.5</c:v>
                </c:pt>
              </c:numCache>
            </c:numRef>
          </c:val>
        </c:ser>
        <c:ser>
          <c:idx val="2"/>
          <c:order val="1"/>
          <c:tx>
            <c:strRef>
              <c:f>'Gráfico - Curva de Desembolsos'!$B$106</c:f>
              <c:strCache>
                <c:ptCount val="1"/>
                <c:pt idx="0">
                  <c:v>Programa de investimento 2018-2022 (acumulado)</c:v>
                </c:pt>
              </c:strCache>
            </c:strRef>
          </c:tx>
          <c:spPr>
            <a:solidFill>
              <a:srgbClr val="0066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strCache>
            </c:strRef>
          </c:cat>
          <c:val>
            <c:numRef>
              <c:extLst>
                <c:ext xmlns:c15="http://schemas.microsoft.com/office/drawing/2012/chart" uri="{02D57815-91ED-43cb-92C2-25804820EDAC}">
                  <c15:fullRef>
                    <c15:sqref>'Gráfico - Curva de Desembolsos'!$C$106:$H$106</c15:sqref>
                  </c15:fullRef>
                </c:ext>
              </c:extLst>
              <c:f>'Gráfico - Curva de Desembolsos'!$C$106:$G$106</c:f>
              <c:numCache>
                <c:formatCode>_-* #,##0_-;\-* #,##0_-;_-* "-"??_-;_-@_-</c:formatCode>
                <c:ptCount val="5"/>
                <c:pt idx="0">
                  <c:v>2441.6929174855413</c:v>
                </c:pt>
                <c:pt idx="1">
                  <c:v>6935.7873650000001</c:v>
                </c:pt>
                <c:pt idx="2">
                  <c:v>9274.2810099999988</c:v>
                </c:pt>
                <c:pt idx="3">
                  <c:v>13915.499999999998</c:v>
                </c:pt>
                <c:pt idx="4">
                  <c:v>14248.999999999998</c:v>
                </c:pt>
              </c:numCache>
            </c:numRef>
          </c:val>
        </c:ser>
        <c:dLbls>
          <c:showLegendKey val="0"/>
          <c:showVal val="1"/>
          <c:showCatName val="0"/>
          <c:showSerName val="0"/>
          <c:showPercent val="0"/>
          <c:showBubbleSize val="0"/>
        </c:dLbls>
        <c:gapWidth val="112"/>
        <c:axId val="1844065856"/>
        <c:axId val="1844061504"/>
        <c:extLst>
          <c:ext xmlns:c15="http://schemas.microsoft.com/office/drawing/2012/chart" uri="{02D57815-91ED-43cb-92C2-25804820EDAC}">
            <c15:filteredBarSeries>
              <c15:ser>
                <c:idx val="1"/>
                <c:order val="2"/>
                <c:tx>
                  <c:strRef>
                    <c:extLst>
                      <c:ext uri="{02D57815-91ED-43cb-92C2-25804820EDAC}">
                        <c15:formulaRef>
                          <c15:sqref>'Gráfico - Curva de Desembolsos'!$B$104</c15:sqref>
                        </c15:formulaRef>
                      </c:ext>
                    </c:extLst>
                    <c:strCache>
                      <c:ptCount val="1"/>
                      <c:pt idx="0">
                        <c:v>Limite indicativo para investimento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'Gráfico - Curva de Desembolsos'!$C$63:$H$63</c15:sqref>
                        </c15:fullRef>
                        <c15:formulaRef>
                          <c15:sqref>'Gráfico - Curva de Desembolsos'!$C$63:$G$63</c15:sqref>
                        </c15:formulaRef>
                      </c:ext>
                    </c:extLst>
                    <c:strCache>
                      <c:ptCount val="5"/>
                      <c:pt idx="0">
                        <c:v>2018</c:v>
                      </c:pt>
                      <c:pt idx="1">
                        <c:v>2019</c:v>
                      </c:pt>
                      <c:pt idx="2">
                        <c:v>2020</c:v>
                      </c:pt>
                      <c:pt idx="3">
                        <c:v>2021</c:v>
                      </c:pt>
                      <c:pt idx="4">
                        <c:v>2022</c:v>
                      </c:pt>
                    </c:strCache>
                  </c:strRef>
                </c:cat>
                <c:val>
                  <c:numRef>
                    <c:extLst>
                      <c:ext uri="{02D57815-91ED-43cb-92C2-25804820EDAC}">
                        <c15:fullRef>
                          <c15:sqref>'Gráfico - Curva de Desembolsos'!$C$104:$H$104</c15:sqref>
                        </c15:fullRef>
                        <c15:formulaRef>
                          <c15:sqref>'Gráfico - Curva de Desembolsos'!$C$104:$G$104</c15:sqref>
                        </c15:formulaRef>
                      </c:ext>
                    </c:extLst>
                    <c:numCache>
                      <c:formatCode>_-* #,##0_-;\-* #,##0_-;_-* "-"??_-;_-@_-</c:formatCode>
                      <c:ptCount val="5"/>
                    </c:numCache>
                  </c:numRef>
                </c:val>
              </c15:ser>
            </c15:filteredBarSeries>
          </c:ext>
        </c:extLst>
      </c:barChart>
      <c:catAx>
        <c:axId val="1844065856"/>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844061504"/>
        <c:crosses val="autoZero"/>
        <c:auto val="1"/>
        <c:lblAlgn val="ctr"/>
        <c:lblOffset val="100"/>
        <c:noMultiLvlLbl val="0"/>
      </c:catAx>
      <c:valAx>
        <c:axId val="1844061504"/>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844065856"/>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r>
              <a: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rPr>
              <a:t>Holding 2018-2022</a:t>
            </a:r>
          </a:p>
        </c:rich>
      </c:tx>
      <c:overlay val="0"/>
      <c:spPr>
        <a:noFill/>
        <a:ln>
          <a:noFill/>
        </a:ln>
        <a:effectLst/>
      </c:spPr>
      <c:txPr>
        <a:bodyPr rot="0" spcFirstLastPara="1" vertOverflow="ellipsis" vert="horz" wrap="square" anchor="ctr" anchorCtr="1"/>
        <a:lstStyle/>
        <a:p>
          <a:pPr algn="ctr" rtl="0">
            <a:defRPr lang="pt-BR" sz="1400" b="1" i="0" u="none" strike="noStrike" kern="1200" spc="0" baseline="0">
              <a:solidFill>
                <a:sysClr val="windowText" lastClr="000000">
                  <a:lumMod val="65000"/>
                  <a:lumOff val="35000"/>
                </a:sysClr>
              </a:solidFill>
              <a:effectLst/>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'Gráfico - Curva de Desembolsos'!$B$147</c:f>
              <c:strCache>
                <c:ptCount val="1"/>
                <c:pt idx="0">
                  <c:v>Programa de investimento 2018-2022</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pt idx="5">
                  <c:v>Total</c:v>
                </c:pt>
              </c:strCache>
            </c:strRef>
          </c:cat>
          <c:val>
            <c:numRef>
              <c:extLst>
                <c:ext xmlns:c15="http://schemas.microsoft.com/office/drawing/2012/chart" uri="{02D57815-91ED-43cb-92C2-25804820EDAC}">
                  <c15:fullRef>
                    <c15:sqref>'Gráfico - Curva de Desembolsos'!$C$147:$G$147</c15:sqref>
                  </c15:fullRef>
                </c:ext>
              </c:extLst>
              <c:f>'Gráfico - Curva de Desembolsos'!$C$147:$G$147</c:f>
              <c:numCache>
                <c:formatCode>_-* #,##0_-;\-* #,##0_-;_-* "-"??_-;_-@_-</c:formatCode>
                <c:ptCount val="5"/>
                <c:pt idx="0">
                  <c:v>310.00000000000023</c:v>
                </c:pt>
                <c:pt idx="1">
                  <c:v>90</c:v>
                </c:pt>
                <c:pt idx="2">
                  <c:v>165</c:v>
                </c:pt>
                <c:pt idx="3">
                  <c:v>962</c:v>
                </c:pt>
                <c:pt idx="4">
                  <c:v>1062</c:v>
                </c:pt>
              </c:numCache>
            </c:numRef>
          </c:val>
        </c:ser>
        <c:ser>
          <c:idx val="2"/>
          <c:order val="1"/>
          <c:tx>
            <c:strRef>
              <c:f>'Gráfico - Curva de Desembolsos'!$B$148</c:f>
              <c:strCache>
                <c:ptCount val="1"/>
                <c:pt idx="0">
                  <c:v>Programa de investimento 2018-2022 (acumulado)</c:v>
                </c:pt>
              </c:strCache>
            </c:strRef>
          </c:tx>
          <c:spPr>
            <a:solidFill>
              <a:srgbClr val="0066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'Gráfico - Curva de Desembolsos'!$C$63:$H$63</c15:sqref>
                  </c15:fullRef>
                </c:ext>
              </c:extLst>
              <c:f>'Gráfico - Curva de Desembolsos'!$C$63:$G$63</c:f>
              <c:strCache>
                <c:ptCount val="5"/>
                <c:pt idx="0">
                  <c:v>2018</c:v>
                </c:pt>
                <c:pt idx="1">
                  <c:v>2019</c:v>
                </c:pt>
                <c:pt idx="2">
                  <c:v>2020</c:v>
                </c:pt>
                <c:pt idx="3">
                  <c:v>2021</c:v>
                </c:pt>
                <c:pt idx="4">
                  <c:v>2022</c:v>
                </c:pt>
              </c:strCache>
            </c:strRef>
          </c:cat>
          <c:val>
            <c:numRef>
              <c:extLst>
                <c:ext xmlns:c15="http://schemas.microsoft.com/office/drawing/2012/chart" uri="{02D57815-91ED-43cb-92C2-25804820EDAC}">
                  <c15:fullRef>
                    <c15:sqref>'Gráfico - Curva de Desembolsos'!$C$148:$H$148</c15:sqref>
                  </c15:fullRef>
                </c:ext>
              </c:extLst>
              <c:f>'Gráfico - Curva de Desembolsos'!$C$148:$G$148</c:f>
              <c:numCache>
                <c:formatCode>_-* #,##0_-;\-* #,##0_-;_-* "-"??_-;_-@_-</c:formatCode>
                <c:ptCount val="5"/>
                <c:pt idx="0">
                  <c:v>310.00000000000023</c:v>
                </c:pt>
                <c:pt idx="1">
                  <c:v>400.00000000000023</c:v>
                </c:pt>
                <c:pt idx="2">
                  <c:v>565.00000000000023</c:v>
                </c:pt>
                <c:pt idx="3">
                  <c:v>1527.0000000000002</c:v>
                </c:pt>
                <c:pt idx="4">
                  <c:v>2589</c:v>
                </c:pt>
              </c:numCache>
            </c:numRef>
          </c:val>
        </c:ser>
        <c:dLbls>
          <c:showLegendKey val="0"/>
          <c:showVal val="1"/>
          <c:showCatName val="0"/>
          <c:showSerName val="0"/>
          <c:showPercent val="0"/>
          <c:showBubbleSize val="0"/>
        </c:dLbls>
        <c:gapWidth val="112"/>
        <c:axId val="1844068032"/>
        <c:axId val="1844063680"/>
        <c:extLst>
          <c:ext xmlns:c15="http://schemas.microsoft.com/office/drawing/2012/chart" uri="{02D57815-91ED-43cb-92C2-25804820EDAC}">
            <c15:filteredBarSeries>
              <c15:ser>
                <c:idx val="1"/>
                <c:order val="2"/>
                <c:tx>
                  <c:strRef>
                    <c:extLst>
                      <c:ext uri="{02D57815-91ED-43cb-92C2-25804820EDAC}">
                        <c15:formulaRef>
                          <c15:sqref>'Gráfico - Curva de Desembolsos'!$B$146</c15:sqref>
                        </c15:formulaRef>
                      </c:ext>
                    </c:extLst>
                    <c:strCache>
                      <c:ptCount val="1"/>
                      <c:pt idx="0">
                        <c:v>Limite indicativo para investimento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ullRef>
                          <c15:sqref>'Gráfico - Curva de Desembolsos'!$C$63:$H$63</c15:sqref>
                        </c15:fullRef>
                        <c15:formulaRef>
                          <c15:sqref>'Gráfico - Curva de Desembolsos'!$C$63:$G$63</c15:sqref>
                        </c15:formulaRef>
                      </c:ext>
                    </c:extLst>
                    <c:strCache>
                      <c:ptCount val="5"/>
                      <c:pt idx="0">
                        <c:v>2018</c:v>
                      </c:pt>
                      <c:pt idx="1">
                        <c:v>2019</c:v>
                      </c:pt>
                      <c:pt idx="2">
                        <c:v>2020</c:v>
                      </c:pt>
                      <c:pt idx="3">
                        <c:v>2021</c:v>
                      </c:pt>
                      <c:pt idx="4">
                        <c:v>2022</c:v>
                      </c:pt>
                    </c:strCache>
                  </c:strRef>
                </c:cat>
                <c:val>
                  <c:numRef>
                    <c:extLst>
                      <c:ext uri="{02D57815-91ED-43cb-92C2-25804820EDAC}">
                        <c15:fullRef>
                          <c15:sqref>'Gráfico - Curva de Desembolsos'!$C$146:$H$146</c15:sqref>
                        </c15:fullRef>
                        <c15:formulaRef>
                          <c15:sqref>'Gráfico - Curva de Desembolsos'!$C$146:$G$146</c15:sqref>
                        </c15:formulaRef>
                      </c:ext>
                    </c:extLst>
                    <c:numCache>
                      <c:formatCode>_-* #,##0_-;\-* #,##0_-;_-* "-"??_-;_-@_-</c:formatCode>
                      <c:ptCount val="5"/>
                    </c:numCache>
                  </c:numRef>
                </c:val>
              </c15:ser>
            </c15:filteredBarSeries>
          </c:ext>
        </c:extLst>
      </c:barChart>
      <c:catAx>
        <c:axId val="1844068032"/>
        <c:scaling>
          <c:orientation val="minMax"/>
        </c:scaling>
        <c:delete val="0"/>
        <c:axPos val="b"/>
        <c:numFmt formatCode="General" sourceLinked="1"/>
        <c:majorTickMark val="out"/>
        <c:minorTickMark val="none"/>
        <c:tickLblPos val="nextTo"/>
        <c:spPr>
          <a:noFill/>
          <a:ln w="9525" cap="flat" cmpd="sng" algn="ctr">
            <a:solidFill>
              <a:srgbClr val="0066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rial Narrow" panose="020B0606020202030204" pitchFamily="34" charset="0"/>
                <a:ea typeface="+mn-ea"/>
                <a:cs typeface="+mn-cs"/>
              </a:defRPr>
            </a:pPr>
            <a:endParaRPr lang="pt-BR"/>
          </a:p>
        </c:txPr>
        <c:crossAx val="1844063680"/>
        <c:crosses val="autoZero"/>
        <c:auto val="1"/>
        <c:lblAlgn val="ctr"/>
        <c:lblOffset val="100"/>
        <c:noMultiLvlLbl val="0"/>
      </c:catAx>
      <c:valAx>
        <c:axId val="1844063680"/>
        <c:scaling>
          <c:orientation val="minMax"/>
        </c:scaling>
        <c:delete val="1"/>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r>
                  <a:rPr lang="pt-BR">
                    <a:solidFill>
                      <a:sysClr val="windowText" lastClr="000000"/>
                    </a:solidFill>
                    <a:latin typeface="Arial Narrow" panose="020B0606020202030204" pitchFamily="34" charset="0"/>
                  </a:rPr>
                  <a:t>R$mil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844068032"/>
        <c:crosses val="autoZero"/>
        <c:crossBetween val="between"/>
      </c:valAx>
      <c:spPr>
        <a:noFill/>
        <a:ln>
          <a:noFill/>
        </a:ln>
        <a:effectLst/>
      </c:spPr>
    </c:plotArea>
    <c:legend>
      <c:legendPos val="b"/>
      <c:layout>
        <c:manualLayout>
          <c:xMode val="edge"/>
          <c:yMode val="edge"/>
          <c:x val="1.2259481550820137E-2"/>
          <c:y val="0.8996883202099738"/>
          <c:w val="0.96304902446634733"/>
          <c:h val="7.2533902012248463E-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pt-BR"/>
        </a:p>
      </c:txPr>
    </c:legend>
    <c:plotVisOnly val="1"/>
    <c:dispBlanksAs val="gap"/>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r>
              <a:rPr lang="pt-BR" b="1">
                <a:solidFill>
                  <a:sysClr val="windowText" lastClr="000000"/>
                </a:solidFill>
                <a:latin typeface="Arial Narrow" panose="020B0606020202030204" pitchFamily="34" charset="0"/>
              </a:rPr>
              <a:t>Proposta Orçamentária 2018-2022</a:t>
            </a:r>
          </a:p>
          <a:p>
            <a:pPr>
              <a:defRPr>
                <a:latin typeface="Arial Narrow" panose="020B0606020202030204" pitchFamily="34" charset="0"/>
              </a:defRPr>
            </a:pPr>
            <a:r>
              <a:rPr lang="pt-BR" b="1">
                <a:solidFill>
                  <a:sysClr val="windowText" lastClr="000000"/>
                </a:solidFill>
                <a:latin typeface="Arial Narrow" panose="020B0606020202030204" pitchFamily="34" charset="0"/>
              </a:rPr>
              <a:t>Holding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view3D>
      <c:rotX val="5"/>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'Gráfico - Curva de Desembolsos'!$B$145</c:f>
              <c:strCache>
                <c:ptCount val="1"/>
                <c:pt idx="0">
                  <c:v>Limite indicativo para investimento (anual)</c:v>
                </c:pt>
              </c:strCache>
            </c:strRef>
          </c:tx>
          <c:spPr>
            <a:solidFill>
              <a:schemeClr val="accent6">
                <a:shade val="76000"/>
              </a:schemeClr>
            </a:solidFill>
            <a:ln>
              <a:noFill/>
            </a:ln>
            <a:effectLst/>
            <a:sp3d/>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Desembolsos'!$C$145:$H$145</c:f>
              <c:numCache>
                <c:formatCode>_-* #,##0_-;\-* #,##0_-;_-* "-"??_-;_-@_-</c:formatCode>
                <c:ptCount val="6"/>
                <c:pt idx="0">
                  <c:v>0</c:v>
                </c:pt>
                <c:pt idx="1">
                  <c:v>0</c:v>
                </c:pt>
                <c:pt idx="2">
                  <c:v>0</c:v>
                </c:pt>
                <c:pt idx="3">
                  <c:v>0</c:v>
                </c:pt>
                <c:pt idx="4">
                  <c:v>0</c:v>
                </c:pt>
                <c:pt idx="5">
                  <c:v>0</c:v>
                </c:pt>
              </c:numCache>
            </c:numRef>
          </c:val>
        </c:ser>
        <c:ser>
          <c:idx val="1"/>
          <c:order val="1"/>
          <c:tx>
            <c:strRef>
              <c:f>'Gráfico - Curva de Desembolsos'!$B$147</c:f>
              <c:strCache>
                <c:ptCount val="1"/>
                <c:pt idx="0">
                  <c:v>Programa de investimento 2018-2022</c:v>
                </c:pt>
              </c:strCache>
            </c:strRef>
          </c:tx>
          <c:spPr>
            <a:solidFill>
              <a:schemeClr val="accent5">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 - Curva de Desembolsos'!$C$102:$H$102</c:f>
              <c:strCache>
                <c:ptCount val="6"/>
                <c:pt idx="0">
                  <c:v>2018</c:v>
                </c:pt>
                <c:pt idx="1">
                  <c:v>2019</c:v>
                </c:pt>
                <c:pt idx="2">
                  <c:v>2020</c:v>
                </c:pt>
                <c:pt idx="3">
                  <c:v>2021</c:v>
                </c:pt>
                <c:pt idx="4">
                  <c:v>2022</c:v>
                </c:pt>
                <c:pt idx="5">
                  <c:v>Total</c:v>
                </c:pt>
              </c:strCache>
            </c:strRef>
          </c:cat>
          <c:val>
            <c:numRef>
              <c:f>'Gráfico - Curva de Desembolsos'!$C$147:$H$147</c:f>
              <c:numCache>
                <c:formatCode>_-* #,##0_-;\-* #,##0_-;_-* "-"??_-;_-@_-</c:formatCode>
                <c:ptCount val="6"/>
                <c:pt idx="0">
                  <c:v>310.00000000000023</c:v>
                </c:pt>
                <c:pt idx="1">
                  <c:v>90</c:v>
                </c:pt>
                <c:pt idx="2">
                  <c:v>165</c:v>
                </c:pt>
                <c:pt idx="3">
                  <c:v>962</c:v>
                </c:pt>
                <c:pt idx="4">
                  <c:v>1062</c:v>
                </c:pt>
                <c:pt idx="5">
                  <c:v>2589</c:v>
                </c:pt>
              </c:numCache>
            </c:numRef>
          </c:val>
        </c:ser>
        <c:dLbls>
          <c:showLegendKey val="0"/>
          <c:showVal val="1"/>
          <c:showCatName val="0"/>
          <c:showSerName val="0"/>
          <c:showPercent val="0"/>
          <c:showBubbleSize val="0"/>
        </c:dLbls>
        <c:gapWidth val="50"/>
        <c:shape val="box"/>
        <c:axId val="1844060960"/>
        <c:axId val="1844064224"/>
        <c:axId val="0"/>
      </c:bar3DChart>
      <c:catAx>
        <c:axId val="1844060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Arial Narrow" panose="020B0606020202030204" pitchFamily="34" charset="0"/>
                <a:ea typeface="+mn-ea"/>
                <a:cs typeface="+mn-cs"/>
              </a:defRPr>
            </a:pPr>
            <a:endParaRPr lang="pt-BR"/>
          </a:p>
        </c:txPr>
        <c:crossAx val="1844064224"/>
        <c:crosses val="autoZero"/>
        <c:auto val="1"/>
        <c:lblAlgn val="ctr"/>
        <c:lblOffset val="100"/>
        <c:noMultiLvlLbl val="0"/>
      </c:catAx>
      <c:valAx>
        <c:axId val="184406422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r>
                  <a:rPr lang="pt-BR" sz="1000" b="0" i="0" baseline="0">
                    <a:effectLst/>
                  </a:rPr>
                  <a:t>R$mil</a:t>
                </a:r>
                <a:endParaRPr lang="pt-BR"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title>
        <c:numFmt formatCode="_-* #,##0_-;\-* #,##0_-;_-* &quot;-&quot;??_-;_-@_-" sourceLinked="1"/>
        <c:majorTickMark val="out"/>
        <c:minorTickMark val="none"/>
        <c:tickLblPos val="nextTo"/>
        <c:crossAx val="184406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0"/>
    <c:dispBlanksAs val="zero"/>
    <c:showDLblsOverMax val="0"/>
  </c:chart>
  <c:spPr>
    <a:noFill/>
    <a:ln w="9525" cap="flat" cmpd="sng" algn="ctr">
      <a:no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'Gráfico Tendência 2018-2022'!$A$3</c:f>
              <c:strCache>
                <c:ptCount val="1"/>
                <c:pt idx="0">
                  <c:v>Orçamento Aprovado</c:v>
                </c:pt>
              </c:strCache>
            </c:strRef>
          </c:tx>
          <c:spPr>
            <a:ln w="28575" cap="rnd">
              <a:solidFill>
                <a:schemeClr val="accent1"/>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2018-2022'!$B$3:$M$3</c:f>
              <c:numCache>
                <c:formatCode>_-* #,##0_-;\-* #,##0_-;_-* "-"??_-;_-@_-</c:formatCode>
                <c:ptCount val="12"/>
                <c:pt idx="0">
                  <c:v>69957.157313967851</c:v>
                </c:pt>
                <c:pt idx="1">
                  <c:v>69957.157313967851</c:v>
                </c:pt>
                <c:pt idx="2">
                  <c:v>69957.157313967851</c:v>
                </c:pt>
                <c:pt idx="3">
                  <c:v>69957.157313967851</c:v>
                </c:pt>
                <c:pt idx="4">
                  <c:v>69957.157313967851</c:v>
                </c:pt>
                <c:pt idx="5">
                  <c:v>69957.157313967851</c:v>
                </c:pt>
                <c:pt idx="6">
                  <c:v>69957.157313967851</c:v>
                </c:pt>
                <c:pt idx="7">
                  <c:v>69957.157313967851</c:v>
                </c:pt>
                <c:pt idx="8">
                  <c:v>69957.157313967851</c:v>
                </c:pt>
                <c:pt idx="9">
                  <c:v>69957.157313967851</c:v>
                </c:pt>
                <c:pt idx="10">
                  <c:v>69957.157313967851</c:v>
                </c:pt>
                <c:pt idx="11">
                  <c:v>69957.157313967851</c:v>
                </c:pt>
              </c:numCache>
            </c:numRef>
          </c:val>
          <c:smooth val="0"/>
        </c:ser>
        <c:ser>
          <c:idx val="1"/>
          <c:order val="1"/>
          <c:tx>
            <c:strRef>
              <c:f>'Gráfico Tendência 2018-2022'!$A$4</c:f>
              <c:strCache>
                <c:ptCount val="1"/>
                <c:pt idx="0">
                  <c:v>Realizado Acumulado</c:v>
                </c:pt>
              </c:strCache>
            </c:strRef>
          </c:tx>
          <c:spPr>
            <a:ln w="28575" cap="rnd">
              <a:solidFill>
                <a:schemeClr val="accent2"/>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2018-2022'!$B$4:$M$4</c:f>
              <c:numCache>
                <c:formatCode>_-* #,##0_-;\-* #,##0_-;_-* "-"??_-;_-@_-</c:formatCode>
                <c:ptCount val="12"/>
                <c:pt idx="0">
                  <c:v>418.66537761688232</c:v>
                </c:pt>
                <c:pt idx="1">
                  <c:v>2075.0562953948975</c:v>
                </c:pt>
                <c:pt idx="2">
                  <c:v>6386.83780169487</c:v>
                </c:pt>
                <c:pt idx="3">
                  <c:v>13274.267174243927</c:v>
                </c:pt>
                <c:pt idx="4">
                  <c:v>22196.252348184586</c:v>
                </c:pt>
                <c:pt idx="5">
                  <c:v>32545.133777141571</c:v>
                </c:pt>
              </c:numCache>
            </c:numRef>
          </c:val>
          <c:smooth val="0"/>
        </c:ser>
        <c:ser>
          <c:idx val="2"/>
          <c:order val="2"/>
          <c:tx>
            <c:strRef>
              <c:f>'Gráfico Tendência 2018-2022'!$A$5</c:f>
              <c:strCache>
                <c:ptCount val="1"/>
                <c:pt idx="0">
                  <c:v>Planejado Acumulado</c:v>
                </c:pt>
              </c:strCache>
            </c:strRef>
          </c:tx>
          <c:spPr>
            <a:ln w="28575" cap="rnd">
              <a:solidFill>
                <a:schemeClr val="accent3"/>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2018-2022'!$B$5:$M$5</c:f>
              <c:numCache>
                <c:formatCode>_-* #,##0_-;\-* #,##0_-;_-* "-"??_-;_-@_-</c:formatCode>
                <c:ptCount val="12"/>
                <c:pt idx="0">
                  <c:v>418.66537761688232</c:v>
                </c:pt>
                <c:pt idx="1">
                  <c:v>2075.0562953948975</c:v>
                </c:pt>
                <c:pt idx="2">
                  <c:v>6386.83780169487</c:v>
                </c:pt>
                <c:pt idx="3">
                  <c:v>13274.267174243927</c:v>
                </c:pt>
                <c:pt idx="4">
                  <c:v>22196.252348184586</c:v>
                </c:pt>
                <c:pt idx="5">
                  <c:v>32545.133777141571</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smooth val="0"/>
        <c:axId val="1844062592"/>
        <c:axId val="1844063136"/>
      </c:lineChart>
      <c:dateAx>
        <c:axId val="184406259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44063136"/>
        <c:crosses val="autoZero"/>
        <c:auto val="1"/>
        <c:lblOffset val="100"/>
        <c:baseTimeUnit val="months"/>
      </c:dateAx>
      <c:valAx>
        <c:axId val="184406313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44062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tx>
            <c:strRef>
              <c:f>'Gráfico Tendência 2018-2022'!$A$6</c:f>
              <c:strCache>
                <c:ptCount val="1"/>
                <c:pt idx="0">
                  <c:v>Realizado/Planejado mensal</c:v>
                </c:pt>
              </c:strCache>
            </c:strRef>
          </c:tx>
          <c:spPr>
            <a:ln w="28575" cap="rnd">
              <a:solidFill>
                <a:schemeClr val="accent1"/>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2018-2022'!$B$6:$M$6</c:f>
              <c:numCache>
                <c:formatCode>_-* #,##0_-;\-* #,##0_-;_-* "-"??_-;_-@_-</c:formatCode>
                <c:ptCount val="12"/>
                <c:pt idx="0">
                  <c:v>418.66537761688232</c:v>
                </c:pt>
                <c:pt idx="1">
                  <c:v>1656.3909177780151</c:v>
                </c:pt>
                <c:pt idx="2">
                  <c:v>4311.7815062999725</c:v>
                </c:pt>
                <c:pt idx="3">
                  <c:v>6887.429372549057</c:v>
                </c:pt>
                <c:pt idx="4">
                  <c:v>8921.9851739406586</c:v>
                </c:pt>
                <c:pt idx="5">
                  <c:v>10348.881428956985</c:v>
                </c:pt>
                <c:pt idx="6">
                  <c:v>0</c:v>
                </c:pt>
                <c:pt idx="7">
                  <c:v>14371.731957361102</c:v>
                </c:pt>
                <c:pt idx="8">
                  <c:v>7687.7076200000001</c:v>
                </c:pt>
                <c:pt idx="9">
                  <c:v>7792.7627200000015</c:v>
                </c:pt>
                <c:pt idx="10">
                  <c:v>4772.8918812397769</c:v>
                </c:pt>
                <c:pt idx="11">
                  <c:v>35332.063135366989</c:v>
                </c:pt>
              </c:numCache>
            </c:numRef>
          </c:val>
          <c:smooth val="0"/>
        </c:ser>
        <c:ser>
          <c:idx val="1"/>
          <c:order val="1"/>
          <c:tx>
            <c:strRef>
              <c:f>'Gráfico Tendência 2018-2022'!$A$7</c:f>
              <c:strCache>
                <c:ptCount val="1"/>
                <c:pt idx="0">
                  <c:v>Planejado mensal</c:v>
                </c:pt>
              </c:strCache>
            </c:strRef>
          </c:tx>
          <c:spPr>
            <a:ln w="28575" cap="rnd">
              <a:solidFill>
                <a:schemeClr val="accent2"/>
              </a:solidFill>
              <a:round/>
            </a:ln>
            <a:effectLst/>
          </c:spPr>
          <c:marker>
            <c:symbol val="none"/>
          </c:marker>
          <c:cat>
            <c:numRef>
              <c:f>'Gráfico Tendência 2018-2022'!$B$2:$M$2</c:f>
              <c:numCache>
                <c:formatCode>mmm\-yy</c:formatCode>
                <c:ptCount val="12"/>
                <c:pt idx="0">
                  <c:v>43101</c:v>
                </c:pt>
                <c:pt idx="1">
                  <c:v>43132</c:v>
                </c:pt>
                <c:pt idx="2">
                  <c:v>43160</c:v>
                </c:pt>
                <c:pt idx="3">
                  <c:v>43191</c:v>
                </c:pt>
                <c:pt idx="4">
                  <c:v>43221</c:v>
                </c:pt>
                <c:pt idx="5">
                  <c:v>43252</c:v>
                </c:pt>
                <c:pt idx="6">
                  <c:v>43282</c:v>
                </c:pt>
                <c:pt idx="7">
                  <c:v>43313</c:v>
                </c:pt>
                <c:pt idx="8">
                  <c:v>43344</c:v>
                </c:pt>
                <c:pt idx="9">
                  <c:v>43374</c:v>
                </c:pt>
                <c:pt idx="10">
                  <c:v>43405</c:v>
                </c:pt>
                <c:pt idx="11">
                  <c:v>43435</c:v>
                </c:pt>
              </c:numCache>
            </c:numRef>
          </c:cat>
          <c:val>
            <c:numRef>
              <c:f>'Gráfico Tendência 2018-2022'!$B$7:$M$7</c:f>
              <c:numCache>
                <c:formatCode>_-* #,##0_-;\-* #,##0_-;_-* "-"??_-;_-@_-</c:formatCode>
                <c:ptCount val="12"/>
                <c:pt idx="0">
                  <c:v>418.66537761688232</c:v>
                </c:pt>
                <c:pt idx="1">
                  <c:v>1656.3909177780151</c:v>
                </c:pt>
                <c:pt idx="2">
                  <c:v>4311.7815062999725</c:v>
                </c:pt>
                <c:pt idx="3">
                  <c:v>6887.429372549057</c:v>
                </c:pt>
                <c:pt idx="4">
                  <c:v>8921.9851739406586</c:v>
                </c:pt>
                <c:pt idx="5">
                  <c:v>10348.881428956985</c:v>
                </c:pt>
                <c:pt idx="6">
                  <c:v>0</c:v>
                </c:pt>
                <c:pt idx="7">
                  <c:v>14371.731957361102</c:v>
                </c:pt>
                <c:pt idx="8">
                  <c:v>7687.7076200000001</c:v>
                </c:pt>
                <c:pt idx="9">
                  <c:v>7792.7627200000015</c:v>
                </c:pt>
                <c:pt idx="10">
                  <c:v>4772.8918812397769</c:v>
                </c:pt>
                <c:pt idx="11">
                  <c:v>35332.063135366989</c:v>
                </c:pt>
              </c:numCache>
            </c:numRef>
          </c:val>
          <c:smooth val="0"/>
        </c:ser>
        <c:dLbls>
          <c:showLegendKey val="0"/>
          <c:showVal val="0"/>
          <c:showCatName val="0"/>
          <c:showSerName val="0"/>
          <c:showPercent val="0"/>
          <c:showBubbleSize val="0"/>
        </c:dLbls>
        <c:smooth val="0"/>
        <c:axId val="1844066944"/>
        <c:axId val="1844064768"/>
      </c:lineChart>
      <c:dateAx>
        <c:axId val="18440669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44064768"/>
        <c:crosses val="autoZero"/>
        <c:auto val="1"/>
        <c:lblOffset val="100"/>
        <c:baseTimeUnit val="months"/>
      </c:dateAx>
      <c:valAx>
        <c:axId val="1844064768"/>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84406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7</xdr:col>
      <xdr:colOff>857249</xdr:colOff>
      <xdr:row>24</xdr:row>
      <xdr:rowOff>76200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68</xdr:row>
      <xdr:rowOff>0</xdr:rowOff>
    </xdr:from>
    <xdr:to>
      <xdr:col>7</xdr:col>
      <xdr:colOff>857249</xdr:colOff>
      <xdr:row>82</xdr:row>
      <xdr:rowOff>76200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107</xdr:row>
      <xdr:rowOff>0</xdr:rowOff>
    </xdr:from>
    <xdr:to>
      <xdr:col>7</xdr:col>
      <xdr:colOff>857249</xdr:colOff>
      <xdr:row>121</xdr:row>
      <xdr:rowOff>76200</xdr:rowOff>
    </xdr:to>
    <xdr:graphicFrame macro="">
      <xdr:nvGraphicFramePr>
        <xdr:cNvPr id="7" name="Grá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26</xdr:row>
      <xdr:rowOff>0</xdr:rowOff>
    </xdr:from>
    <xdr:to>
      <xdr:col>7</xdr:col>
      <xdr:colOff>857249</xdr:colOff>
      <xdr:row>40</xdr:row>
      <xdr:rowOff>76200</xdr:rowOff>
    </xdr:to>
    <xdr:graphicFrame macro="">
      <xdr:nvGraphicFramePr>
        <xdr:cNvPr id="11" name="Gráfico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42</xdr:row>
      <xdr:rowOff>0</xdr:rowOff>
    </xdr:from>
    <xdr:to>
      <xdr:col>10</xdr:col>
      <xdr:colOff>47625</xdr:colOff>
      <xdr:row>56</xdr:row>
      <xdr:rowOff>76200</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83</xdr:row>
      <xdr:rowOff>0</xdr:rowOff>
    </xdr:from>
    <xdr:to>
      <xdr:col>10</xdr:col>
      <xdr:colOff>47625</xdr:colOff>
      <xdr:row>97</xdr:row>
      <xdr:rowOff>76200</xdr:rowOff>
    </xdr:to>
    <xdr:graphicFrame macro="">
      <xdr:nvGraphicFramePr>
        <xdr:cNvPr id="9" name="Grá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123</xdr:row>
      <xdr:rowOff>0</xdr:rowOff>
    </xdr:from>
    <xdr:to>
      <xdr:col>10</xdr:col>
      <xdr:colOff>47625</xdr:colOff>
      <xdr:row>137</xdr:row>
      <xdr:rowOff>76200</xdr:rowOff>
    </xdr:to>
    <xdr:graphicFrame macro="">
      <xdr:nvGraphicFramePr>
        <xdr:cNvPr id="14" name="Gráfico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323850</xdr:colOff>
      <xdr:row>165</xdr:row>
      <xdr:rowOff>114300</xdr:rowOff>
    </xdr:from>
    <xdr:to>
      <xdr:col>9</xdr:col>
      <xdr:colOff>371475</xdr:colOff>
      <xdr:row>180</xdr:row>
      <xdr:rowOff>0</xdr:rowOff>
    </xdr:to>
    <xdr:graphicFrame macro="">
      <xdr:nvGraphicFramePr>
        <xdr:cNvPr id="15" name="Gráfico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150</xdr:row>
      <xdr:rowOff>0</xdr:rowOff>
    </xdr:from>
    <xdr:to>
      <xdr:col>7</xdr:col>
      <xdr:colOff>857249</xdr:colOff>
      <xdr:row>163</xdr:row>
      <xdr:rowOff>57150</xdr:rowOff>
    </xdr:to>
    <xdr:graphicFrame macro="">
      <xdr:nvGraphicFramePr>
        <xdr:cNvPr id="16" name="Gráfico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1</xdr:col>
      <xdr:colOff>552450</xdr:colOff>
      <xdr:row>4</xdr:row>
      <xdr:rowOff>57150</xdr:rowOff>
    </xdr:to>
    <mc:AlternateContent xmlns:mc="http://schemas.openxmlformats.org/markup-compatibility/2006" xmlns:a14="http://schemas.microsoft.com/office/drawing/2010/main">
      <mc:Choice Requires="a14">
        <xdr:graphicFrame macro="">
          <xdr:nvGraphicFramePr>
            <xdr:cNvPr id="2" name="Empresa"/>
            <xdr:cNvGraphicFramePr/>
          </xdr:nvGraphicFramePr>
          <xdr:xfrm>
            <a:off x="0" y="0"/>
            <a:ext cx="0" cy="0"/>
          </xdr:xfrm>
          <a:graphic>
            <a:graphicData uri="http://schemas.microsoft.com/office/drawing/2010/slicer">
              <sle:slicer xmlns:sle="http://schemas.microsoft.com/office/drawing/2010/slicer" name="Empresa"/>
            </a:graphicData>
          </a:graphic>
        </xdr:graphicFrame>
      </mc:Choice>
      <mc:Fallback xmlns="">
        <xdr:sp macro="" textlink="">
          <xdr:nvSpPr>
            <xdr:cNvPr id="0" name=""/>
            <xdr:cNvSpPr>
              <a:spLocks noTextEdit="1"/>
            </xdr:cNvSpPr>
          </xdr:nvSpPr>
          <xdr:spPr>
            <a:xfrm>
              <a:off x="114300" y="123825"/>
              <a:ext cx="3981450" cy="695325"/>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twoCellAnchor editAs="oneCell">
    <xdr:from>
      <xdr:col>0</xdr:col>
      <xdr:colOff>152400</xdr:colOff>
      <xdr:row>39</xdr:row>
      <xdr:rowOff>0</xdr:rowOff>
    </xdr:from>
    <xdr:to>
      <xdr:col>5</xdr:col>
      <xdr:colOff>1085850</xdr:colOff>
      <xdr:row>52</xdr:row>
      <xdr:rowOff>95250</xdr:rowOff>
    </xdr:to>
    <mc:AlternateContent xmlns:mc="http://schemas.openxmlformats.org/markup-compatibility/2006" xmlns:a14="http://schemas.microsoft.com/office/drawing/2010/main">
      <mc:Choice Requires="a14">
        <xdr:graphicFrame macro="">
          <xdr:nvGraphicFramePr>
            <xdr:cNvPr id="3" name="Macroprojeto"/>
            <xdr:cNvGraphicFramePr/>
          </xdr:nvGraphicFramePr>
          <xdr:xfrm>
            <a:off x="0" y="0"/>
            <a:ext cx="0" cy="0"/>
          </xdr:xfrm>
          <a:graphic>
            <a:graphicData uri="http://schemas.microsoft.com/office/drawing/2010/slicer">
              <sle:slicer xmlns:sle="http://schemas.microsoft.com/office/drawing/2010/slicer" name="Macroprojeto"/>
            </a:graphicData>
          </a:graphic>
        </xdr:graphicFrame>
      </mc:Choice>
      <mc:Fallback xmlns="">
        <xdr:sp macro="" textlink="">
          <xdr:nvSpPr>
            <xdr:cNvPr id="0" name=""/>
            <xdr:cNvSpPr>
              <a:spLocks noTextEdit="1"/>
            </xdr:cNvSpPr>
          </xdr:nvSpPr>
          <xdr:spPr>
            <a:xfrm>
              <a:off x="152400" y="7429500"/>
              <a:ext cx="9315450" cy="2571750"/>
            </a:xfrm>
            <a:prstGeom prst="rect">
              <a:avLst/>
            </a:prstGeom>
            <a:solidFill>
              <a:prstClr val="white"/>
            </a:solidFill>
            <a:ln w="1">
              <a:solidFill>
                <a:prstClr val="green"/>
              </a:solidFill>
            </a:ln>
          </xdr:spPr>
          <xdr:txBody>
            <a:bodyPr vertOverflow="clip" horzOverflow="clip"/>
            <a:lstStyle/>
            <a:p>
              <a:r>
                <a:rPr lang="pt-BR" sz="1100"/>
                <a:t>Esta forma representa uma segmentação de dados. Segmentações de dados têm suporte no Excel 2010 ou versões posteriores.
\Se a forma tiver sido modificada em uma versão anterior do Excel, ou se a pasta de trabalho tiver sido salva no Excel 2003 ou versões anteriores, a segmentação de dados não poderá ser usada.</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23811</xdr:rowOff>
    </xdr:from>
    <xdr:to>
      <xdr:col>5</xdr:col>
      <xdr:colOff>250031</xdr:colOff>
      <xdr:row>24</xdr:row>
      <xdr:rowOff>67864</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309562</xdr:colOff>
      <xdr:row>10</xdr:row>
      <xdr:rowOff>23813</xdr:rowOff>
    </xdr:from>
    <xdr:to>
      <xdr:col>12</xdr:col>
      <xdr:colOff>523874</xdr:colOff>
      <xdr:row>24</xdr:row>
      <xdr:rowOff>55959</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SA\PPAP\INVESTIMENTOS%20CLIENTES%20DIVERSOS\2018%20Controle%20Exec%20Investim\5%20CEI_2018_Mai_Parcial_at&#233;_14-0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SA\GECE\AN&#193;LISE%20E%20ACOMPANHAMENTO%20DE%20INVESTIMENTO\2018\Programa%20Or&#231;amentario_4o_Ciclo_2018_2022\Historico\Programa%20Infraestrutura_Ciclo%202018_2022_ANTES%20UNIR%20PROJETOS_030520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SA\GECE\AN&#193;LISE%20E%20ACOMPANHAMENTO%20DE%20INVESTIMENTO\2017\Proposta%20Or&#231;ament&#225;ria_4&#176;_Ciclo_2018_2022\ARQUIVOS_CAPTACAO_AREAS\CD_AM_Captacao_Infraestrutura_Ciclo_2018_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
      <sheetName val="Entrada_Dados"/>
      <sheetName val="Base_Dados"/>
      <sheetName val="Banco_SAP"/>
      <sheetName val="Confere_Total"/>
      <sheetName val="Reserva_Proposta"/>
      <sheetName val="Alter_Proposta"/>
      <sheetName val="Balizamento"/>
      <sheetName val="BlocosP1_ValorAnual"/>
      <sheetName val="Confere_SAP"/>
      <sheetName val="Saldo_NA_SR"/>
      <sheetName val="Orçamento_Atual"/>
      <sheetName val="SaldoJOA"/>
      <sheetName val="Confere_acima"/>
      <sheetName val="Complementar"/>
      <sheetName val="Valor_Real_Plan_P1"/>
      <sheetName val="Valor_Aprovado_P1"/>
      <sheetName val="Atualizacao_Moeda_P1"/>
      <sheetName val="Control_Coligadas"/>
      <sheetName val="Relatórios_Gerenciais"/>
      <sheetName val="Relat_Estado"/>
      <sheetName val="Dados_Painel_Projetos"/>
      <sheetName val="Classes_Custos"/>
      <sheetName val="Conferencia"/>
      <sheetName val="Valor_Real_Historico"/>
      <sheetName val="Relat_Real"/>
      <sheetName val="Relat_JOA"/>
      <sheetName val="Visao_Geral_Cemig"/>
      <sheetName val="Acomp P1"/>
      <sheetName val="Base_Graficos"/>
      <sheetName val="Gráfico (P x R)"/>
      <sheetName val="GRÁFICO_CICLO_ANUAL"/>
      <sheetName val=" CAIXA CEMIG D"/>
      <sheetName val=" CAIXA CEMIG GT"/>
      <sheetName val="Estrut_MacroP1"/>
      <sheetName val="Valores_Realizados"/>
      <sheetName val="Visao_Geral_Cemig (2)"/>
    </sheetNames>
    <sheetDataSet>
      <sheetData sheetId="0">
        <row r="3">
          <cell r="K3">
            <v>43251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o"/>
      <sheetName val="Projetos ciclo 2018-2022"/>
      <sheetName val="Quadros resumo"/>
      <sheetName val="Gráfico - Curva de Desembolsos"/>
      <sheetName val="CEI_032018"/>
      <sheetName val="CEI_042018"/>
      <sheetName val="Macroprojetos"/>
      <sheetName val="Resultado do Seminário-D"/>
      <sheetName val="Linha do Tempo"/>
      <sheetName val="Projetos x Riscos Não Execução"/>
      <sheetName val="Gráfico Tendência 2018-2022"/>
      <sheetName val="TESTE TESTE"/>
      <sheetName val="TESTE TESTE 2"/>
    </sheetNames>
    <sheetDataSet>
      <sheetData sheetId="0"/>
      <sheetData sheetId="1"/>
      <sheetData sheetId="2"/>
      <sheetData sheetId="3"/>
      <sheetData sheetId="4">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row>
        <row r="2">
          <cell r="A2" t="str">
            <v>Nº. 
Projeto</v>
          </cell>
          <cell r="B2" t="str">
            <v>Nome</v>
          </cell>
          <cell r="C2" t="str">
            <v>Coletor</v>
          </cell>
          <cell r="D2" t="str">
            <v>Valor de Execução</v>
          </cell>
          <cell r="E2" t="str">
            <v xml:space="preserve">Real até </v>
          </cell>
          <cell r="I2" t="str">
            <v>EXECUÇÃO ATÉ</v>
          </cell>
          <cell r="J2">
            <v>43190</v>
          </cell>
          <cell r="P2" t="str">
            <v xml:space="preserve">         PLANEJAMENTOS ANOS FUTUROS</v>
          </cell>
        </row>
        <row r="3">
          <cell r="E3">
            <v>2016</v>
          </cell>
          <cell r="F3" t="str">
            <v>Proposta  (a)</v>
          </cell>
          <cell r="G3" t="str">
            <v>Orçam.Lib (b)</v>
          </cell>
          <cell r="H3" t="str">
            <v>Planej.
(d)</v>
          </cell>
          <cell r="I3" t="str">
            <v>Real
(e)</v>
          </cell>
          <cell r="J3" t="str">
            <v>Adiant.
(f)</v>
          </cell>
          <cell r="K3" t="str">
            <v>Total
(g)=(e+f)</v>
          </cell>
          <cell r="L3" t="str">
            <v>Comprom.
(i)</v>
          </cell>
          <cell r="M3" t="str">
            <v>Disposto
(j)=(g+i)</v>
          </cell>
          <cell r="N3" t="str">
            <v>2019</v>
          </cell>
          <cell r="O3">
            <v>2020</v>
          </cell>
          <cell r="P3">
            <v>2021</v>
          </cell>
          <cell r="Q3">
            <v>2022</v>
          </cell>
          <cell r="R3">
            <v>2023</v>
          </cell>
          <cell r="S3">
            <v>2024</v>
          </cell>
          <cell r="T3">
            <v>2025</v>
          </cell>
          <cell r="U3">
            <v>2026</v>
          </cell>
        </row>
        <row r="4">
          <cell r="A4" t="str">
            <v>AM</v>
          </cell>
          <cell r="B4" t="str">
            <v xml:space="preserve">Atual. Moeda - Edificações e complementos </v>
          </cell>
          <cell r="C4" t="str">
            <v>-</v>
          </cell>
          <cell r="D4">
            <v>0</v>
          </cell>
          <cell r="E4">
            <v>0</v>
          </cell>
          <cell r="F4">
            <v>0</v>
          </cell>
          <cell r="G4">
            <v>0</v>
          </cell>
          <cell r="H4">
            <v>0</v>
          </cell>
          <cell r="I4">
            <v>0</v>
          </cell>
          <cell r="J4">
            <v>0</v>
          </cell>
          <cell r="K4">
            <v>0</v>
          </cell>
          <cell r="L4">
            <v>0</v>
          </cell>
          <cell r="M4">
            <v>0</v>
          </cell>
          <cell r="N4">
            <v>0</v>
          </cell>
          <cell r="O4">
            <v>0</v>
          </cell>
          <cell r="P4">
            <v>0</v>
          </cell>
          <cell r="Q4">
            <v>0</v>
          </cell>
          <cell r="R4">
            <v>0</v>
          </cell>
          <cell r="S4">
            <v>0</v>
          </cell>
          <cell r="T4">
            <v>0</v>
          </cell>
          <cell r="U4">
            <v>0</v>
          </cell>
        </row>
        <row r="5">
          <cell r="A5" t="str">
            <v>CI</v>
          </cell>
          <cell r="B5" t="str">
            <v>Captura de Investimentos</v>
          </cell>
          <cell r="C5" t="str">
            <v>-</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row>
        <row r="6">
          <cell r="A6" t="str">
            <v>GE00518</v>
          </cell>
          <cell r="B6" t="str">
            <v>Planejamento Macroprojeto 1-3-1</v>
          </cell>
          <cell r="C6" t="str">
            <v>INFR.131.00618</v>
          </cell>
          <cell r="D6">
            <v>782</v>
          </cell>
          <cell r="E6">
            <v>0</v>
          </cell>
          <cell r="F6">
            <v>782</v>
          </cell>
          <cell r="G6">
            <v>0</v>
          </cell>
          <cell r="H6">
            <v>0</v>
          </cell>
          <cell r="I6">
            <v>0</v>
          </cell>
          <cell r="J6">
            <v>0</v>
          </cell>
          <cell r="K6">
            <v>0</v>
          </cell>
          <cell r="L6">
            <v>0</v>
          </cell>
          <cell r="M6">
            <v>0</v>
          </cell>
          <cell r="N6">
            <v>0</v>
          </cell>
          <cell r="O6">
            <v>0</v>
          </cell>
          <cell r="P6">
            <v>0</v>
          </cell>
          <cell r="Q6">
            <v>0</v>
          </cell>
          <cell r="R6">
            <v>0</v>
          </cell>
          <cell r="S6">
            <v>0</v>
          </cell>
          <cell r="T6">
            <v>0</v>
          </cell>
          <cell r="U6">
            <v>0</v>
          </cell>
        </row>
        <row r="7">
          <cell r="A7" t="str">
            <v>NA</v>
          </cell>
          <cell r="B7" t="str">
            <v>Laudos a Serem Apresentados</v>
          </cell>
          <cell r="C7" t="str">
            <v>-</v>
          </cell>
          <cell r="D7">
            <v>1854</v>
          </cell>
          <cell r="E7">
            <v>0</v>
          </cell>
          <cell r="F7">
            <v>0</v>
          </cell>
          <cell r="G7">
            <v>0</v>
          </cell>
          <cell r="H7">
            <v>0</v>
          </cell>
          <cell r="I7">
            <v>0</v>
          </cell>
          <cell r="J7">
            <v>0</v>
          </cell>
          <cell r="K7">
            <v>0</v>
          </cell>
          <cell r="L7">
            <v>0</v>
          </cell>
          <cell r="M7">
            <v>0</v>
          </cell>
          <cell r="N7">
            <v>634</v>
          </cell>
          <cell r="O7">
            <v>435</v>
          </cell>
          <cell r="P7">
            <v>360</v>
          </cell>
          <cell r="Q7">
            <v>425</v>
          </cell>
          <cell r="R7">
            <v>0</v>
          </cell>
          <cell r="S7">
            <v>0</v>
          </cell>
          <cell r="T7">
            <v>0</v>
          </cell>
          <cell r="U7">
            <v>0</v>
          </cell>
        </row>
        <row r="8">
          <cell r="A8" t="str">
            <v>SR</v>
          </cell>
          <cell r="B8" t="str">
            <v>Saldo Residual</v>
          </cell>
          <cell r="C8" t="str">
            <v>-</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row>
        <row r="9">
          <cell r="A9" t="str">
            <v>AM</v>
          </cell>
          <cell r="B9" t="str">
            <v xml:space="preserve">Atual. Moeda - Telecomunicações </v>
          </cell>
          <cell r="C9" t="str">
            <v>-</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row>
        <row r="10">
          <cell r="A10" t="str">
            <v>CI</v>
          </cell>
          <cell r="B10" t="str">
            <v>Captura de Investimentos</v>
          </cell>
          <cell r="C10" t="str">
            <v>-</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row>
        <row r="11">
          <cell r="A11" t="str">
            <v>NA</v>
          </cell>
          <cell r="B11" t="str">
            <v>Laudos a Serem Apresentados</v>
          </cell>
          <cell r="C11" t="str">
            <v>-</v>
          </cell>
          <cell r="D11">
            <v>139</v>
          </cell>
          <cell r="E11">
            <v>0</v>
          </cell>
          <cell r="F11">
            <v>0</v>
          </cell>
          <cell r="G11">
            <v>0</v>
          </cell>
          <cell r="H11">
            <v>0</v>
          </cell>
          <cell r="I11">
            <v>0</v>
          </cell>
          <cell r="J11">
            <v>0</v>
          </cell>
          <cell r="K11">
            <v>0</v>
          </cell>
          <cell r="L11">
            <v>0</v>
          </cell>
          <cell r="M11">
            <v>0</v>
          </cell>
          <cell r="N11">
            <v>16</v>
          </cell>
          <cell r="O11">
            <v>30</v>
          </cell>
          <cell r="P11">
            <v>50</v>
          </cell>
          <cell r="Q11">
            <v>43</v>
          </cell>
          <cell r="R11">
            <v>0</v>
          </cell>
          <cell r="S11">
            <v>0</v>
          </cell>
          <cell r="T11">
            <v>0</v>
          </cell>
          <cell r="U11">
            <v>0</v>
          </cell>
        </row>
        <row r="12">
          <cell r="A12" t="str">
            <v>SR</v>
          </cell>
          <cell r="B12" t="str">
            <v>Saldo Residual</v>
          </cell>
          <cell r="C12" t="str">
            <v>-</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row>
        <row r="13">
          <cell r="A13" t="str">
            <v>TI03418</v>
          </cell>
          <cell r="B13" t="str">
            <v>Planejamento Macroprojeto 1-3-2</v>
          </cell>
          <cell r="C13" t="str">
            <v>TINV.18.G.054.PP</v>
          </cell>
          <cell r="D13">
            <v>29</v>
          </cell>
          <cell r="E13">
            <v>0</v>
          </cell>
          <cell r="F13">
            <v>29</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row>
        <row r="14">
          <cell r="A14" t="str">
            <v>AM</v>
          </cell>
          <cell r="B14" t="str">
            <v xml:space="preserve">Atual. de Moeda - Microinformática </v>
          </cell>
          <cell r="C14" t="str">
            <v>-</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row>
        <row r="15">
          <cell r="A15" t="str">
            <v>CI</v>
          </cell>
          <cell r="B15" t="str">
            <v>Captura de Investimentos</v>
          </cell>
          <cell r="C15" t="str">
            <v>-</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row>
        <row r="16">
          <cell r="A16" t="str">
            <v>NA</v>
          </cell>
          <cell r="B16" t="str">
            <v>Laudos a Serem Apresentados</v>
          </cell>
          <cell r="C16" t="str">
            <v>-</v>
          </cell>
          <cell r="D16">
            <v>896</v>
          </cell>
          <cell r="E16">
            <v>0</v>
          </cell>
          <cell r="F16">
            <v>0</v>
          </cell>
          <cell r="G16">
            <v>0</v>
          </cell>
          <cell r="H16">
            <v>0</v>
          </cell>
          <cell r="I16">
            <v>0</v>
          </cell>
          <cell r="J16">
            <v>0</v>
          </cell>
          <cell r="K16">
            <v>0</v>
          </cell>
          <cell r="L16">
            <v>0</v>
          </cell>
          <cell r="M16">
            <v>0</v>
          </cell>
          <cell r="N16">
            <v>351.5</v>
          </cell>
          <cell r="O16">
            <v>214.5</v>
          </cell>
          <cell r="P16">
            <v>51.5</v>
          </cell>
          <cell r="Q16">
            <v>278.5</v>
          </cell>
          <cell r="R16">
            <v>0</v>
          </cell>
          <cell r="S16">
            <v>0</v>
          </cell>
          <cell r="T16">
            <v>0</v>
          </cell>
          <cell r="U16">
            <v>0</v>
          </cell>
        </row>
        <row r="17">
          <cell r="A17" t="str">
            <v>SR</v>
          </cell>
          <cell r="B17" t="str">
            <v>Saldo Residual</v>
          </cell>
          <cell r="C17" t="str">
            <v>-</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row>
        <row r="18">
          <cell r="A18" t="str">
            <v>TI03518</v>
          </cell>
          <cell r="B18" t="str">
            <v>Planejamento Macroprojeto 1-3-3</v>
          </cell>
          <cell r="C18" t="str">
            <v>TINV.18.G.045.PP</v>
          </cell>
          <cell r="D18">
            <v>59</v>
          </cell>
          <cell r="E18">
            <v>0</v>
          </cell>
          <cell r="F18">
            <v>59</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row>
        <row r="19">
          <cell r="A19" t="str">
            <v>AM</v>
          </cell>
          <cell r="B19" t="str">
            <v>Atual. Moeda - Sistema de Informática</v>
          </cell>
          <cell r="C19" t="str">
            <v>-</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row>
        <row r="20">
          <cell r="A20" t="str">
            <v>CI</v>
          </cell>
          <cell r="B20" t="str">
            <v>Captura de Investimentos</v>
          </cell>
          <cell r="C20" t="str">
            <v>-</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row>
        <row r="21">
          <cell r="A21" t="str">
            <v>NA</v>
          </cell>
          <cell r="B21" t="str">
            <v>Laudos a Serem Apresentados</v>
          </cell>
          <cell r="C21" t="str">
            <v>-</v>
          </cell>
          <cell r="D21">
            <v>4234</v>
          </cell>
          <cell r="E21">
            <v>0</v>
          </cell>
          <cell r="F21">
            <v>0</v>
          </cell>
          <cell r="G21">
            <v>0</v>
          </cell>
          <cell r="H21">
            <v>0</v>
          </cell>
          <cell r="I21">
            <v>0</v>
          </cell>
          <cell r="J21">
            <v>0</v>
          </cell>
          <cell r="K21">
            <v>0</v>
          </cell>
          <cell r="L21">
            <v>0</v>
          </cell>
          <cell r="M21">
            <v>0</v>
          </cell>
          <cell r="N21">
            <v>1138</v>
          </cell>
          <cell r="O21">
            <v>1210</v>
          </cell>
          <cell r="P21">
            <v>1123</v>
          </cell>
          <cell r="Q21">
            <v>763</v>
          </cell>
          <cell r="R21">
            <v>0</v>
          </cell>
          <cell r="S21">
            <v>0</v>
          </cell>
          <cell r="T21">
            <v>0</v>
          </cell>
          <cell r="U21">
            <v>0</v>
          </cell>
        </row>
        <row r="22">
          <cell r="A22" t="str">
            <v>SR</v>
          </cell>
          <cell r="B22" t="str">
            <v>Saldo Residual</v>
          </cell>
          <cell r="C22" t="str">
            <v>-</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row>
        <row r="23">
          <cell r="A23" t="str">
            <v>TI00218</v>
          </cell>
          <cell r="B23" t="str">
            <v>Licenciamento Oracle</v>
          </cell>
          <cell r="C23" t="str">
            <v>TINV.18.G.042.OR</v>
          </cell>
          <cell r="D23">
            <v>0</v>
          </cell>
          <cell r="E23">
            <v>0</v>
          </cell>
          <cell r="F23">
            <v>0</v>
          </cell>
          <cell r="G23">
            <v>119</v>
          </cell>
          <cell r="H23">
            <v>0</v>
          </cell>
          <cell r="I23">
            <v>119.11103057861328</v>
          </cell>
          <cell r="J23">
            <v>0</v>
          </cell>
          <cell r="K23">
            <v>119.11103057861328</v>
          </cell>
          <cell r="L23">
            <v>0</v>
          </cell>
          <cell r="M23">
            <v>119.11103057861328</v>
          </cell>
          <cell r="N23">
            <v>0</v>
          </cell>
          <cell r="O23">
            <v>0</v>
          </cell>
          <cell r="P23">
            <v>0</v>
          </cell>
          <cell r="Q23">
            <v>0</v>
          </cell>
          <cell r="R23">
            <v>0</v>
          </cell>
          <cell r="S23">
            <v>0</v>
          </cell>
          <cell r="T23">
            <v>0</v>
          </cell>
          <cell r="U23">
            <v>0</v>
          </cell>
        </row>
        <row r="24">
          <cell r="A24" t="str">
            <v>TI02216</v>
          </cell>
          <cell r="B24" t="str">
            <v>Upgrade do Software Inspetor</v>
          </cell>
          <cell r="C24" t="str">
            <v>TINV.16.G.042.IP</v>
          </cell>
          <cell r="D24">
            <v>0</v>
          </cell>
          <cell r="E24">
            <v>0</v>
          </cell>
          <cell r="F24">
            <v>0</v>
          </cell>
          <cell r="G24">
            <v>490</v>
          </cell>
          <cell r="H24">
            <v>0</v>
          </cell>
          <cell r="I24">
            <v>48.300398826599121</v>
          </cell>
          <cell r="J24">
            <v>0</v>
          </cell>
          <cell r="K24">
            <v>48.300398826599121</v>
          </cell>
          <cell r="L24">
            <v>435.47496032714844</v>
          </cell>
          <cell r="M24">
            <v>483.77535915374756</v>
          </cell>
          <cell r="N24">
            <v>0</v>
          </cell>
          <cell r="O24">
            <v>0</v>
          </cell>
          <cell r="P24">
            <v>0</v>
          </cell>
          <cell r="Q24">
            <v>0</v>
          </cell>
          <cell r="R24">
            <v>0</v>
          </cell>
          <cell r="S24">
            <v>0</v>
          </cell>
          <cell r="T24">
            <v>0</v>
          </cell>
          <cell r="U24">
            <v>0</v>
          </cell>
        </row>
        <row r="25">
          <cell r="A25" t="str">
            <v>TI03018</v>
          </cell>
          <cell r="B25" t="str">
            <v>Licenciamento Oracle</v>
          </cell>
          <cell r="C25" t="str">
            <v>TINV.18.G.042.PA</v>
          </cell>
          <cell r="D25">
            <v>0</v>
          </cell>
          <cell r="E25">
            <v>0</v>
          </cell>
          <cell r="F25">
            <v>0</v>
          </cell>
          <cell r="G25">
            <v>115</v>
          </cell>
          <cell r="H25">
            <v>0</v>
          </cell>
          <cell r="I25">
            <v>0</v>
          </cell>
          <cell r="J25">
            <v>0</v>
          </cell>
          <cell r="K25">
            <v>0</v>
          </cell>
          <cell r="L25">
            <v>0</v>
          </cell>
          <cell r="M25">
            <v>0</v>
          </cell>
          <cell r="N25">
            <v>0</v>
          </cell>
          <cell r="O25">
            <v>0</v>
          </cell>
          <cell r="P25">
            <v>0</v>
          </cell>
          <cell r="Q25">
            <v>0</v>
          </cell>
          <cell r="R25">
            <v>0</v>
          </cell>
          <cell r="S25">
            <v>0</v>
          </cell>
          <cell r="T25">
            <v>0</v>
          </cell>
          <cell r="U25">
            <v>0</v>
          </cell>
        </row>
        <row r="26">
          <cell r="A26" t="str">
            <v>TI03618</v>
          </cell>
          <cell r="B26" t="str">
            <v>Planejamento Macroprojeto 1-3-4</v>
          </cell>
          <cell r="C26" t="str">
            <v>TINV.18.G.042.PP</v>
          </cell>
          <cell r="D26">
            <v>1886</v>
          </cell>
          <cell r="E26">
            <v>0</v>
          </cell>
          <cell r="F26">
            <v>1886</v>
          </cell>
          <cell r="G26">
            <v>0</v>
          </cell>
          <cell r="H26">
            <v>167</v>
          </cell>
          <cell r="I26">
            <v>0</v>
          </cell>
          <cell r="J26">
            <v>0</v>
          </cell>
          <cell r="K26">
            <v>0</v>
          </cell>
          <cell r="L26">
            <v>0</v>
          </cell>
          <cell r="M26">
            <v>0</v>
          </cell>
          <cell r="N26">
            <v>0</v>
          </cell>
          <cell r="O26">
            <v>0</v>
          </cell>
          <cell r="P26">
            <v>0</v>
          </cell>
          <cell r="Q26">
            <v>0</v>
          </cell>
          <cell r="R26">
            <v>0</v>
          </cell>
          <cell r="S26">
            <v>0</v>
          </cell>
          <cell r="T26">
            <v>0</v>
          </cell>
          <cell r="U26">
            <v>0</v>
          </cell>
        </row>
        <row r="27">
          <cell r="A27" t="str">
            <v>AM</v>
          </cell>
          <cell r="B27" t="str">
            <v>Atual. Moeda - Veículos</v>
          </cell>
          <cell r="C27" t="str">
            <v>-</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row>
        <row r="28">
          <cell r="A28" t="str">
            <v>CI</v>
          </cell>
          <cell r="B28" t="str">
            <v>Captura de Investimentos</v>
          </cell>
          <cell r="C28" t="str">
            <v>-</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row>
        <row r="29">
          <cell r="A29" t="str">
            <v>GE00618</v>
          </cell>
          <cell r="B29" t="str">
            <v>Planejamento Macroprojeto 1-3-5</v>
          </cell>
          <cell r="C29" t="str">
            <v>INFR.135.00718</v>
          </cell>
          <cell r="D29">
            <v>103</v>
          </cell>
          <cell r="E29">
            <v>0</v>
          </cell>
          <cell r="F29">
            <v>103</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row>
        <row r="30">
          <cell r="A30" t="str">
            <v>NA</v>
          </cell>
          <cell r="B30" t="str">
            <v>Laudos a Serem Apresentados</v>
          </cell>
          <cell r="C30" t="str">
            <v>-</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row>
        <row r="31">
          <cell r="A31" t="str">
            <v>SR</v>
          </cell>
          <cell r="B31" t="str">
            <v>Saldo Residual</v>
          </cell>
          <cell r="C31" t="str">
            <v>-</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row>
        <row r="32">
          <cell r="A32" t="str">
            <v>AM</v>
          </cell>
          <cell r="B32" t="str">
            <v>Atual. Moeda - Ferramentas e Equipamentos - Ciclo (2014/2018)</v>
          </cell>
          <cell r="C32" t="str">
            <v>-</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row>
        <row r="33">
          <cell r="A33" t="str">
            <v>CI</v>
          </cell>
          <cell r="B33" t="str">
            <v>Captura de Investimentos</v>
          </cell>
          <cell r="C33" t="str">
            <v>-</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row>
        <row r="34">
          <cell r="A34" t="str">
            <v>GE00418</v>
          </cell>
          <cell r="B34" t="str">
            <v>Planejamento Macroprojeto 1-3-6</v>
          </cell>
          <cell r="C34" t="str">
            <v>INFR.136.00518</v>
          </cell>
          <cell r="D34">
            <v>518</v>
          </cell>
          <cell r="E34">
            <v>0</v>
          </cell>
          <cell r="F34">
            <v>518</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row>
        <row r="35">
          <cell r="A35" t="str">
            <v>MG00317</v>
          </cell>
          <cell r="B35" t="str">
            <v>Ferramentas e Equipamentos - MG/TA</v>
          </cell>
          <cell r="C35" t="str">
            <v>INGC/17/MGTA/FERR</v>
          </cell>
          <cell r="D35">
            <v>0</v>
          </cell>
          <cell r="E35">
            <v>0</v>
          </cell>
          <cell r="F35">
            <v>0</v>
          </cell>
          <cell r="G35">
            <v>120</v>
          </cell>
          <cell r="H35">
            <v>0</v>
          </cell>
          <cell r="I35">
            <v>118.80000305175781</v>
          </cell>
          <cell r="J35">
            <v>0</v>
          </cell>
          <cell r="K35">
            <v>118.80000305175781</v>
          </cell>
          <cell r="L35">
            <v>0</v>
          </cell>
          <cell r="M35">
            <v>118.80000305175781</v>
          </cell>
          <cell r="N35">
            <v>0</v>
          </cell>
          <cell r="O35">
            <v>0</v>
          </cell>
          <cell r="P35">
            <v>0</v>
          </cell>
          <cell r="Q35">
            <v>0</v>
          </cell>
          <cell r="R35">
            <v>0</v>
          </cell>
          <cell r="S35">
            <v>0</v>
          </cell>
          <cell r="T35">
            <v>0</v>
          </cell>
          <cell r="U35">
            <v>0</v>
          </cell>
        </row>
        <row r="36">
          <cell r="A36" t="str">
            <v>MG00318</v>
          </cell>
          <cell r="B36" t="str">
            <v>Ferramentas Cemig GT MG 2018</v>
          </cell>
          <cell r="C36" t="str">
            <v>INGC/18/FERR/MGCT</v>
          </cell>
          <cell r="D36">
            <v>0</v>
          </cell>
          <cell r="E36">
            <v>0</v>
          </cell>
          <cell r="F36">
            <v>0</v>
          </cell>
          <cell r="G36">
            <v>171</v>
          </cell>
          <cell r="H36">
            <v>0</v>
          </cell>
          <cell r="I36">
            <v>0</v>
          </cell>
          <cell r="J36">
            <v>0</v>
          </cell>
          <cell r="K36">
            <v>0</v>
          </cell>
          <cell r="L36">
            <v>4.503270149230957</v>
          </cell>
          <cell r="M36">
            <v>4.503270149230957</v>
          </cell>
          <cell r="N36">
            <v>0</v>
          </cell>
          <cell r="O36">
            <v>0</v>
          </cell>
          <cell r="P36">
            <v>0</v>
          </cell>
          <cell r="Q36">
            <v>0</v>
          </cell>
          <cell r="R36">
            <v>0</v>
          </cell>
          <cell r="S36">
            <v>0</v>
          </cell>
          <cell r="T36">
            <v>0</v>
          </cell>
          <cell r="U36">
            <v>0</v>
          </cell>
        </row>
        <row r="37">
          <cell r="A37" t="str">
            <v>MG01217</v>
          </cell>
          <cell r="B37" t="str">
            <v>Microhmimetro e Equipamentos - MG/CS</v>
          </cell>
          <cell r="C37" t="str">
            <v>INGC/17/MGCS/FERR</v>
          </cell>
          <cell r="D37">
            <v>0</v>
          </cell>
          <cell r="E37">
            <v>0</v>
          </cell>
          <cell r="F37">
            <v>0</v>
          </cell>
          <cell r="G37">
            <v>17</v>
          </cell>
          <cell r="H37">
            <v>0</v>
          </cell>
          <cell r="I37">
            <v>15.548649787902832</v>
          </cell>
          <cell r="J37">
            <v>0</v>
          </cell>
          <cell r="K37">
            <v>15.548649787902832</v>
          </cell>
          <cell r="L37">
            <v>0</v>
          </cell>
          <cell r="M37">
            <v>15.548649787902832</v>
          </cell>
          <cell r="N37">
            <v>0</v>
          </cell>
          <cell r="O37">
            <v>0</v>
          </cell>
          <cell r="P37">
            <v>0</v>
          </cell>
          <cell r="Q37">
            <v>0</v>
          </cell>
          <cell r="R37">
            <v>0</v>
          </cell>
          <cell r="S37">
            <v>0</v>
          </cell>
          <cell r="T37">
            <v>0</v>
          </cell>
          <cell r="U37">
            <v>0</v>
          </cell>
        </row>
        <row r="38">
          <cell r="A38" t="str">
            <v>NA</v>
          </cell>
          <cell r="B38" t="str">
            <v>Ferramentas e Equipamentos - G</v>
          </cell>
          <cell r="C38" t="str">
            <v>-</v>
          </cell>
          <cell r="D38">
            <v>1783</v>
          </cell>
          <cell r="E38">
            <v>0</v>
          </cell>
          <cell r="F38">
            <v>0</v>
          </cell>
          <cell r="G38">
            <v>0</v>
          </cell>
          <cell r="H38">
            <v>0</v>
          </cell>
          <cell r="I38">
            <v>0</v>
          </cell>
          <cell r="J38">
            <v>0</v>
          </cell>
          <cell r="K38">
            <v>0</v>
          </cell>
          <cell r="L38">
            <v>0</v>
          </cell>
          <cell r="M38">
            <v>0</v>
          </cell>
          <cell r="N38">
            <v>486</v>
          </cell>
          <cell r="O38">
            <v>602</v>
          </cell>
          <cell r="P38">
            <v>498</v>
          </cell>
          <cell r="Q38">
            <v>197</v>
          </cell>
          <cell r="R38">
            <v>0</v>
          </cell>
          <cell r="S38">
            <v>0</v>
          </cell>
          <cell r="T38">
            <v>0</v>
          </cell>
          <cell r="U38">
            <v>0</v>
          </cell>
        </row>
        <row r="39">
          <cell r="A39" t="str">
            <v>PO00117</v>
          </cell>
          <cell r="B39" t="str">
            <v>Aquisição de Ferramentas - PO/MG</v>
          </cell>
          <cell r="C39" t="str">
            <v>INGT/17/781/POMG</v>
          </cell>
          <cell r="D39">
            <v>0</v>
          </cell>
          <cell r="E39">
            <v>0</v>
          </cell>
          <cell r="F39">
            <v>0</v>
          </cell>
          <cell r="G39">
            <v>74</v>
          </cell>
          <cell r="H39">
            <v>0</v>
          </cell>
          <cell r="I39">
            <v>0</v>
          </cell>
          <cell r="J39">
            <v>0</v>
          </cell>
          <cell r="K39">
            <v>0</v>
          </cell>
          <cell r="L39">
            <v>30.149999618530273</v>
          </cell>
          <cell r="M39">
            <v>30.149999618530273</v>
          </cell>
          <cell r="N39">
            <v>0</v>
          </cell>
          <cell r="O39">
            <v>0</v>
          </cell>
          <cell r="P39">
            <v>0</v>
          </cell>
          <cell r="Q39">
            <v>0</v>
          </cell>
          <cell r="R39">
            <v>0</v>
          </cell>
          <cell r="S39">
            <v>0</v>
          </cell>
          <cell r="T39">
            <v>0</v>
          </cell>
          <cell r="U39">
            <v>0</v>
          </cell>
        </row>
        <row r="40">
          <cell r="A40" t="str">
            <v>PO00118</v>
          </cell>
          <cell r="B40" t="str">
            <v>Equipamentos para monitoramento de vibração</v>
          </cell>
          <cell r="C40" t="str">
            <v>INGT/18/FER/POMG</v>
          </cell>
          <cell r="D40">
            <v>0</v>
          </cell>
          <cell r="E40">
            <v>0</v>
          </cell>
          <cell r="F40">
            <v>0</v>
          </cell>
          <cell r="G40">
            <v>270</v>
          </cell>
          <cell r="H40">
            <v>0</v>
          </cell>
          <cell r="I40">
            <v>0</v>
          </cell>
          <cell r="J40">
            <v>0</v>
          </cell>
          <cell r="K40">
            <v>0</v>
          </cell>
          <cell r="L40">
            <v>236.05000114440918</v>
          </cell>
          <cell r="M40">
            <v>236.05000114440918</v>
          </cell>
          <cell r="N40">
            <v>0</v>
          </cell>
          <cell r="O40">
            <v>0</v>
          </cell>
          <cell r="P40">
            <v>0</v>
          </cell>
          <cell r="Q40">
            <v>0</v>
          </cell>
          <cell r="R40">
            <v>0</v>
          </cell>
          <cell r="S40">
            <v>0</v>
          </cell>
          <cell r="T40">
            <v>0</v>
          </cell>
          <cell r="U40">
            <v>0</v>
          </cell>
        </row>
        <row r="41">
          <cell r="A41" t="str">
            <v>SR</v>
          </cell>
          <cell r="B41" t="str">
            <v>Saldo Residual</v>
          </cell>
          <cell r="C41" t="str">
            <v>-</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row>
        <row r="42">
          <cell r="A42" t="str">
            <v>AM</v>
          </cell>
          <cell r="B42" t="str">
            <v xml:space="preserve">Atual. Moeda - Edificações e complementos </v>
          </cell>
          <cell r="C42" t="str">
            <v>-</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row>
        <row r="43">
          <cell r="A43" t="str">
            <v>CI</v>
          </cell>
          <cell r="B43" t="str">
            <v>Captura de Investimentos</v>
          </cell>
          <cell r="C43" t="str">
            <v>-</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row>
        <row r="44">
          <cell r="A44" t="str">
            <v>GE00818</v>
          </cell>
          <cell r="B44" t="str">
            <v>Planejamento Macroprojeto 2-3-1</v>
          </cell>
          <cell r="C44" t="str">
            <v>INFR.231.00918</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row>
        <row r="45">
          <cell r="A45" t="str">
            <v>NA</v>
          </cell>
          <cell r="B45" t="str">
            <v>Laudos a Serem Apresentados</v>
          </cell>
          <cell r="C45" t="str">
            <v>-</v>
          </cell>
          <cell r="D45">
            <v>1911</v>
          </cell>
          <cell r="E45">
            <v>0</v>
          </cell>
          <cell r="F45">
            <v>0</v>
          </cell>
          <cell r="G45">
            <v>0</v>
          </cell>
          <cell r="H45">
            <v>0</v>
          </cell>
          <cell r="I45">
            <v>0</v>
          </cell>
          <cell r="J45">
            <v>0</v>
          </cell>
          <cell r="K45">
            <v>0</v>
          </cell>
          <cell r="L45">
            <v>0</v>
          </cell>
          <cell r="M45">
            <v>0</v>
          </cell>
          <cell r="N45">
            <v>430</v>
          </cell>
          <cell r="O45">
            <v>204</v>
          </cell>
          <cell r="P45">
            <v>1251</v>
          </cell>
          <cell r="Q45">
            <v>26</v>
          </cell>
          <cell r="R45">
            <v>0</v>
          </cell>
          <cell r="S45">
            <v>0</v>
          </cell>
          <cell r="T45">
            <v>0</v>
          </cell>
          <cell r="U45">
            <v>0</v>
          </cell>
        </row>
        <row r="46">
          <cell r="A46" t="str">
            <v>SR</v>
          </cell>
          <cell r="B46" t="str">
            <v>Saldo Residual</v>
          </cell>
          <cell r="C46" t="str">
            <v>-</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row>
        <row r="47">
          <cell r="A47" t="str">
            <v>2264/09</v>
          </cell>
          <cell r="B47" t="str">
            <v>Reformas e Melhorias em EC - T - 2009</v>
          </cell>
          <cell r="C47" t="str">
            <v>2CPO2264</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row>
        <row r="48">
          <cell r="A48" t="str">
            <v>3088/12</v>
          </cell>
          <cell r="B48" t="str">
            <v>Reformas e Melhorias Estação de Telecomunicações da Transmissão</v>
          </cell>
          <cell r="C48" t="str">
            <v>INTC.12.T.054.RM</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row>
        <row r="49">
          <cell r="A49" t="str">
            <v>AM</v>
          </cell>
          <cell r="B49" t="str">
            <v xml:space="preserve">Atual. Moeda - Telecomunicações </v>
          </cell>
          <cell r="C49" t="str">
            <v>-</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row>
        <row r="50">
          <cell r="A50" t="str">
            <v>CI</v>
          </cell>
          <cell r="B50" t="str">
            <v>Captura de Investimentos</v>
          </cell>
          <cell r="C50" t="str">
            <v>-</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row>
        <row r="51">
          <cell r="A51" t="str">
            <v>NA</v>
          </cell>
          <cell r="B51" t="str">
            <v>Laudos a Serem Apresentados</v>
          </cell>
          <cell r="C51" t="str">
            <v>-</v>
          </cell>
          <cell r="D51">
            <v>297</v>
          </cell>
          <cell r="E51">
            <v>0</v>
          </cell>
          <cell r="F51">
            <v>0</v>
          </cell>
          <cell r="G51">
            <v>0</v>
          </cell>
          <cell r="H51">
            <v>0</v>
          </cell>
          <cell r="I51">
            <v>0</v>
          </cell>
          <cell r="J51">
            <v>0</v>
          </cell>
          <cell r="K51">
            <v>0</v>
          </cell>
          <cell r="L51">
            <v>0</v>
          </cell>
          <cell r="M51">
            <v>0</v>
          </cell>
          <cell r="N51">
            <v>46</v>
          </cell>
          <cell r="O51">
            <v>83</v>
          </cell>
          <cell r="P51">
            <v>90</v>
          </cell>
          <cell r="Q51">
            <v>78</v>
          </cell>
          <cell r="R51">
            <v>0</v>
          </cell>
          <cell r="S51">
            <v>0</v>
          </cell>
          <cell r="T51">
            <v>0</v>
          </cell>
          <cell r="U51">
            <v>0</v>
          </cell>
        </row>
        <row r="52">
          <cell r="A52" t="str">
            <v>SR</v>
          </cell>
          <cell r="B52" t="str">
            <v>Saldo Residual</v>
          </cell>
          <cell r="C52" t="str">
            <v>-</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row>
        <row r="53">
          <cell r="A53" t="str">
            <v>TI03718</v>
          </cell>
          <cell r="B53" t="str">
            <v>Planejamento Macroprojeto 2-3-2</v>
          </cell>
          <cell r="C53" t="str">
            <v>TINV.18.T.054.PP</v>
          </cell>
          <cell r="D53">
            <v>142</v>
          </cell>
          <cell r="E53">
            <v>0</v>
          </cell>
          <cell r="F53">
            <v>142</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row>
        <row r="54">
          <cell r="A54" t="str">
            <v>AM</v>
          </cell>
          <cell r="B54" t="str">
            <v>Atual. Moeda - Microinformática</v>
          </cell>
          <cell r="C54" t="str">
            <v>-</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row>
        <row r="55">
          <cell r="A55" t="str">
            <v>CI</v>
          </cell>
          <cell r="B55" t="str">
            <v>Captura de Investimentos</v>
          </cell>
          <cell r="C55" t="str">
            <v>-</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row>
        <row r="56">
          <cell r="A56" t="str">
            <v>NA</v>
          </cell>
          <cell r="B56" t="str">
            <v>Laudos a Serem Apresentados</v>
          </cell>
          <cell r="C56" t="str">
            <v>-</v>
          </cell>
          <cell r="D56">
            <v>529</v>
          </cell>
          <cell r="E56">
            <v>0</v>
          </cell>
          <cell r="F56">
            <v>0</v>
          </cell>
          <cell r="G56">
            <v>0</v>
          </cell>
          <cell r="H56">
            <v>0</v>
          </cell>
          <cell r="I56">
            <v>0</v>
          </cell>
          <cell r="J56">
            <v>0</v>
          </cell>
          <cell r="K56">
            <v>0</v>
          </cell>
          <cell r="L56">
            <v>0</v>
          </cell>
          <cell r="M56">
            <v>0</v>
          </cell>
          <cell r="N56">
            <v>55</v>
          </cell>
          <cell r="O56">
            <v>209</v>
          </cell>
          <cell r="P56">
            <v>55</v>
          </cell>
          <cell r="Q56">
            <v>210</v>
          </cell>
          <cell r="R56">
            <v>0</v>
          </cell>
          <cell r="S56">
            <v>0</v>
          </cell>
          <cell r="T56">
            <v>0</v>
          </cell>
          <cell r="U56">
            <v>0</v>
          </cell>
        </row>
        <row r="57">
          <cell r="A57" t="str">
            <v>SR</v>
          </cell>
          <cell r="B57" t="str">
            <v>Saldo Residual</v>
          </cell>
          <cell r="C57" t="str">
            <v>-</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row>
        <row r="58">
          <cell r="A58" t="str">
            <v>TI03818</v>
          </cell>
          <cell r="B58" t="str">
            <v>Planejamento Macroprojeto 2-3-3</v>
          </cell>
          <cell r="C58" t="str">
            <v>TINV.18.T.045.PP</v>
          </cell>
          <cell r="D58">
            <v>415</v>
          </cell>
          <cell r="E58">
            <v>0</v>
          </cell>
          <cell r="F58">
            <v>415</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row>
        <row r="59">
          <cell r="A59" t="str">
            <v>AM</v>
          </cell>
          <cell r="B59" t="str">
            <v>Atual. Moeda - Sistema de Informática</v>
          </cell>
          <cell r="C59" t="str">
            <v>-</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row>
        <row r="60">
          <cell r="A60" t="str">
            <v>CI</v>
          </cell>
          <cell r="B60" t="str">
            <v>Captura de Investimentos</v>
          </cell>
          <cell r="C60" t="str">
            <v>-</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row>
        <row r="61">
          <cell r="A61" t="str">
            <v>NA</v>
          </cell>
          <cell r="B61" t="str">
            <v>Laudos a Serem Apresentados</v>
          </cell>
          <cell r="C61" t="str">
            <v>-</v>
          </cell>
          <cell r="D61">
            <v>514</v>
          </cell>
          <cell r="E61">
            <v>0</v>
          </cell>
          <cell r="F61">
            <v>0</v>
          </cell>
          <cell r="G61">
            <v>0</v>
          </cell>
          <cell r="H61">
            <v>0</v>
          </cell>
          <cell r="I61">
            <v>0</v>
          </cell>
          <cell r="J61">
            <v>0</v>
          </cell>
          <cell r="K61">
            <v>0</v>
          </cell>
          <cell r="L61">
            <v>0</v>
          </cell>
          <cell r="M61">
            <v>0</v>
          </cell>
          <cell r="N61">
            <v>128.5</v>
          </cell>
          <cell r="O61">
            <v>128.5</v>
          </cell>
          <cell r="P61">
            <v>128.5</v>
          </cell>
          <cell r="Q61">
            <v>128.5</v>
          </cell>
          <cell r="R61">
            <v>0</v>
          </cell>
          <cell r="S61">
            <v>0</v>
          </cell>
          <cell r="T61">
            <v>0</v>
          </cell>
          <cell r="U61">
            <v>0</v>
          </cell>
        </row>
        <row r="62">
          <cell r="A62" t="str">
            <v>SR</v>
          </cell>
          <cell r="B62" t="str">
            <v>Saldo Residual</v>
          </cell>
          <cell r="C62" t="str">
            <v>-</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row>
        <row r="63">
          <cell r="A63" t="str">
            <v>TI03918</v>
          </cell>
          <cell r="B63" t="str">
            <v>Planejamento Macroprojeto 2-3-4</v>
          </cell>
          <cell r="C63" t="str">
            <v>TINV.18.T.042.PP</v>
          </cell>
          <cell r="D63">
            <v>129</v>
          </cell>
          <cell r="E63">
            <v>0</v>
          </cell>
          <cell r="F63">
            <v>129</v>
          </cell>
          <cell r="G63">
            <v>0</v>
          </cell>
          <cell r="H63">
            <v>26</v>
          </cell>
          <cell r="I63">
            <v>0</v>
          </cell>
          <cell r="J63">
            <v>0</v>
          </cell>
          <cell r="K63">
            <v>0</v>
          </cell>
          <cell r="L63">
            <v>0</v>
          </cell>
          <cell r="M63">
            <v>0</v>
          </cell>
          <cell r="N63">
            <v>0</v>
          </cell>
          <cell r="O63">
            <v>0</v>
          </cell>
          <cell r="P63">
            <v>0</v>
          </cell>
          <cell r="Q63">
            <v>0</v>
          </cell>
          <cell r="R63">
            <v>0</v>
          </cell>
          <cell r="S63">
            <v>0</v>
          </cell>
          <cell r="T63">
            <v>0</v>
          </cell>
          <cell r="U63">
            <v>0</v>
          </cell>
        </row>
        <row r="64">
          <cell r="A64" t="str">
            <v>AM</v>
          </cell>
          <cell r="B64" t="str">
            <v>Atual. Moeda - Veículos</v>
          </cell>
          <cell r="C64" t="str">
            <v>-</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row>
        <row r="65">
          <cell r="A65" t="str">
            <v>CI</v>
          </cell>
          <cell r="B65" t="str">
            <v>Captura de Investimentos</v>
          </cell>
          <cell r="C65" t="str">
            <v>-</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row>
        <row r="66">
          <cell r="A66" t="str">
            <v>GE00918</v>
          </cell>
          <cell r="B66" t="str">
            <v>Planejamento Macroprojeto 2-3-5</v>
          </cell>
          <cell r="C66" t="str">
            <v>INFR.235.01018</v>
          </cell>
          <cell r="D66">
            <v>1618</v>
          </cell>
          <cell r="E66">
            <v>0</v>
          </cell>
          <cell r="F66">
            <v>1618</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row>
        <row r="67">
          <cell r="A67" t="str">
            <v>NA</v>
          </cell>
          <cell r="B67" t="str">
            <v>Laudos a Serem Apresentados</v>
          </cell>
          <cell r="C67" t="str">
            <v>-</v>
          </cell>
          <cell r="D67">
            <v>2058</v>
          </cell>
          <cell r="E67">
            <v>0</v>
          </cell>
          <cell r="F67">
            <v>0</v>
          </cell>
          <cell r="G67">
            <v>0</v>
          </cell>
          <cell r="H67">
            <v>0</v>
          </cell>
          <cell r="I67">
            <v>0</v>
          </cell>
          <cell r="J67">
            <v>0</v>
          </cell>
          <cell r="K67">
            <v>0</v>
          </cell>
          <cell r="L67">
            <v>0</v>
          </cell>
          <cell r="M67">
            <v>0</v>
          </cell>
          <cell r="N67">
            <v>0</v>
          </cell>
          <cell r="O67">
            <v>1050</v>
          </cell>
          <cell r="P67">
            <v>1008</v>
          </cell>
          <cell r="Q67">
            <v>0</v>
          </cell>
          <cell r="R67">
            <v>0</v>
          </cell>
          <cell r="S67">
            <v>0</v>
          </cell>
          <cell r="T67">
            <v>0</v>
          </cell>
          <cell r="U67">
            <v>0</v>
          </cell>
        </row>
        <row r="68">
          <cell r="A68" t="str">
            <v>SR</v>
          </cell>
          <cell r="B68" t="str">
            <v>Saldo Residual</v>
          </cell>
          <cell r="C68" t="str">
            <v>-</v>
          </cell>
          <cell r="D68">
            <v>9.9999999999909106E-2</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row>
        <row r="69">
          <cell r="A69" t="str">
            <v>AM</v>
          </cell>
          <cell r="B69" t="str">
            <v xml:space="preserve">Atual. Moeda - Ferramentas e Equipamentos </v>
          </cell>
          <cell r="C69" t="str">
            <v>-</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row>
        <row r="70">
          <cell r="A70" t="str">
            <v>CI</v>
          </cell>
          <cell r="B70" t="str">
            <v>Captura de Investimentos</v>
          </cell>
          <cell r="C70" t="str">
            <v>-</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row>
        <row r="71">
          <cell r="A71" t="str">
            <v>GE00718</v>
          </cell>
          <cell r="B71" t="str">
            <v>Planejamento Macroprojeto 2-3-6</v>
          </cell>
          <cell r="C71" t="str">
            <v>INFR.236.00818</v>
          </cell>
          <cell r="D71">
            <v>1815</v>
          </cell>
          <cell r="E71">
            <v>0</v>
          </cell>
          <cell r="F71">
            <v>1815</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row>
        <row r="72">
          <cell r="A72" t="str">
            <v>MT00516</v>
          </cell>
          <cell r="B72" t="str">
            <v>Ferramentas 2016 - MT</v>
          </cell>
          <cell r="C72" t="str">
            <v>INAT/16/FE</v>
          </cell>
          <cell r="D72">
            <v>0</v>
          </cell>
          <cell r="E72">
            <v>0</v>
          </cell>
          <cell r="F72">
            <v>0</v>
          </cell>
          <cell r="G72">
            <v>5</v>
          </cell>
          <cell r="H72">
            <v>0</v>
          </cell>
          <cell r="I72">
            <v>3.91975998878479</v>
          </cell>
          <cell r="J72">
            <v>0</v>
          </cell>
          <cell r="K72">
            <v>3.91975998878479</v>
          </cell>
          <cell r="L72">
            <v>0</v>
          </cell>
          <cell r="M72">
            <v>3.91975998878479</v>
          </cell>
          <cell r="N72">
            <v>0</v>
          </cell>
          <cell r="O72">
            <v>0</v>
          </cell>
          <cell r="P72">
            <v>0</v>
          </cell>
          <cell r="Q72">
            <v>0</v>
          </cell>
          <cell r="R72">
            <v>0</v>
          </cell>
          <cell r="S72">
            <v>0</v>
          </cell>
          <cell r="T72">
            <v>0</v>
          </cell>
          <cell r="U72">
            <v>0</v>
          </cell>
        </row>
        <row r="73">
          <cell r="A73" t="str">
            <v>MT01017</v>
          </cell>
          <cell r="B73" t="str">
            <v>Ferramentas de Manutenção (Ciclo 2017-2025) - MT</v>
          </cell>
          <cell r="C73" t="str">
            <v>INAT/18/FE</v>
          </cell>
          <cell r="D73">
            <v>0</v>
          </cell>
          <cell r="E73">
            <v>0</v>
          </cell>
          <cell r="F73">
            <v>0</v>
          </cell>
          <cell r="G73">
            <v>1088</v>
          </cell>
          <cell r="H73">
            <v>0</v>
          </cell>
          <cell r="I73">
            <v>0</v>
          </cell>
          <cell r="J73">
            <v>0</v>
          </cell>
          <cell r="K73">
            <v>0</v>
          </cell>
          <cell r="L73">
            <v>2.5</v>
          </cell>
          <cell r="M73">
            <v>2.5</v>
          </cell>
          <cell r="N73">
            <v>0</v>
          </cell>
          <cell r="O73">
            <v>0</v>
          </cell>
          <cell r="P73">
            <v>0</v>
          </cell>
          <cell r="Q73">
            <v>0</v>
          </cell>
          <cell r="R73">
            <v>0</v>
          </cell>
          <cell r="S73">
            <v>0</v>
          </cell>
          <cell r="T73">
            <v>0</v>
          </cell>
          <cell r="U73">
            <v>0</v>
          </cell>
        </row>
        <row r="74">
          <cell r="A74" t="str">
            <v>NA</v>
          </cell>
          <cell r="B74" t="str">
            <v>Ferramentas e Equipamentos - T (Ciclo 2017 - 2025)</v>
          </cell>
          <cell r="C74" t="str">
            <v>-</v>
          </cell>
          <cell r="D74">
            <v>4823</v>
          </cell>
          <cell r="E74">
            <v>0</v>
          </cell>
          <cell r="F74">
            <v>0</v>
          </cell>
          <cell r="G74">
            <v>0</v>
          </cell>
          <cell r="H74">
            <v>0</v>
          </cell>
          <cell r="I74">
            <v>0</v>
          </cell>
          <cell r="J74">
            <v>0</v>
          </cell>
          <cell r="K74">
            <v>0</v>
          </cell>
          <cell r="L74">
            <v>0</v>
          </cell>
          <cell r="M74">
            <v>0</v>
          </cell>
          <cell r="N74">
            <v>1496</v>
          </cell>
          <cell r="O74">
            <v>777</v>
          </cell>
          <cell r="P74">
            <v>2550</v>
          </cell>
          <cell r="Q74">
            <v>0</v>
          </cell>
          <cell r="R74">
            <v>0</v>
          </cell>
          <cell r="S74">
            <v>0</v>
          </cell>
          <cell r="T74">
            <v>0</v>
          </cell>
          <cell r="U74">
            <v>0</v>
          </cell>
        </row>
        <row r="75">
          <cell r="A75" t="str">
            <v>PO00417</v>
          </cell>
          <cell r="B75" t="str">
            <v>Aquisição de Diversos Equipamentos</v>
          </cell>
          <cell r="C75" t="str">
            <v>INGT/18/783/FERR</v>
          </cell>
          <cell r="D75">
            <v>0</v>
          </cell>
          <cell r="E75">
            <v>0</v>
          </cell>
          <cell r="F75">
            <v>0</v>
          </cell>
          <cell r="G75">
            <v>126</v>
          </cell>
          <cell r="H75">
            <v>0</v>
          </cell>
          <cell r="I75">
            <v>0</v>
          </cell>
          <cell r="J75">
            <v>0</v>
          </cell>
          <cell r="K75">
            <v>0</v>
          </cell>
          <cell r="L75">
            <v>106.54799938201904</v>
          </cell>
          <cell r="M75">
            <v>106.54799938201904</v>
          </cell>
          <cell r="N75">
            <v>0</v>
          </cell>
          <cell r="O75">
            <v>0</v>
          </cell>
          <cell r="P75">
            <v>0</v>
          </cell>
          <cell r="Q75">
            <v>0</v>
          </cell>
          <cell r="R75">
            <v>0</v>
          </cell>
          <cell r="S75">
            <v>0</v>
          </cell>
          <cell r="T75">
            <v>0</v>
          </cell>
          <cell r="U75">
            <v>0</v>
          </cell>
        </row>
        <row r="76">
          <cell r="A76" t="str">
            <v>SR</v>
          </cell>
          <cell r="B76" t="str">
            <v>Saldo Residual</v>
          </cell>
          <cell r="C76" t="str">
            <v>-</v>
          </cell>
          <cell r="D76">
            <v>9.9920072216264089E-16</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row>
        <row r="77">
          <cell r="A77" t="str">
            <v>2509/10</v>
          </cell>
          <cell r="B77" t="str">
            <v>Programa de Substituição e Modernização de Ferramentas p/ DDC</v>
          </cell>
          <cell r="C77" t="str">
            <v>PIGD.10.905.O1.GF</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row>
        <row r="78">
          <cell r="A78" t="str">
            <v>2556/10</v>
          </cell>
          <cell r="B78" t="str">
            <v>Ferramentas e Equipamentos para PE</v>
          </cell>
          <cell r="C78" t="str">
            <v>PIGD.10.178.O1.GF</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row>
        <row r="79">
          <cell r="A79" t="str">
            <v>2710/11</v>
          </cell>
          <cell r="B79" t="str">
            <v>Ferramentas p/ Equipes de Inspeções em LT</v>
          </cell>
          <cell r="C79" t="str">
            <v>PIGD.11.856.O1.GF</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row>
        <row r="80">
          <cell r="A80" t="str">
            <v>2716/11</v>
          </cell>
          <cell r="B80" t="str">
            <v>Ferramentas p/ MD, PE, PR</v>
          </cell>
          <cell r="C80" t="str">
            <v>PIGD.11.896.O1.GF</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row>
        <row r="81">
          <cell r="A81" t="str">
            <v>2717/11</v>
          </cell>
          <cell r="B81" t="str">
            <v>Ferramentas Operacionais SD/LS</v>
          </cell>
          <cell r="C81" t="str">
            <v>PIGD.11.896.O2.GF</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row>
        <row r="82">
          <cell r="A82" t="str">
            <v>2854/11</v>
          </cell>
          <cell r="B82" t="str">
            <v>Termovisor para Inspeções em LT</v>
          </cell>
          <cell r="C82" t="str">
            <v>PIGD.11.856.O2.GF</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row>
        <row r="83">
          <cell r="A83" t="str">
            <v>2896/11</v>
          </cell>
          <cell r="B83" t="str">
            <v>Ferramentas Operacionais para CD/DDC</v>
          </cell>
          <cell r="C83" t="str">
            <v>PIGD.11.896.O3.GF</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row>
        <row r="84">
          <cell r="A84" t="str">
            <v>2922/11</v>
          </cell>
          <cell r="B84" t="str">
            <v>Ferramentas DDC 2012</v>
          </cell>
          <cell r="C84" t="str">
            <v>PIGD.11.896.O4.GF</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row>
        <row r="85">
          <cell r="A85" t="str">
            <v>AM</v>
          </cell>
          <cell r="B85" t="str">
            <v xml:space="preserve">Atual. Moeda - Ferramentas </v>
          </cell>
          <cell r="C85" t="str">
            <v>-</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row>
        <row r="86">
          <cell r="A86" t="str">
            <v>CD00116</v>
          </cell>
          <cell r="B86" t="str">
            <v>Notebooks para Manutenção de Rede</v>
          </cell>
          <cell r="C86" t="str">
            <v>PIGD.16.687.O1.GF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row>
        <row r="87">
          <cell r="A87" t="str">
            <v>CD00315</v>
          </cell>
          <cell r="B87" t="str">
            <v>Ferramentas DDC 2015</v>
          </cell>
          <cell r="C87" t="str">
            <v>3CPOCD00315</v>
          </cell>
          <cell r="D87">
            <v>0</v>
          </cell>
          <cell r="E87">
            <v>0</v>
          </cell>
          <cell r="F87">
            <v>0</v>
          </cell>
          <cell r="G87">
            <v>13</v>
          </cell>
          <cell r="H87">
            <v>0</v>
          </cell>
          <cell r="I87">
            <v>12.704649925231934</v>
          </cell>
          <cell r="J87">
            <v>0</v>
          </cell>
          <cell r="K87">
            <v>12.704649925231934</v>
          </cell>
          <cell r="L87">
            <v>0</v>
          </cell>
          <cell r="M87">
            <v>12.704649925231934</v>
          </cell>
          <cell r="N87">
            <v>0</v>
          </cell>
          <cell r="O87">
            <v>0</v>
          </cell>
          <cell r="P87">
            <v>0</v>
          </cell>
          <cell r="Q87">
            <v>0</v>
          </cell>
          <cell r="R87">
            <v>0</v>
          </cell>
          <cell r="S87">
            <v>0</v>
          </cell>
          <cell r="T87">
            <v>0</v>
          </cell>
          <cell r="U87">
            <v>0</v>
          </cell>
        </row>
        <row r="88">
          <cell r="A88" t="str">
            <v>CI</v>
          </cell>
          <cell r="B88" t="str">
            <v>Captura de Investimentos</v>
          </cell>
          <cell r="C88" t="str">
            <v>-</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row>
        <row r="89">
          <cell r="A89" t="str">
            <v>GE00118</v>
          </cell>
          <cell r="B89" t="str">
            <v>Planejamento Macroprojeto 3-4-1</v>
          </cell>
          <cell r="C89" t="str">
            <v>INFR.341.00118</v>
          </cell>
          <cell r="D89">
            <v>2417</v>
          </cell>
          <cell r="E89">
            <v>0</v>
          </cell>
          <cell r="F89">
            <v>2417</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row>
        <row r="90">
          <cell r="A90" t="str">
            <v>NA</v>
          </cell>
          <cell r="B90" t="str">
            <v>Laudos a Serem Apresentados</v>
          </cell>
          <cell r="C90" t="str">
            <v>-</v>
          </cell>
          <cell r="D90">
            <v>11667</v>
          </cell>
          <cell r="E90">
            <v>0</v>
          </cell>
          <cell r="F90">
            <v>0</v>
          </cell>
          <cell r="G90">
            <v>0</v>
          </cell>
          <cell r="H90">
            <v>0</v>
          </cell>
          <cell r="I90">
            <v>0</v>
          </cell>
          <cell r="J90">
            <v>0</v>
          </cell>
          <cell r="K90">
            <v>0</v>
          </cell>
          <cell r="L90">
            <v>0</v>
          </cell>
          <cell r="M90">
            <v>0</v>
          </cell>
          <cell r="N90">
            <v>2235</v>
          </cell>
          <cell r="O90">
            <v>3005</v>
          </cell>
          <cell r="P90">
            <v>3898</v>
          </cell>
          <cell r="Q90">
            <v>2529</v>
          </cell>
          <cell r="R90">
            <v>0</v>
          </cell>
          <cell r="S90">
            <v>0</v>
          </cell>
          <cell r="T90">
            <v>0</v>
          </cell>
          <cell r="U90">
            <v>0</v>
          </cell>
        </row>
        <row r="91">
          <cell r="A91" t="str">
            <v>SR</v>
          </cell>
          <cell r="B91" t="str">
            <v>Saldo Residual</v>
          </cell>
          <cell r="C91" t="str">
            <v>-</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row>
        <row r="92">
          <cell r="A92" t="str">
            <v>AM</v>
          </cell>
          <cell r="B92" t="str">
            <v xml:space="preserve">Atual. Moeda - Edificações e complementos </v>
          </cell>
          <cell r="C92" t="str">
            <v>-</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row>
        <row r="93">
          <cell r="A93" t="str">
            <v>CD00115</v>
          </cell>
          <cell r="B93" t="str">
            <v>Sistema Videowall do COD</v>
          </cell>
          <cell r="C93" t="str">
            <v>PIGD.15.170.O1.GE</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row>
        <row r="94">
          <cell r="A94" t="str">
            <v>CD00215</v>
          </cell>
          <cell r="B94" t="str">
            <v>Equipamentos de Infraestrutura para DDC 2015</v>
          </cell>
          <cell r="C94" t="str">
            <v>PIGD.15.687.O1.GE</v>
          </cell>
          <cell r="D94">
            <v>0</v>
          </cell>
          <cell r="E94">
            <v>0</v>
          </cell>
          <cell r="F94">
            <v>0</v>
          </cell>
          <cell r="G94">
            <v>56</v>
          </cell>
          <cell r="H94">
            <v>0</v>
          </cell>
          <cell r="I94">
            <v>54.296999216079712</v>
          </cell>
          <cell r="J94">
            <v>0</v>
          </cell>
          <cell r="K94">
            <v>54.296999216079712</v>
          </cell>
          <cell r="L94">
            <v>0</v>
          </cell>
          <cell r="M94">
            <v>54.296999216079712</v>
          </cell>
          <cell r="N94">
            <v>0</v>
          </cell>
          <cell r="O94">
            <v>0</v>
          </cell>
          <cell r="P94">
            <v>0</v>
          </cell>
          <cell r="Q94">
            <v>0</v>
          </cell>
          <cell r="R94">
            <v>0</v>
          </cell>
          <cell r="S94">
            <v>0</v>
          </cell>
          <cell r="T94">
            <v>0</v>
          </cell>
          <cell r="U94">
            <v>0</v>
          </cell>
        </row>
        <row r="95">
          <cell r="A95" t="str">
            <v>CI</v>
          </cell>
          <cell r="B95" t="str">
            <v>Captura de Investimentos</v>
          </cell>
          <cell r="C95" t="str">
            <v>-</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row>
        <row r="96">
          <cell r="A96" t="str">
            <v>GE00214</v>
          </cell>
          <cell r="B96" t="str">
            <v>Projeto de CFTV e Conectividade do Edifício Julio Soares</v>
          </cell>
          <cell r="C96" t="str">
            <v>INFR.342.00414</v>
          </cell>
          <cell r="D96">
            <v>0</v>
          </cell>
          <cell r="E96">
            <v>0</v>
          </cell>
          <cell r="F96">
            <v>0</v>
          </cell>
          <cell r="G96">
            <v>2</v>
          </cell>
          <cell r="H96">
            <v>0</v>
          </cell>
          <cell r="I96">
            <v>1.7749999761581421</v>
          </cell>
          <cell r="J96">
            <v>0</v>
          </cell>
          <cell r="K96">
            <v>1.7749999761581421</v>
          </cell>
          <cell r="L96">
            <v>0</v>
          </cell>
          <cell r="M96">
            <v>1.7749999761581421</v>
          </cell>
          <cell r="N96">
            <v>0</v>
          </cell>
          <cell r="O96">
            <v>0</v>
          </cell>
          <cell r="P96">
            <v>0</v>
          </cell>
          <cell r="Q96">
            <v>0</v>
          </cell>
          <cell r="R96">
            <v>0</v>
          </cell>
          <cell r="S96">
            <v>0</v>
          </cell>
          <cell r="T96">
            <v>0</v>
          </cell>
          <cell r="U96">
            <v>0</v>
          </cell>
        </row>
        <row r="97">
          <cell r="A97" t="str">
            <v>GE00218</v>
          </cell>
          <cell r="B97" t="str">
            <v>Planejamento Macroprojeto 3-4-2</v>
          </cell>
          <cell r="C97" t="str">
            <v>INFR.341.00218</v>
          </cell>
          <cell r="D97">
            <v>6259</v>
          </cell>
          <cell r="E97">
            <v>0</v>
          </cell>
          <cell r="F97">
            <v>6259</v>
          </cell>
          <cell r="G97">
            <v>0</v>
          </cell>
          <cell r="H97">
            <v>62</v>
          </cell>
          <cell r="I97">
            <v>0</v>
          </cell>
          <cell r="J97">
            <v>0</v>
          </cell>
          <cell r="K97">
            <v>0</v>
          </cell>
          <cell r="L97">
            <v>0</v>
          </cell>
          <cell r="M97">
            <v>0</v>
          </cell>
          <cell r="N97">
            <v>0</v>
          </cell>
          <cell r="O97">
            <v>0</v>
          </cell>
          <cell r="P97">
            <v>0</v>
          </cell>
          <cell r="Q97">
            <v>0</v>
          </cell>
          <cell r="R97">
            <v>0</v>
          </cell>
          <cell r="S97">
            <v>0</v>
          </cell>
          <cell r="T97">
            <v>0</v>
          </cell>
          <cell r="U97">
            <v>0</v>
          </cell>
        </row>
        <row r="98">
          <cell r="A98" t="str">
            <v>NA</v>
          </cell>
          <cell r="B98" t="str">
            <v>Laudos a Serem Apresentados</v>
          </cell>
          <cell r="C98" t="str">
            <v>-</v>
          </cell>
          <cell r="D98">
            <v>34192</v>
          </cell>
          <cell r="E98">
            <v>0</v>
          </cell>
          <cell r="F98">
            <v>0</v>
          </cell>
          <cell r="G98">
            <v>0</v>
          </cell>
          <cell r="H98">
            <v>0</v>
          </cell>
          <cell r="I98">
            <v>0</v>
          </cell>
          <cell r="J98">
            <v>0</v>
          </cell>
          <cell r="K98">
            <v>0</v>
          </cell>
          <cell r="L98">
            <v>0</v>
          </cell>
          <cell r="M98">
            <v>0</v>
          </cell>
          <cell r="N98">
            <v>8703</v>
          </cell>
          <cell r="O98">
            <v>9836</v>
          </cell>
          <cell r="P98">
            <v>9596</v>
          </cell>
          <cell r="Q98">
            <v>6057</v>
          </cell>
          <cell r="R98">
            <v>0</v>
          </cell>
          <cell r="S98">
            <v>0</v>
          </cell>
          <cell r="T98">
            <v>0</v>
          </cell>
          <cell r="U98">
            <v>0</v>
          </cell>
        </row>
        <row r="99">
          <cell r="A99" t="str">
            <v>SC00117</v>
          </cell>
          <cell r="B99" t="str">
            <v>CDI - Sete Lagoas - Execução de reforço do talude e obra de drenagem</v>
          </cell>
          <cell r="C99" t="str">
            <v>INFR.342.00117</v>
          </cell>
          <cell r="D99">
            <v>0</v>
          </cell>
          <cell r="E99">
            <v>0</v>
          </cell>
          <cell r="F99">
            <v>0</v>
          </cell>
          <cell r="G99">
            <v>250</v>
          </cell>
          <cell r="H99">
            <v>0</v>
          </cell>
          <cell r="I99">
            <v>0</v>
          </cell>
          <cell r="J99">
            <v>0</v>
          </cell>
          <cell r="K99">
            <v>0</v>
          </cell>
          <cell r="L99">
            <v>51.18402099609375</v>
          </cell>
          <cell r="M99">
            <v>51.18402099609375</v>
          </cell>
          <cell r="N99">
            <v>0</v>
          </cell>
          <cell r="O99">
            <v>0</v>
          </cell>
          <cell r="P99">
            <v>0</v>
          </cell>
          <cell r="Q99">
            <v>0</v>
          </cell>
          <cell r="R99">
            <v>0</v>
          </cell>
          <cell r="S99">
            <v>0</v>
          </cell>
          <cell r="T99">
            <v>0</v>
          </cell>
          <cell r="U99">
            <v>0</v>
          </cell>
        </row>
        <row r="100">
          <cell r="A100" t="str">
            <v>SR</v>
          </cell>
          <cell r="B100" t="str">
            <v>Saldo Residual</v>
          </cell>
          <cell r="C100" t="str">
            <v>-</v>
          </cell>
          <cell r="D100">
            <v>0.5</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row>
        <row r="101">
          <cell r="A101" t="str">
            <v>AM</v>
          </cell>
          <cell r="B101" t="str">
            <v xml:space="preserve">Atual. Moeda - Telecomunicações (Aureliano Chaves) </v>
          </cell>
          <cell r="C101" t="str">
            <v>-</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row>
        <row r="102">
          <cell r="A102" t="str">
            <v>CI</v>
          </cell>
          <cell r="B102" t="str">
            <v>Captura de Investimentos</v>
          </cell>
          <cell r="C102" t="str">
            <v>-</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row>
        <row r="103">
          <cell r="A103" t="str">
            <v>NA</v>
          </cell>
          <cell r="B103" t="str">
            <v>Laudos a Serem Apresentados</v>
          </cell>
          <cell r="C103" t="str">
            <v>-</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row>
        <row r="104">
          <cell r="A104" t="str">
            <v>SR</v>
          </cell>
          <cell r="B104" t="str">
            <v>Saldo Residual</v>
          </cell>
          <cell r="C104" t="str">
            <v>-</v>
          </cell>
          <cell r="D104">
            <v>-1</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row>
        <row r="105">
          <cell r="A105" t="str">
            <v>TI01518</v>
          </cell>
          <cell r="B105" t="str">
            <v>Planejamento Macroprojeto 3-4-3-1</v>
          </cell>
          <cell r="C105" t="str">
            <v>TINV.18.D.054.PP</v>
          </cell>
          <cell r="D105">
            <v>34563</v>
          </cell>
          <cell r="E105">
            <v>0</v>
          </cell>
          <cell r="F105">
            <v>4112</v>
          </cell>
          <cell r="G105">
            <v>0</v>
          </cell>
          <cell r="H105">
            <v>0</v>
          </cell>
          <cell r="I105">
            <v>0</v>
          </cell>
          <cell r="J105">
            <v>0</v>
          </cell>
          <cell r="K105">
            <v>0</v>
          </cell>
          <cell r="L105">
            <v>0</v>
          </cell>
          <cell r="M105">
            <v>0</v>
          </cell>
          <cell r="N105">
            <v>5203</v>
          </cell>
          <cell r="O105">
            <v>8313</v>
          </cell>
          <cell r="P105">
            <v>9847</v>
          </cell>
          <cell r="Q105">
            <v>7088</v>
          </cell>
          <cell r="R105">
            <v>0</v>
          </cell>
          <cell r="S105">
            <v>0</v>
          </cell>
          <cell r="T105">
            <v>0</v>
          </cell>
          <cell r="U105">
            <v>0</v>
          </cell>
        </row>
        <row r="106">
          <cell r="A106" t="str">
            <v>TI02918</v>
          </cell>
          <cell r="B106" t="str">
            <v>Plano de Atendimento de Telecom da Base Operativa de São Gabriel</v>
          </cell>
          <cell r="C106" t="str">
            <v>TINV.18.D.054.SG</v>
          </cell>
          <cell r="D106">
            <v>0</v>
          </cell>
          <cell r="E106">
            <v>0</v>
          </cell>
          <cell r="F106">
            <v>0</v>
          </cell>
          <cell r="G106">
            <v>367</v>
          </cell>
          <cell r="H106">
            <v>0</v>
          </cell>
          <cell r="I106">
            <v>0</v>
          </cell>
          <cell r="J106">
            <v>0</v>
          </cell>
          <cell r="K106">
            <v>0</v>
          </cell>
          <cell r="L106">
            <v>341.78379249572754</v>
          </cell>
          <cell r="M106">
            <v>341.78379249572754</v>
          </cell>
          <cell r="N106">
            <v>0</v>
          </cell>
          <cell r="O106">
            <v>0</v>
          </cell>
          <cell r="P106">
            <v>0</v>
          </cell>
          <cell r="Q106">
            <v>0</v>
          </cell>
          <cell r="R106">
            <v>0</v>
          </cell>
          <cell r="S106">
            <v>0</v>
          </cell>
          <cell r="T106">
            <v>0</v>
          </cell>
          <cell r="U106">
            <v>0</v>
          </cell>
        </row>
        <row r="107">
          <cell r="A107" t="str">
            <v>TI03118</v>
          </cell>
          <cell r="B107" t="str">
            <v>Projeto Sigma - Substituição dos Gateways Mediant 1000</v>
          </cell>
          <cell r="C107" t="str">
            <v>TINV.18.D.054.PS</v>
          </cell>
          <cell r="D107">
            <v>0</v>
          </cell>
          <cell r="E107">
            <v>0</v>
          </cell>
          <cell r="F107">
            <v>0</v>
          </cell>
          <cell r="G107">
            <v>108</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row>
        <row r="108">
          <cell r="A108" t="str">
            <v>AM</v>
          </cell>
          <cell r="B108" t="str">
            <v xml:space="preserve">Atual. Moeda - Microinformática </v>
          </cell>
          <cell r="C108" t="str">
            <v>-</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row>
        <row r="109">
          <cell r="A109" t="str">
            <v>CI</v>
          </cell>
          <cell r="B109" t="str">
            <v>Captura de Investimentos</v>
          </cell>
          <cell r="C109" t="str">
            <v>-</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row>
        <row r="110">
          <cell r="A110" t="str">
            <v>NA</v>
          </cell>
          <cell r="B110" t="str">
            <v>Modernização do Parque de Microinformática - D</v>
          </cell>
          <cell r="C110" t="str">
            <v>-</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row>
        <row r="111">
          <cell r="A111" t="str">
            <v>SR</v>
          </cell>
          <cell r="B111" t="str">
            <v>Saldo Residual</v>
          </cell>
          <cell r="C111" t="str">
            <v>-</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row>
        <row r="112">
          <cell r="A112" t="str">
            <v>TI01318</v>
          </cell>
          <cell r="B112" t="str">
            <v>Planejamento Macroprojeto 3-4-4</v>
          </cell>
          <cell r="C112" t="str">
            <v>TINV.18.D.045.PP</v>
          </cell>
          <cell r="D112">
            <v>25864</v>
          </cell>
          <cell r="E112">
            <v>0</v>
          </cell>
          <cell r="F112">
            <v>4684</v>
          </cell>
          <cell r="G112">
            <v>0</v>
          </cell>
          <cell r="H112">
            <v>0</v>
          </cell>
          <cell r="I112">
            <v>0</v>
          </cell>
          <cell r="J112">
            <v>0</v>
          </cell>
          <cell r="K112">
            <v>0</v>
          </cell>
          <cell r="L112">
            <v>0</v>
          </cell>
          <cell r="M112">
            <v>0</v>
          </cell>
          <cell r="N112">
            <v>15470</v>
          </cell>
          <cell r="O112">
            <v>2660</v>
          </cell>
          <cell r="P112">
            <v>390</v>
          </cell>
          <cell r="Q112">
            <v>2660</v>
          </cell>
          <cell r="R112">
            <v>0</v>
          </cell>
          <cell r="S112">
            <v>0</v>
          </cell>
          <cell r="T112">
            <v>0</v>
          </cell>
          <cell r="U112">
            <v>0</v>
          </cell>
        </row>
        <row r="113">
          <cell r="A113" t="str">
            <v>TI01816</v>
          </cell>
          <cell r="B113" t="str">
            <v>Aquisição Equipamentos Móvel em Campo</v>
          </cell>
          <cell r="C113" t="str">
            <v>TINV.16.D.045.TB</v>
          </cell>
          <cell r="D113">
            <v>0</v>
          </cell>
          <cell r="E113">
            <v>0</v>
          </cell>
          <cell r="F113">
            <v>0</v>
          </cell>
          <cell r="G113">
            <v>280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row>
        <row r="114">
          <cell r="A114" t="str">
            <v>TI04318</v>
          </cell>
          <cell r="B114" t="str">
            <v>Modernização do Parque de Microinformática</v>
          </cell>
          <cell r="C114" t="str">
            <v>TINV.18.D.045.MP</v>
          </cell>
          <cell r="D114">
            <v>0</v>
          </cell>
          <cell r="E114">
            <v>0</v>
          </cell>
          <cell r="F114">
            <v>0</v>
          </cell>
          <cell r="G114">
            <v>4184</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row>
        <row r="115">
          <cell r="A115" t="str">
            <v>AM</v>
          </cell>
          <cell r="B115" t="str">
            <v>Sistema de Informática - Atualização Moeda</v>
          </cell>
          <cell r="C115" t="str">
            <v>-</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row>
        <row r="116">
          <cell r="A116" t="str">
            <v>CI</v>
          </cell>
          <cell r="B116" t="str">
            <v>Captura de Investimentos</v>
          </cell>
          <cell r="C116" t="str">
            <v>-</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row>
        <row r="117">
          <cell r="A117" t="str">
            <v>NA</v>
          </cell>
          <cell r="B117" t="str">
            <v>Atualização Tecnológica p/ Modern. da Infraestrutura da Rede Corporativa</v>
          </cell>
          <cell r="C117" t="str">
            <v>-</v>
          </cell>
          <cell r="D117">
            <v>146128</v>
          </cell>
          <cell r="E117">
            <v>0</v>
          </cell>
          <cell r="F117">
            <v>0</v>
          </cell>
          <cell r="G117">
            <v>0</v>
          </cell>
          <cell r="H117">
            <v>0</v>
          </cell>
          <cell r="I117">
            <v>0</v>
          </cell>
          <cell r="J117">
            <v>0</v>
          </cell>
          <cell r="K117">
            <v>0</v>
          </cell>
          <cell r="L117">
            <v>0</v>
          </cell>
          <cell r="M117">
            <v>0</v>
          </cell>
          <cell r="N117">
            <v>47870</v>
          </cell>
          <cell r="O117">
            <v>49321</v>
          </cell>
          <cell r="P117">
            <v>22590</v>
          </cell>
          <cell r="Q117">
            <v>26347</v>
          </cell>
          <cell r="R117">
            <v>0</v>
          </cell>
          <cell r="S117">
            <v>0</v>
          </cell>
          <cell r="T117">
            <v>0</v>
          </cell>
          <cell r="U117">
            <v>0</v>
          </cell>
        </row>
        <row r="118">
          <cell r="A118" t="str">
            <v>SR</v>
          </cell>
          <cell r="B118" t="str">
            <v>Saldo Residual</v>
          </cell>
          <cell r="C118" t="str">
            <v>-</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row>
        <row r="119">
          <cell r="A119" t="str">
            <v>TI00118</v>
          </cell>
          <cell r="B119" t="str">
            <v>Licenciamento Oracle</v>
          </cell>
          <cell r="C119" t="str">
            <v>TINV.18.D.042.OR</v>
          </cell>
          <cell r="D119">
            <v>0</v>
          </cell>
          <cell r="E119">
            <v>0</v>
          </cell>
          <cell r="F119">
            <v>0</v>
          </cell>
          <cell r="G119">
            <v>479</v>
          </cell>
          <cell r="H119">
            <v>0</v>
          </cell>
          <cell r="I119">
            <v>479.32675170898437</v>
          </cell>
          <cell r="J119">
            <v>0</v>
          </cell>
          <cell r="K119">
            <v>479.32675170898437</v>
          </cell>
          <cell r="L119">
            <v>0</v>
          </cell>
          <cell r="M119">
            <v>479.32675170898437</v>
          </cell>
          <cell r="N119">
            <v>0</v>
          </cell>
          <cell r="O119">
            <v>0</v>
          </cell>
          <cell r="P119">
            <v>0</v>
          </cell>
          <cell r="Q119">
            <v>0</v>
          </cell>
          <cell r="R119">
            <v>0</v>
          </cell>
          <cell r="S119">
            <v>0</v>
          </cell>
          <cell r="T119">
            <v>0</v>
          </cell>
          <cell r="U119">
            <v>0</v>
          </cell>
        </row>
        <row r="120">
          <cell r="A120" t="str">
            <v>TI00216</v>
          </cell>
          <cell r="B120" t="str">
            <v>Desenvolvimento do Módulo Gestão da Inadimplência</v>
          </cell>
          <cell r="C120" t="str">
            <v>TINV.15.D.042.NE</v>
          </cell>
          <cell r="D120">
            <v>0</v>
          </cell>
          <cell r="E120">
            <v>0</v>
          </cell>
          <cell r="F120">
            <v>0</v>
          </cell>
          <cell r="G120">
            <v>14</v>
          </cell>
          <cell r="H120">
            <v>0</v>
          </cell>
          <cell r="I120">
            <v>14.010740280151367</v>
          </cell>
          <cell r="J120">
            <v>0</v>
          </cell>
          <cell r="K120">
            <v>14.010740280151367</v>
          </cell>
          <cell r="L120">
            <v>0</v>
          </cell>
          <cell r="M120">
            <v>14.010740280151367</v>
          </cell>
          <cell r="N120">
            <v>0</v>
          </cell>
          <cell r="O120">
            <v>0</v>
          </cell>
          <cell r="P120">
            <v>0</v>
          </cell>
          <cell r="Q120">
            <v>0</v>
          </cell>
          <cell r="R120">
            <v>0</v>
          </cell>
          <cell r="S120">
            <v>0</v>
          </cell>
          <cell r="T120">
            <v>0</v>
          </cell>
          <cell r="U120">
            <v>0</v>
          </cell>
        </row>
        <row r="121">
          <cell r="A121" t="str">
            <v>TI00316</v>
          </cell>
          <cell r="B121" t="str">
            <v>Desenvolvimento do Módulo Negociação da Inadimplência</v>
          </cell>
          <cell r="C121" t="str">
            <v>TINV.15.D.042.NC</v>
          </cell>
          <cell r="D121">
            <v>0</v>
          </cell>
          <cell r="E121">
            <v>0</v>
          </cell>
          <cell r="F121">
            <v>0</v>
          </cell>
          <cell r="G121">
            <v>10</v>
          </cell>
          <cell r="H121">
            <v>0</v>
          </cell>
          <cell r="I121">
            <v>9.5870800018310547</v>
          </cell>
          <cell r="J121">
            <v>0</v>
          </cell>
          <cell r="K121">
            <v>9.5870800018310547</v>
          </cell>
          <cell r="L121">
            <v>0</v>
          </cell>
          <cell r="M121">
            <v>9.5870800018310547</v>
          </cell>
          <cell r="N121">
            <v>0</v>
          </cell>
          <cell r="O121">
            <v>0</v>
          </cell>
          <cell r="P121">
            <v>0</v>
          </cell>
          <cell r="Q121">
            <v>0</v>
          </cell>
          <cell r="R121">
            <v>0</v>
          </cell>
          <cell r="S121">
            <v>0</v>
          </cell>
          <cell r="T121">
            <v>0</v>
          </cell>
          <cell r="U121">
            <v>0</v>
          </cell>
        </row>
        <row r="122">
          <cell r="A122" t="str">
            <v>TI00416</v>
          </cell>
          <cell r="B122" t="str">
            <v>Desenvolvimento de Melhorias do Sistema Part-APR</v>
          </cell>
          <cell r="C122" t="str">
            <v>TINV.15.D.042.PT</v>
          </cell>
          <cell r="D122">
            <v>0</v>
          </cell>
          <cell r="E122">
            <v>0</v>
          </cell>
          <cell r="F122">
            <v>0</v>
          </cell>
          <cell r="G122">
            <v>11</v>
          </cell>
          <cell r="H122">
            <v>0</v>
          </cell>
          <cell r="I122">
            <v>10.502650260925293</v>
          </cell>
          <cell r="J122">
            <v>0</v>
          </cell>
          <cell r="K122">
            <v>10.502650260925293</v>
          </cell>
          <cell r="L122">
            <v>0</v>
          </cell>
          <cell r="M122">
            <v>10.502650260925293</v>
          </cell>
          <cell r="N122">
            <v>0</v>
          </cell>
          <cell r="O122">
            <v>0</v>
          </cell>
          <cell r="P122">
            <v>0</v>
          </cell>
          <cell r="Q122">
            <v>0</v>
          </cell>
          <cell r="R122">
            <v>0</v>
          </cell>
          <cell r="S122">
            <v>0</v>
          </cell>
          <cell r="T122">
            <v>0</v>
          </cell>
          <cell r="U122">
            <v>0</v>
          </cell>
        </row>
        <row r="123">
          <cell r="A123" t="str">
            <v>TI00417</v>
          </cell>
          <cell r="B123" t="str">
            <v>Desenvolvimento do Sistema PIC</v>
          </cell>
          <cell r="C123" t="str">
            <v>TINV.17.D.042.PI</v>
          </cell>
          <cell r="D123">
            <v>0</v>
          </cell>
          <cell r="E123">
            <v>0</v>
          </cell>
          <cell r="F123">
            <v>0</v>
          </cell>
          <cell r="G123">
            <v>51</v>
          </cell>
          <cell r="H123">
            <v>0</v>
          </cell>
          <cell r="I123">
            <v>50.69175910949707</v>
          </cell>
          <cell r="J123">
            <v>0</v>
          </cell>
          <cell r="K123">
            <v>50.69175910949707</v>
          </cell>
          <cell r="L123">
            <v>0</v>
          </cell>
          <cell r="M123">
            <v>50.69175910949707</v>
          </cell>
          <cell r="N123">
            <v>0</v>
          </cell>
          <cell r="O123">
            <v>0</v>
          </cell>
          <cell r="P123">
            <v>0</v>
          </cell>
          <cell r="Q123">
            <v>0</v>
          </cell>
          <cell r="R123">
            <v>0</v>
          </cell>
          <cell r="S123">
            <v>0</v>
          </cell>
          <cell r="T123">
            <v>0</v>
          </cell>
          <cell r="U123">
            <v>0</v>
          </cell>
        </row>
        <row r="124">
          <cell r="A124" t="str">
            <v>TI00516</v>
          </cell>
          <cell r="B124" t="str">
            <v>Desenvolvimento de Portais e Mapas Geográficos</v>
          </cell>
          <cell r="C124" t="str">
            <v>TINV.16.D.042.MG</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row>
        <row r="125">
          <cell r="A125" t="str">
            <v>TI00517</v>
          </cell>
          <cell r="B125" t="str">
            <v>Construção de Framework de Desenvolvimento</v>
          </cell>
          <cell r="C125" t="str">
            <v>TINV.17.D.042.FR</v>
          </cell>
          <cell r="D125">
            <v>0</v>
          </cell>
          <cell r="E125">
            <v>0</v>
          </cell>
          <cell r="F125">
            <v>0</v>
          </cell>
          <cell r="G125">
            <v>38</v>
          </cell>
          <cell r="H125">
            <v>0</v>
          </cell>
          <cell r="I125">
            <v>38.371688842773438</v>
          </cell>
          <cell r="J125">
            <v>0</v>
          </cell>
          <cell r="K125">
            <v>38.371688842773438</v>
          </cell>
          <cell r="L125">
            <v>0</v>
          </cell>
          <cell r="M125">
            <v>38.371688842773438</v>
          </cell>
          <cell r="N125">
            <v>0</v>
          </cell>
          <cell r="O125">
            <v>0</v>
          </cell>
          <cell r="P125">
            <v>0</v>
          </cell>
          <cell r="Q125">
            <v>0</v>
          </cell>
          <cell r="R125">
            <v>0</v>
          </cell>
          <cell r="S125">
            <v>0</v>
          </cell>
          <cell r="T125">
            <v>0</v>
          </cell>
          <cell r="U125">
            <v>0</v>
          </cell>
        </row>
        <row r="126">
          <cell r="A126" t="str">
            <v>TI00617</v>
          </cell>
          <cell r="B126" t="str">
            <v>Expansão AGV</v>
          </cell>
          <cell r="C126" t="str">
            <v>TINV.17.D.042.AG</v>
          </cell>
          <cell r="D126">
            <v>0</v>
          </cell>
          <cell r="E126">
            <v>0</v>
          </cell>
          <cell r="F126">
            <v>0</v>
          </cell>
          <cell r="G126">
            <v>440</v>
          </cell>
          <cell r="H126">
            <v>0</v>
          </cell>
          <cell r="I126">
            <v>67.5806884765625</v>
          </cell>
          <cell r="J126">
            <v>0</v>
          </cell>
          <cell r="K126">
            <v>67.5806884765625</v>
          </cell>
          <cell r="L126">
            <v>370.58047485351563</v>
          </cell>
          <cell r="M126">
            <v>438.16116333007812</v>
          </cell>
          <cell r="N126">
            <v>0</v>
          </cell>
          <cell r="O126">
            <v>0</v>
          </cell>
          <cell r="P126">
            <v>0</v>
          </cell>
          <cell r="Q126">
            <v>0</v>
          </cell>
          <cell r="R126">
            <v>0</v>
          </cell>
          <cell r="S126">
            <v>0</v>
          </cell>
          <cell r="T126">
            <v>0</v>
          </cell>
          <cell r="U126">
            <v>0</v>
          </cell>
        </row>
        <row r="127">
          <cell r="A127" t="str">
            <v>TI00716</v>
          </cell>
          <cell r="B127" t="str">
            <v>Licenciamento Antivirus</v>
          </cell>
          <cell r="C127" t="str">
            <v>TINV.16.D.045.SY</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row>
        <row r="128">
          <cell r="A128" t="str">
            <v>TI00818</v>
          </cell>
          <cell r="B128" t="str">
            <v>Gateway de Acesso à Internet e Acesso a Email</v>
          </cell>
          <cell r="C128" t="str">
            <v>TINV.18.D.054.GW</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row>
        <row r="129">
          <cell r="A129" t="str">
            <v>TI00914</v>
          </cell>
          <cell r="B129" t="str">
            <v>Evolução e Sustentação Sap</v>
          </cell>
          <cell r="C129" t="str">
            <v>TINV.14.D.042.ES</v>
          </cell>
          <cell r="D129">
            <v>0</v>
          </cell>
          <cell r="E129">
            <v>0</v>
          </cell>
          <cell r="F129">
            <v>0</v>
          </cell>
          <cell r="G129">
            <v>1</v>
          </cell>
          <cell r="H129">
            <v>0</v>
          </cell>
          <cell r="I129">
            <v>0.70899999141693115</v>
          </cell>
          <cell r="J129">
            <v>0</v>
          </cell>
          <cell r="K129">
            <v>0.70899999141693115</v>
          </cell>
          <cell r="L129">
            <v>0</v>
          </cell>
          <cell r="M129">
            <v>0.70899999141693115</v>
          </cell>
          <cell r="N129">
            <v>0</v>
          </cell>
          <cell r="O129">
            <v>0</v>
          </cell>
          <cell r="P129">
            <v>0</v>
          </cell>
          <cell r="Q129">
            <v>0</v>
          </cell>
          <cell r="R129">
            <v>0</v>
          </cell>
          <cell r="S129">
            <v>0</v>
          </cell>
          <cell r="T129">
            <v>0</v>
          </cell>
          <cell r="U129">
            <v>0</v>
          </cell>
        </row>
        <row r="130">
          <cell r="A130" t="str">
            <v>TI00918</v>
          </cell>
          <cell r="B130" t="str">
            <v>Proteção Gateway Exchange</v>
          </cell>
          <cell r="C130" t="str">
            <v>TINV.18.D.054.EX</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row>
        <row r="131">
          <cell r="A131" t="str">
            <v>TI01016</v>
          </cell>
          <cell r="B131" t="str">
            <v>Modernização do Sistema de Aquisição de Dados e Monitoramento do COD e aquisição de EMS</v>
          </cell>
          <cell r="C131" t="str">
            <v>TINV.16.D.042.SC</v>
          </cell>
          <cell r="D131">
            <v>0</v>
          </cell>
          <cell r="E131">
            <v>0</v>
          </cell>
          <cell r="F131">
            <v>0</v>
          </cell>
          <cell r="G131">
            <v>66</v>
          </cell>
          <cell r="H131">
            <v>0</v>
          </cell>
          <cell r="I131">
            <v>66.024219512939453</v>
          </cell>
          <cell r="J131">
            <v>0</v>
          </cell>
          <cell r="K131">
            <v>66.024219512939453</v>
          </cell>
          <cell r="L131">
            <v>0</v>
          </cell>
          <cell r="M131">
            <v>66.024219512939453</v>
          </cell>
          <cell r="N131">
            <v>0</v>
          </cell>
          <cell r="O131">
            <v>0</v>
          </cell>
          <cell r="P131">
            <v>0</v>
          </cell>
          <cell r="Q131">
            <v>0</v>
          </cell>
          <cell r="R131">
            <v>0</v>
          </cell>
          <cell r="S131">
            <v>0</v>
          </cell>
          <cell r="T131">
            <v>0</v>
          </cell>
          <cell r="U131">
            <v>0</v>
          </cell>
        </row>
        <row r="132">
          <cell r="A132" t="str">
            <v>TI01018</v>
          </cell>
          <cell r="B132" t="str">
            <v>Solução de APT</v>
          </cell>
          <cell r="C132" t="str">
            <v>TINV.18.D.054.AP</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row>
        <row r="133">
          <cell r="A133" t="str">
            <v>TI01118</v>
          </cell>
          <cell r="B133" t="str">
            <v>Aquisição de Produtos e Serviços de Segurança da Informação</v>
          </cell>
          <cell r="C133" t="str">
            <v>TINV.18.D.054.SO</v>
          </cell>
          <cell r="D133">
            <v>0</v>
          </cell>
          <cell r="E133">
            <v>0</v>
          </cell>
          <cell r="F133">
            <v>0</v>
          </cell>
          <cell r="G133">
            <v>1606</v>
          </cell>
          <cell r="H133">
            <v>0</v>
          </cell>
          <cell r="I133">
            <v>0</v>
          </cell>
          <cell r="J133">
            <v>0</v>
          </cell>
          <cell r="K133">
            <v>0</v>
          </cell>
          <cell r="L133">
            <v>1236.459716796875</v>
          </cell>
          <cell r="M133">
            <v>1236.459716796875</v>
          </cell>
          <cell r="N133">
            <v>0</v>
          </cell>
          <cell r="O133">
            <v>0</v>
          </cell>
          <cell r="P133">
            <v>0</v>
          </cell>
          <cell r="Q133">
            <v>0</v>
          </cell>
          <cell r="R133">
            <v>0</v>
          </cell>
          <cell r="S133">
            <v>0</v>
          </cell>
          <cell r="T133">
            <v>0</v>
          </cell>
          <cell r="U133">
            <v>0</v>
          </cell>
        </row>
        <row r="134">
          <cell r="A134" t="str">
            <v>TI01213</v>
          </cell>
          <cell r="B134" t="str">
            <v xml:space="preserve">Edifício Aureliano Chaves - Infraestrutura de Conectividade de Rede, Wireless e Segurança </v>
          </cell>
          <cell r="C134" t="str">
            <v>TINV.13.D.045.AC</v>
          </cell>
          <cell r="D134">
            <v>0</v>
          </cell>
          <cell r="E134">
            <v>0</v>
          </cell>
          <cell r="F134">
            <v>0</v>
          </cell>
          <cell r="G134">
            <v>0</v>
          </cell>
          <cell r="H134">
            <v>0</v>
          </cell>
          <cell r="I134">
            <v>-0.51274001598358154</v>
          </cell>
          <cell r="J134">
            <v>0</v>
          </cell>
          <cell r="K134">
            <v>-0.51274001598358154</v>
          </cell>
          <cell r="L134">
            <v>0</v>
          </cell>
          <cell r="M134">
            <v>-0.51274001598358154</v>
          </cell>
          <cell r="N134">
            <v>0</v>
          </cell>
          <cell r="O134">
            <v>0</v>
          </cell>
          <cell r="P134">
            <v>0</v>
          </cell>
          <cell r="Q134">
            <v>0</v>
          </cell>
          <cell r="R134">
            <v>0</v>
          </cell>
          <cell r="S134">
            <v>0</v>
          </cell>
          <cell r="T134">
            <v>0</v>
          </cell>
          <cell r="U134">
            <v>0</v>
          </cell>
        </row>
        <row r="135">
          <cell r="A135" t="str">
            <v>TI01218</v>
          </cell>
          <cell r="B135" t="str">
            <v>Softwares de gerência de rede Cisco</v>
          </cell>
          <cell r="C135" t="str">
            <v>TINV.18.D.054.GR</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row>
        <row r="136">
          <cell r="A136" t="str">
            <v>TI01317</v>
          </cell>
          <cell r="B136" t="str">
            <v>Portal Geográfico de Meteorologia</v>
          </cell>
          <cell r="C136" t="str">
            <v>TINV.17.D.042.PG</v>
          </cell>
          <cell r="D136">
            <v>0</v>
          </cell>
          <cell r="E136">
            <v>0</v>
          </cell>
          <cell r="F136">
            <v>0</v>
          </cell>
          <cell r="G136">
            <v>85</v>
          </cell>
          <cell r="H136">
            <v>0</v>
          </cell>
          <cell r="I136">
            <v>84.535680770874023</v>
          </cell>
          <cell r="J136">
            <v>0</v>
          </cell>
          <cell r="K136">
            <v>84.535680770874023</v>
          </cell>
          <cell r="L136">
            <v>0</v>
          </cell>
          <cell r="M136">
            <v>84.535680770874023</v>
          </cell>
          <cell r="N136">
            <v>0</v>
          </cell>
          <cell r="O136">
            <v>0</v>
          </cell>
          <cell r="P136">
            <v>0</v>
          </cell>
          <cell r="Q136">
            <v>0</v>
          </cell>
          <cell r="R136">
            <v>0</v>
          </cell>
          <cell r="S136">
            <v>0</v>
          </cell>
          <cell r="T136">
            <v>0</v>
          </cell>
          <cell r="U136">
            <v>0</v>
          </cell>
        </row>
        <row r="137">
          <cell r="A137" t="str">
            <v>TI01418</v>
          </cell>
          <cell r="B137" t="str">
            <v>Planejamento Macroprojeto 3-4-5</v>
          </cell>
          <cell r="C137" t="str">
            <v>TINV.18.D.042.PP</v>
          </cell>
          <cell r="D137">
            <v>57967</v>
          </cell>
          <cell r="E137">
            <v>0</v>
          </cell>
          <cell r="F137">
            <v>54226</v>
          </cell>
          <cell r="G137">
            <v>0</v>
          </cell>
          <cell r="H137">
            <v>4242</v>
          </cell>
          <cell r="I137">
            <v>0</v>
          </cell>
          <cell r="J137">
            <v>0</v>
          </cell>
          <cell r="K137">
            <v>0</v>
          </cell>
          <cell r="L137">
            <v>0</v>
          </cell>
          <cell r="M137">
            <v>0</v>
          </cell>
          <cell r="N137">
            <v>3441</v>
          </cell>
          <cell r="O137">
            <v>300</v>
          </cell>
          <cell r="P137">
            <v>0</v>
          </cell>
          <cell r="Q137">
            <v>0</v>
          </cell>
          <cell r="R137">
            <v>0</v>
          </cell>
          <cell r="S137">
            <v>0</v>
          </cell>
          <cell r="T137">
            <v>0</v>
          </cell>
          <cell r="U137">
            <v>0</v>
          </cell>
        </row>
        <row r="138">
          <cell r="A138" t="str">
            <v>TI01616</v>
          </cell>
          <cell r="B138" t="str">
            <v>Desenvolvimento Sistema Volt</v>
          </cell>
          <cell r="C138" t="str">
            <v>TINV.16.D.042.VL</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row>
        <row r="139">
          <cell r="A139" t="str">
            <v>TI01715</v>
          </cell>
          <cell r="B139" t="str">
            <v>Sustentação e Evolução G-DIS</v>
          </cell>
          <cell r="C139" t="str">
            <v>TINV.15.D.042.GS</v>
          </cell>
          <cell r="D139">
            <v>0</v>
          </cell>
          <cell r="E139">
            <v>0</v>
          </cell>
          <cell r="F139">
            <v>0</v>
          </cell>
          <cell r="G139">
            <v>1800</v>
          </cell>
          <cell r="H139">
            <v>0</v>
          </cell>
          <cell r="I139">
            <v>1705.1062276363373</v>
          </cell>
          <cell r="J139">
            <v>0</v>
          </cell>
          <cell r="K139">
            <v>1705.1062276363373</v>
          </cell>
          <cell r="L139">
            <v>0</v>
          </cell>
          <cell r="M139">
            <v>1705.1062276363373</v>
          </cell>
          <cell r="N139">
            <v>0</v>
          </cell>
          <cell r="O139">
            <v>0</v>
          </cell>
          <cell r="P139">
            <v>0</v>
          </cell>
          <cell r="Q139">
            <v>0</v>
          </cell>
          <cell r="R139">
            <v>0</v>
          </cell>
          <cell r="S139">
            <v>0</v>
          </cell>
          <cell r="T139">
            <v>0</v>
          </cell>
          <cell r="U139">
            <v>0</v>
          </cell>
        </row>
        <row r="140">
          <cell r="A140" t="str">
            <v>TI01813</v>
          </cell>
          <cell r="B140" t="str">
            <v>Projeto de implantação do e-social # SIS</v>
          </cell>
          <cell r="C140" t="str">
            <v>TINV.14.D.042.SO</v>
          </cell>
          <cell r="D140">
            <v>0</v>
          </cell>
          <cell r="E140">
            <v>0</v>
          </cell>
          <cell r="F140">
            <v>0</v>
          </cell>
          <cell r="G140">
            <v>23</v>
          </cell>
          <cell r="H140">
            <v>0</v>
          </cell>
          <cell r="I140">
            <v>23.278350830078125</v>
          </cell>
          <cell r="J140">
            <v>0</v>
          </cell>
          <cell r="K140">
            <v>23.278350830078125</v>
          </cell>
          <cell r="L140">
            <v>0</v>
          </cell>
          <cell r="M140">
            <v>23.278350830078125</v>
          </cell>
          <cell r="N140">
            <v>0</v>
          </cell>
          <cell r="O140">
            <v>0</v>
          </cell>
          <cell r="P140">
            <v>0</v>
          </cell>
          <cell r="Q140">
            <v>0</v>
          </cell>
          <cell r="R140">
            <v>0</v>
          </cell>
          <cell r="S140">
            <v>0</v>
          </cell>
          <cell r="T140">
            <v>0</v>
          </cell>
          <cell r="U140">
            <v>0</v>
          </cell>
        </row>
        <row r="141">
          <cell r="A141" t="str">
            <v>TI02115</v>
          </cell>
          <cell r="B141" t="str">
            <v>Projeto Atlantis - Nova versão dos módulos GDIS CP</v>
          </cell>
          <cell r="C141" t="str">
            <v>TINV.15.D.042.AT</v>
          </cell>
          <cell r="D141">
            <v>0</v>
          </cell>
          <cell r="E141">
            <v>0</v>
          </cell>
          <cell r="F141">
            <v>0</v>
          </cell>
          <cell r="G141">
            <v>163</v>
          </cell>
          <cell r="H141">
            <v>0</v>
          </cell>
          <cell r="I141">
            <v>160.23846435546875</v>
          </cell>
          <cell r="J141">
            <v>0</v>
          </cell>
          <cell r="K141">
            <v>160.23846435546875</v>
          </cell>
          <cell r="L141">
            <v>2.3477599620819092</v>
          </cell>
          <cell r="M141">
            <v>162.58622431755066</v>
          </cell>
          <cell r="N141">
            <v>0</v>
          </cell>
          <cell r="O141">
            <v>0</v>
          </cell>
          <cell r="P141">
            <v>0</v>
          </cell>
          <cell r="Q141">
            <v>0</v>
          </cell>
          <cell r="R141">
            <v>0</v>
          </cell>
          <cell r="S141">
            <v>0</v>
          </cell>
          <cell r="T141">
            <v>0</v>
          </cell>
          <cell r="U141">
            <v>0</v>
          </cell>
        </row>
        <row r="142">
          <cell r="A142" t="str">
            <v>TI02217</v>
          </cell>
          <cell r="B142" t="str">
            <v>Desenvolvimento GEDEX</v>
          </cell>
          <cell r="C142" t="str">
            <v>TINV.17.D.042.GX</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row>
        <row r="143">
          <cell r="A143" t="str">
            <v>TI02316</v>
          </cell>
          <cell r="B143" t="str">
            <v xml:space="preserve">Desenvolvimento do Sistema de Gestão de Fornecedores (SGF) </v>
          </cell>
          <cell r="C143" t="str">
            <v>TINV.16.D.042.SG</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row>
        <row r="144">
          <cell r="A144" t="str">
            <v>TI02318</v>
          </cell>
          <cell r="B144" t="str">
            <v>Portal Geográfico Cemig - GeoPortal</v>
          </cell>
          <cell r="C144" t="str">
            <v>TINV.18.D.042.GP</v>
          </cell>
          <cell r="D144">
            <v>0</v>
          </cell>
          <cell r="E144">
            <v>0</v>
          </cell>
          <cell r="F144">
            <v>0</v>
          </cell>
          <cell r="G144">
            <v>300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row>
        <row r="145">
          <cell r="A145" t="str">
            <v>TI02416</v>
          </cell>
          <cell r="B145" t="str">
            <v>Sistema de Inteligência de Negócios da Engenharia de Operação - SINEOP</v>
          </cell>
          <cell r="C145" t="str">
            <v>TINV.16.D.042.SI</v>
          </cell>
          <cell r="D145">
            <v>0</v>
          </cell>
          <cell r="E145">
            <v>0</v>
          </cell>
          <cell r="F145">
            <v>0</v>
          </cell>
          <cell r="G145">
            <v>373</v>
          </cell>
          <cell r="H145">
            <v>0</v>
          </cell>
          <cell r="I145">
            <v>22.68235969543457</v>
          </cell>
          <cell r="J145">
            <v>0</v>
          </cell>
          <cell r="K145">
            <v>22.68235969543457</v>
          </cell>
          <cell r="L145">
            <v>176.40750122070312</v>
          </cell>
          <cell r="M145">
            <v>199.0898609161377</v>
          </cell>
          <cell r="N145">
            <v>0</v>
          </cell>
          <cell r="O145">
            <v>0</v>
          </cell>
          <cell r="P145">
            <v>0</v>
          </cell>
          <cell r="Q145">
            <v>0</v>
          </cell>
          <cell r="R145">
            <v>0</v>
          </cell>
          <cell r="S145">
            <v>0</v>
          </cell>
          <cell r="T145">
            <v>0</v>
          </cell>
          <cell r="U145">
            <v>0</v>
          </cell>
        </row>
        <row r="146">
          <cell r="A146" t="str">
            <v>TI02418</v>
          </cell>
          <cell r="B146" t="str">
            <v>Licenciamento SAS</v>
          </cell>
          <cell r="C146" t="str">
            <v>TINV.18.D.042.SA</v>
          </cell>
          <cell r="D146">
            <v>0</v>
          </cell>
          <cell r="E146">
            <v>0</v>
          </cell>
          <cell r="F146">
            <v>0</v>
          </cell>
          <cell r="G146">
            <v>693</v>
          </cell>
          <cell r="H146">
            <v>0</v>
          </cell>
          <cell r="I146">
            <v>0</v>
          </cell>
          <cell r="J146">
            <v>0</v>
          </cell>
          <cell r="K146">
            <v>0</v>
          </cell>
          <cell r="L146">
            <v>693.4403076171875</v>
          </cell>
          <cell r="M146">
            <v>693.4403076171875</v>
          </cell>
          <cell r="N146">
            <v>0</v>
          </cell>
          <cell r="O146">
            <v>0</v>
          </cell>
          <cell r="P146">
            <v>0</v>
          </cell>
          <cell r="Q146">
            <v>0</v>
          </cell>
          <cell r="R146">
            <v>0</v>
          </cell>
          <cell r="S146">
            <v>0</v>
          </cell>
          <cell r="T146">
            <v>0</v>
          </cell>
          <cell r="U146">
            <v>0</v>
          </cell>
        </row>
        <row r="147">
          <cell r="A147" t="str">
            <v>TI02515</v>
          </cell>
          <cell r="B147" t="str">
            <v>Evolução PEC</v>
          </cell>
          <cell r="C147" t="str">
            <v>TINV.15.D.042.PE</v>
          </cell>
          <cell r="D147">
            <v>0</v>
          </cell>
          <cell r="E147">
            <v>0</v>
          </cell>
          <cell r="F147">
            <v>0</v>
          </cell>
          <cell r="G147">
            <v>350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row>
        <row r="148">
          <cell r="A148" t="str">
            <v>TI02516</v>
          </cell>
          <cell r="B148" t="str">
            <v>Versionamento GeoÁrvores - Adequação e Integração ao G-DIS MN e Atlântis</v>
          </cell>
          <cell r="C148" t="str">
            <v>TINV.16.D.042.GA</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row>
        <row r="149">
          <cell r="A149" t="str">
            <v>TI02616</v>
          </cell>
          <cell r="B149" t="str">
            <v>Sistema de Gestão de Serviços Corporativos em BPMS</v>
          </cell>
          <cell r="C149" t="str">
            <v>TINV.16.D.042.CS</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row>
        <row r="150">
          <cell r="A150" t="str">
            <v>TI02618</v>
          </cell>
          <cell r="B150" t="str">
            <v>Equipamentos e Softwares da Rede de Dados Cisco IE-3000-8TC-E</v>
          </cell>
          <cell r="C150" t="str">
            <v>TINV.18.D.054.RD</v>
          </cell>
          <cell r="D150">
            <v>0</v>
          </cell>
          <cell r="E150">
            <v>0</v>
          </cell>
          <cell r="F150">
            <v>0</v>
          </cell>
          <cell r="G150">
            <v>1080</v>
          </cell>
          <cell r="H150">
            <v>0</v>
          </cell>
          <cell r="I150">
            <v>0</v>
          </cell>
          <cell r="J150">
            <v>0</v>
          </cell>
          <cell r="K150">
            <v>0</v>
          </cell>
          <cell r="L150">
            <v>1080</v>
          </cell>
          <cell r="M150">
            <v>1080</v>
          </cell>
          <cell r="N150">
            <v>0</v>
          </cell>
          <cell r="O150">
            <v>0</v>
          </cell>
          <cell r="P150">
            <v>0</v>
          </cell>
          <cell r="Q150">
            <v>0</v>
          </cell>
          <cell r="R150">
            <v>0</v>
          </cell>
          <cell r="S150">
            <v>0</v>
          </cell>
          <cell r="T150">
            <v>0</v>
          </cell>
          <cell r="U150">
            <v>0</v>
          </cell>
        </row>
        <row r="151">
          <cell r="A151" t="str">
            <v>TI02718</v>
          </cell>
          <cell r="B151" t="str">
            <v>Solução para proteção da rede Cemig contra ataques pela internet.</v>
          </cell>
          <cell r="C151" t="str">
            <v>TINV.18.D.054.IP</v>
          </cell>
          <cell r="D151">
            <v>0</v>
          </cell>
          <cell r="E151">
            <v>0</v>
          </cell>
          <cell r="F151">
            <v>0</v>
          </cell>
          <cell r="G151">
            <v>2841</v>
          </cell>
          <cell r="H151">
            <v>0</v>
          </cell>
          <cell r="I151">
            <v>0</v>
          </cell>
          <cell r="J151">
            <v>0</v>
          </cell>
          <cell r="K151">
            <v>0</v>
          </cell>
          <cell r="L151">
            <v>2841</v>
          </cell>
          <cell r="M151">
            <v>2841</v>
          </cell>
          <cell r="N151">
            <v>0</v>
          </cell>
          <cell r="O151">
            <v>0</v>
          </cell>
          <cell r="P151">
            <v>0</v>
          </cell>
          <cell r="Q151">
            <v>0</v>
          </cell>
          <cell r="R151">
            <v>0</v>
          </cell>
          <cell r="S151">
            <v>0</v>
          </cell>
          <cell r="T151">
            <v>0</v>
          </cell>
          <cell r="U151">
            <v>0</v>
          </cell>
        </row>
        <row r="152">
          <cell r="A152" t="str">
            <v>TI02817</v>
          </cell>
          <cell r="B152" t="str">
            <v>Análise e Desenvolvimento Sistema Retrocálculo</v>
          </cell>
          <cell r="C152" t="str">
            <v>TINV.17.D.042.RT</v>
          </cell>
          <cell r="D152">
            <v>0</v>
          </cell>
          <cell r="E152">
            <v>0</v>
          </cell>
          <cell r="F152">
            <v>0</v>
          </cell>
          <cell r="G152">
            <v>600</v>
          </cell>
          <cell r="H152">
            <v>0</v>
          </cell>
          <cell r="I152">
            <v>599.97772216796875</v>
          </cell>
          <cell r="J152">
            <v>0</v>
          </cell>
          <cell r="K152">
            <v>599.97772216796875</v>
          </cell>
          <cell r="L152">
            <v>0</v>
          </cell>
          <cell r="M152">
            <v>599.97772216796875</v>
          </cell>
          <cell r="N152">
            <v>0</v>
          </cell>
          <cell r="O152">
            <v>0</v>
          </cell>
          <cell r="P152">
            <v>0</v>
          </cell>
          <cell r="Q152">
            <v>0</v>
          </cell>
          <cell r="R152">
            <v>0</v>
          </cell>
          <cell r="S152">
            <v>0</v>
          </cell>
          <cell r="T152">
            <v>0</v>
          </cell>
          <cell r="U152">
            <v>0</v>
          </cell>
        </row>
        <row r="153">
          <cell r="A153" t="str">
            <v>TI03015</v>
          </cell>
          <cell r="B153" t="str">
            <v>Barramento de Serviços G-DIS</v>
          </cell>
          <cell r="C153" t="str">
            <v>TINV.15.D.042.BR</v>
          </cell>
          <cell r="D153">
            <v>0</v>
          </cell>
          <cell r="E153">
            <v>0</v>
          </cell>
          <cell r="F153">
            <v>0</v>
          </cell>
          <cell r="G153">
            <v>52</v>
          </cell>
          <cell r="H153">
            <v>0</v>
          </cell>
          <cell r="I153">
            <v>52.127998352050781</v>
          </cell>
          <cell r="J153">
            <v>0</v>
          </cell>
          <cell r="K153">
            <v>52.127998352050781</v>
          </cell>
          <cell r="L153">
            <v>0</v>
          </cell>
          <cell r="M153">
            <v>52.127998352050781</v>
          </cell>
          <cell r="N153">
            <v>0</v>
          </cell>
          <cell r="O153">
            <v>0</v>
          </cell>
          <cell r="P153">
            <v>0</v>
          </cell>
          <cell r="Q153">
            <v>0</v>
          </cell>
          <cell r="R153">
            <v>0</v>
          </cell>
          <cell r="S153">
            <v>0</v>
          </cell>
          <cell r="T153">
            <v>0</v>
          </cell>
          <cell r="U153">
            <v>0</v>
          </cell>
        </row>
        <row r="154">
          <cell r="A154" t="str">
            <v>TI03117</v>
          </cell>
          <cell r="B154" t="str">
            <v>Desenvolvimento do Barramento Comercial</v>
          </cell>
          <cell r="C154" t="str">
            <v>TINV.17.D.042.BC</v>
          </cell>
          <cell r="D154">
            <v>0</v>
          </cell>
          <cell r="E154">
            <v>0</v>
          </cell>
          <cell r="F154">
            <v>0</v>
          </cell>
          <cell r="G154">
            <v>216</v>
          </cell>
          <cell r="H154">
            <v>0</v>
          </cell>
          <cell r="I154">
            <v>0</v>
          </cell>
          <cell r="J154">
            <v>0</v>
          </cell>
          <cell r="K154">
            <v>0</v>
          </cell>
          <cell r="L154">
            <v>216</v>
          </cell>
          <cell r="M154">
            <v>216</v>
          </cell>
          <cell r="N154">
            <v>0</v>
          </cell>
          <cell r="O154">
            <v>0</v>
          </cell>
          <cell r="P154">
            <v>0</v>
          </cell>
          <cell r="Q154">
            <v>0</v>
          </cell>
          <cell r="R154">
            <v>0</v>
          </cell>
          <cell r="S154">
            <v>0</v>
          </cell>
          <cell r="T154">
            <v>0</v>
          </cell>
          <cell r="U154">
            <v>0</v>
          </cell>
        </row>
        <row r="155">
          <cell r="A155" t="str">
            <v>TI03217</v>
          </cell>
          <cell r="B155" t="str">
            <v>Evolução e Sustentação Sap</v>
          </cell>
          <cell r="C155" t="str">
            <v>TINV.17.D.042.ES</v>
          </cell>
          <cell r="D155">
            <v>0</v>
          </cell>
          <cell r="E155">
            <v>0</v>
          </cell>
          <cell r="F155">
            <v>0</v>
          </cell>
          <cell r="G155">
            <v>1500</v>
          </cell>
          <cell r="H155">
            <v>0</v>
          </cell>
          <cell r="I155">
            <v>0</v>
          </cell>
          <cell r="J155">
            <v>0</v>
          </cell>
          <cell r="K155">
            <v>0</v>
          </cell>
          <cell r="L155">
            <v>1460.2259750366211</v>
          </cell>
          <cell r="M155">
            <v>1460.2259750366211</v>
          </cell>
          <cell r="N155">
            <v>0</v>
          </cell>
          <cell r="O155">
            <v>0</v>
          </cell>
          <cell r="P155">
            <v>0</v>
          </cell>
          <cell r="Q155">
            <v>0</v>
          </cell>
          <cell r="R155">
            <v>0</v>
          </cell>
          <cell r="S155">
            <v>0</v>
          </cell>
          <cell r="T155">
            <v>0</v>
          </cell>
          <cell r="U155">
            <v>0</v>
          </cell>
        </row>
        <row r="156">
          <cell r="A156" t="str">
            <v>TI03317</v>
          </cell>
          <cell r="B156" t="str">
            <v>Novo Sistema de Controle de Documentos Regulatórios</v>
          </cell>
          <cell r="C156" t="str">
            <v>TINV.17.D.042.DR</v>
          </cell>
          <cell r="D156">
            <v>0</v>
          </cell>
          <cell r="E156">
            <v>0</v>
          </cell>
          <cell r="F156">
            <v>0</v>
          </cell>
          <cell r="G156">
            <v>45</v>
          </cell>
          <cell r="H156">
            <v>0</v>
          </cell>
          <cell r="I156">
            <v>44.575801849365234</v>
          </cell>
          <cell r="J156">
            <v>0</v>
          </cell>
          <cell r="K156">
            <v>44.575801849365234</v>
          </cell>
          <cell r="L156">
            <v>0</v>
          </cell>
          <cell r="M156">
            <v>44.575801849365234</v>
          </cell>
          <cell r="N156">
            <v>0</v>
          </cell>
          <cell r="O156">
            <v>0</v>
          </cell>
          <cell r="P156">
            <v>0</v>
          </cell>
          <cell r="Q156">
            <v>0</v>
          </cell>
          <cell r="R156">
            <v>0</v>
          </cell>
          <cell r="S156">
            <v>0</v>
          </cell>
          <cell r="T156">
            <v>0</v>
          </cell>
          <cell r="U156">
            <v>0</v>
          </cell>
        </row>
        <row r="157">
          <cell r="A157" t="str">
            <v>TI03318</v>
          </cell>
          <cell r="B157" t="str">
            <v>Solução de Firewall Check Point</v>
          </cell>
          <cell r="C157" t="str">
            <v>TINV.18.D.054.FW</v>
          </cell>
          <cell r="D157">
            <v>0</v>
          </cell>
          <cell r="E157">
            <v>0</v>
          </cell>
          <cell r="F157">
            <v>0</v>
          </cell>
          <cell r="G157">
            <v>245</v>
          </cell>
          <cell r="H157">
            <v>0</v>
          </cell>
          <cell r="I157">
            <v>0</v>
          </cell>
          <cell r="J157">
            <v>0</v>
          </cell>
          <cell r="K157">
            <v>0</v>
          </cell>
          <cell r="L157">
            <v>244.84255981445312</v>
          </cell>
          <cell r="M157">
            <v>244.84255981445312</v>
          </cell>
          <cell r="N157">
            <v>0</v>
          </cell>
          <cell r="O157">
            <v>0</v>
          </cell>
          <cell r="P157">
            <v>0</v>
          </cell>
          <cell r="Q157">
            <v>0</v>
          </cell>
          <cell r="R157">
            <v>0</v>
          </cell>
          <cell r="S157">
            <v>0</v>
          </cell>
          <cell r="T157">
            <v>0</v>
          </cell>
          <cell r="U157">
            <v>0</v>
          </cell>
        </row>
        <row r="158">
          <cell r="A158" t="str">
            <v>TI03417</v>
          </cell>
          <cell r="B158" t="str">
            <v>Desenvolvimento Sistema SAM</v>
          </cell>
          <cell r="C158" t="str">
            <v>TINV.17.D.042.SS</v>
          </cell>
          <cell r="D158">
            <v>0</v>
          </cell>
          <cell r="E158">
            <v>0</v>
          </cell>
          <cell r="F158">
            <v>0</v>
          </cell>
          <cell r="G158">
            <v>814</v>
          </cell>
          <cell r="H158">
            <v>0</v>
          </cell>
          <cell r="I158">
            <v>813.67767333984375</v>
          </cell>
          <cell r="J158">
            <v>0</v>
          </cell>
          <cell r="K158">
            <v>813.67767333984375</v>
          </cell>
          <cell r="L158">
            <v>0</v>
          </cell>
          <cell r="M158">
            <v>813.67767333984375</v>
          </cell>
          <cell r="N158">
            <v>0</v>
          </cell>
          <cell r="O158">
            <v>0</v>
          </cell>
          <cell r="P158">
            <v>0</v>
          </cell>
          <cell r="Q158">
            <v>0</v>
          </cell>
          <cell r="R158">
            <v>0</v>
          </cell>
          <cell r="S158">
            <v>0</v>
          </cell>
          <cell r="T158">
            <v>0</v>
          </cell>
          <cell r="U158">
            <v>0</v>
          </cell>
        </row>
        <row r="159">
          <cell r="A159" t="str">
            <v>TI03517</v>
          </cell>
          <cell r="B159" t="str">
            <v>Evolução do Sistema de Gestão - Cemig Fácil</v>
          </cell>
          <cell r="C159" t="str">
            <v>TINV.17.D.042.CF</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row>
        <row r="160">
          <cell r="A160" t="str">
            <v>TI03617</v>
          </cell>
          <cell r="B160" t="str">
            <v>Desenvolvimento do Sistema de Recuperação de Perdas Comerciais</v>
          </cell>
          <cell r="C160" t="str">
            <v>TINV.17.D.042.RP</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row>
        <row r="161">
          <cell r="A161" t="str">
            <v>TI04117</v>
          </cell>
          <cell r="B161" t="str">
            <v>Aquisição de Solução EFD REINF</v>
          </cell>
          <cell r="C161" t="str">
            <v>TINV.17.D.042.RE</v>
          </cell>
          <cell r="D161">
            <v>0</v>
          </cell>
          <cell r="E161">
            <v>0</v>
          </cell>
          <cell r="F161">
            <v>0</v>
          </cell>
          <cell r="G161">
            <v>871</v>
          </cell>
          <cell r="H161">
            <v>0</v>
          </cell>
          <cell r="I161">
            <v>0</v>
          </cell>
          <cell r="J161">
            <v>0</v>
          </cell>
          <cell r="K161">
            <v>0</v>
          </cell>
          <cell r="L161">
            <v>384.39999389648437</v>
          </cell>
          <cell r="M161">
            <v>384.39999389648437</v>
          </cell>
          <cell r="N161">
            <v>0</v>
          </cell>
          <cell r="O161">
            <v>0</v>
          </cell>
          <cell r="P161">
            <v>0</v>
          </cell>
          <cell r="Q161">
            <v>0</v>
          </cell>
          <cell r="R161">
            <v>0</v>
          </cell>
          <cell r="S161">
            <v>0</v>
          </cell>
          <cell r="T161">
            <v>0</v>
          </cell>
          <cell r="U161">
            <v>0</v>
          </cell>
        </row>
        <row r="162">
          <cell r="A162" t="str">
            <v>AM</v>
          </cell>
          <cell r="B162" t="str">
            <v xml:space="preserve">Atual. Moeda - Veículos </v>
          </cell>
          <cell r="C162" t="str">
            <v>-</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row>
        <row r="163">
          <cell r="A163" t="str">
            <v>CI</v>
          </cell>
          <cell r="B163" t="str">
            <v>Captura de Investimentos</v>
          </cell>
          <cell r="C163" t="str">
            <v>-</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row>
        <row r="164">
          <cell r="A164" t="str">
            <v>GE00318</v>
          </cell>
          <cell r="B164" t="str">
            <v>Planejamento Macroprojeto 3-4-6</v>
          </cell>
          <cell r="C164" t="str">
            <v>INFR.341.00318</v>
          </cell>
          <cell r="D164">
            <v>3182</v>
          </cell>
          <cell r="E164">
            <v>0</v>
          </cell>
          <cell r="F164">
            <v>3182</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row>
        <row r="165">
          <cell r="A165" t="str">
            <v>NA</v>
          </cell>
          <cell r="B165" t="str">
            <v>Laudos a Serem Apresentados</v>
          </cell>
          <cell r="C165" t="str">
            <v>-</v>
          </cell>
          <cell r="D165">
            <v>5366</v>
          </cell>
          <cell r="E165">
            <v>0</v>
          </cell>
          <cell r="F165">
            <v>0</v>
          </cell>
          <cell r="G165">
            <v>0</v>
          </cell>
          <cell r="H165">
            <v>0</v>
          </cell>
          <cell r="I165">
            <v>0</v>
          </cell>
          <cell r="J165">
            <v>0</v>
          </cell>
          <cell r="K165">
            <v>0</v>
          </cell>
          <cell r="L165">
            <v>0</v>
          </cell>
          <cell r="M165">
            <v>0</v>
          </cell>
          <cell r="N165">
            <v>1864</v>
          </cell>
          <cell r="O165">
            <v>2982</v>
          </cell>
          <cell r="P165">
            <v>350</v>
          </cell>
          <cell r="Q165">
            <v>170</v>
          </cell>
          <cell r="R165">
            <v>0</v>
          </cell>
          <cell r="S165">
            <v>0</v>
          </cell>
          <cell r="T165">
            <v>0</v>
          </cell>
          <cell r="U165">
            <v>0</v>
          </cell>
        </row>
        <row r="166">
          <cell r="A166" t="str">
            <v>SR</v>
          </cell>
          <cell r="B166" t="str">
            <v>Saldo Residual</v>
          </cell>
          <cell r="C166" t="str">
            <v>-</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row>
        <row r="167">
          <cell r="A167" t="str">
            <v>AM</v>
          </cell>
          <cell r="B167" t="str">
            <v xml:space="preserve">Atual. Moeda - Microinformática </v>
          </cell>
          <cell r="C167" t="str">
            <v>-</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row>
        <row r="168">
          <cell r="A168" t="str">
            <v>CI</v>
          </cell>
          <cell r="B168" t="str">
            <v>Captura de Investimentos</v>
          </cell>
          <cell r="C168" t="str">
            <v>-</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row>
        <row r="169">
          <cell r="A169" t="str">
            <v>NA</v>
          </cell>
          <cell r="B169" t="str">
            <v>Modernização do Parque de Informática - Holding</v>
          </cell>
          <cell r="C169" t="str">
            <v>-</v>
          </cell>
          <cell r="D169">
            <v>625</v>
          </cell>
          <cell r="E169">
            <v>0</v>
          </cell>
          <cell r="F169">
            <v>0</v>
          </cell>
          <cell r="G169">
            <v>0</v>
          </cell>
          <cell r="H169">
            <v>0</v>
          </cell>
          <cell r="I169">
            <v>0</v>
          </cell>
          <cell r="J169">
            <v>0</v>
          </cell>
          <cell r="K169">
            <v>0</v>
          </cell>
          <cell r="L169">
            <v>0</v>
          </cell>
          <cell r="M169">
            <v>0</v>
          </cell>
          <cell r="N169">
            <v>75</v>
          </cell>
          <cell r="O169">
            <v>150</v>
          </cell>
          <cell r="P169">
            <v>150</v>
          </cell>
          <cell r="Q169">
            <v>250</v>
          </cell>
          <cell r="R169">
            <v>0</v>
          </cell>
          <cell r="S169">
            <v>0</v>
          </cell>
          <cell r="T169">
            <v>0</v>
          </cell>
          <cell r="U169">
            <v>0</v>
          </cell>
        </row>
        <row r="170">
          <cell r="A170" t="str">
            <v>SR</v>
          </cell>
          <cell r="B170" t="str">
            <v>Saldo Residual</v>
          </cell>
          <cell r="C170" t="str">
            <v>-</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row>
        <row r="171">
          <cell r="A171" t="str">
            <v>TI04018</v>
          </cell>
          <cell r="B171" t="str">
            <v>Planejamento Macroprojeto 4-1-2</v>
          </cell>
          <cell r="C171" t="str">
            <v>TINV.18.H.045.PP</v>
          </cell>
          <cell r="D171">
            <v>75</v>
          </cell>
          <cell r="E171">
            <v>0</v>
          </cell>
          <cell r="F171">
            <v>75</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row>
        <row r="172">
          <cell r="A172" t="str">
            <v>AM</v>
          </cell>
          <cell r="B172" t="str">
            <v xml:space="preserve">Atual. Moeda - Sistema de Informática </v>
          </cell>
          <cell r="C172" t="str">
            <v>-</v>
          </cell>
          <cell r="D172">
            <v>0</v>
          </cell>
          <cell r="E172">
            <v>0</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row>
        <row r="173">
          <cell r="A173" t="str">
            <v>CI</v>
          </cell>
          <cell r="B173" t="str">
            <v>Captura de Investimentos</v>
          </cell>
          <cell r="C173" t="str">
            <v>-</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row>
        <row r="174">
          <cell r="A174" t="str">
            <v>NA</v>
          </cell>
          <cell r="B174" t="str">
            <v>Sistema de Informática</v>
          </cell>
          <cell r="C174" t="str">
            <v>-</v>
          </cell>
          <cell r="D174">
            <v>600</v>
          </cell>
          <cell r="E174">
            <v>0</v>
          </cell>
          <cell r="F174">
            <v>0</v>
          </cell>
          <cell r="G174">
            <v>0</v>
          </cell>
          <cell r="H174">
            <v>0</v>
          </cell>
          <cell r="I174">
            <v>0</v>
          </cell>
          <cell r="J174">
            <v>0</v>
          </cell>
          <cell r="K174">
            <v>0</v>
          </cell>
          <cell r="L174">
            <v>0</v>
          </cell>
          <cell r="M174">
            <v>0</v>
          </cell>
          <cell r="N174">
            <v>150</v>
          </cell>
          <cell r="O174">
            <v>150</v>
          </cell>
          <cell r="P174">
            <v>150</v>
          </cell>
          <cell r="Q174">
            <v>150</v>
          </cell>
          <cell r="R174">
            <v>0</v>
          </cell>
          <cell r="S174">
            <v>0</v>
          </cell>
          <cell r="T174">
            <v>0</v>
          </cell>
          <cell r="U174">
            <v>0</v>
          </cell>
        </row>
        <row r="175">
          <cell r="A175" t="str">
            <v>SR</v>
          </cell>
          <cell r="B175" t="str">
            <v>Saldo Residual</v>
          </cell>
          <cell r="C175" t="str">
            <v>-</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row>
        <row r="176">
          <cell r="A176" t="str">
            <v>TI01113</v>
          </cell>
          <cell r="B176" t="str">
            <v>Edifício Aureliano Chaves - Infraestrutura de Conectividade de Rede, Wireless e Segurança</v>
          </cell>
          <cell r="C176" t="str">
            <v>TINV.13.H.045.AC</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row>
        <row r="177">
          <cell r="A177" t="str">
            <v>TI01114</v>
          </cell>
          <cell r="B177" t="str">
            <v>Sistema de Gestão Jurídica para o Grupo Cemig</v>
          </cell>
          <cell r="C177" t="str">
            <v>TINV.14.H.042.SJ</v>
          </cell>
          <cell r="D177">
            <v>0</v>
          </cell>
          <cell r="E177">
            <v>0</v>
          </cell>
          <cell r="F177">
            <v>0</v>
          </cell>
          <cell r="G177">
            <v>8</v>
          </cell>
          <cell r="H177">
            <v>0</v>
          </cell>
          <cell r="I177">
            <v>7.60504150390625</v>
          </cell>
          <cell r="J177">
            <v>0</v>
          </cell>
          <cell r="K177">
            <v>7.60504150390625</v>
          </cell>
          <cell r="L177">
            <v>0</v>
          </cell>
          <cell r="M177">
            <v>7.60504150390625</v>
          </cell>
          <cell r="N177">
            <v>0</v>
          </cell>
          <cell r="O177">
            <v>0</v>
          </cell>
          <cell r="P177">
            <v>0</v>
          </cell>
          <cell r="Q177">
            <v>0</v>
          </cell>
          <cell r="R177">
            <v>0</v>
          </cell>
          <cell r="S177">
            <v>0</v>
          </cell>
          <cell r="T177">
            <v>0</v>
          </cell>
          <cell r="U177">
            <v>0</v>
          </cell>
        </row>
        <row r="178">
          <cell r="A178" t="str">
            <v>TI04018</v>
          </cell>
          <cell r="B178" t="str">
            <v>Planejamento Macroprojeto 4-1-3</v>
          </cell>
          <cell r="C178" t="str">
            <v>TINV.18.H.042.PP</v>
          </cell>
          <cell r="D178">
            <v>1289</v>
          </cell>
          <cell r="E178">
            <v>0</v>
          </cell>
          <cell r="F178">
            <v>1289</v>
          </cell>
          <cell r="G178">
            <v>0</v>
          </cell>
          <cell r="H178">
            <v>8</v>
          </cell>
          <cell r="I178">
            <v>0</v>
          </cell>
          <cell r="J178">
            <v>0</v>
          </cell>
          <cell r="K178">
            <v>0</v>
          </cell>
          <cell r="L178">
            <v>0</v>
          </cell>
          <cell r="M178">
            <v>0</v>
          </cell>
          <cell r="N178">
            <v>0</v>
          </cell>
          <cell r="O178">
            <v>0</v>
          </cell>
          <cell r="P178">
            <v>0</v>
          </cell>
          <cell r="Q178">
            <v>0</v>
          </cell>
          <cell r="R178">
            <v>0</v>
          </cell>
          <cell r="S178">
            <v>0</v>
          </cell>
          <cell r="T178">
            <v>0</v>
          </cell>
          <cell r="U178">
            <v>0</v>
          </cell>
        </row>
        <row r="179">
          <cell r="D179">
            <v>356727.6</v>
          </cell>
          <cell r="E179">
            <v>0</v>
          </cell>
          <cell r="F179">
            <v>83740</v>
          </cell>
          <cell r="G179">
            <v>22630</v>
          </cell>
          <cell r="H179">
            <v>4505</v>
          </cell>
          <cell r="I179">
            <v>4624.553650021553</v>
          </cell>
          <cell r="J179">
            <v>0</v>
          </cell>
          <cell r="K179">
            <v>4624.553650021553</v>
          </cell>
          <cell r="L179">
            <v>9913.8983333110809</v>
          </cell>
          <cell r="M179">
            <v>14538.451983332634</v>
          </cell>
          <cell r="N179">
            <v>89792</v>
          </cell>
          <cell r="O179">
            <v>81660</v>
          </cell>
          <cell r="P179">
            <v>54136</v>
          </cell>
          <cell r="Q179">
            <v>47400</v>
          </cell>
          <cell r="R179">
            <v>0</v>
          </cell>
          <cell r="S179">
            <v>0</v>
          </cell>
          <cell r="T179">
            <v>0</v>
          </cell>
          <cell r="U179">
            <v>0</v>
          </cell>
        </row>
      </sheetData>
      <sheetData sheetId="5">
        <row r="1">
          <cell r="A1">
            <v>1</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row>
        <row r="2">
          <cell r="A2" t="str">
            <v>Nº. 
Projeto</v>
          </cell>
          <cell r="B2" t="str">
            <v>Nome</v>
          </cell>
          <cell r="C2" t="str">
            <v>Coletor</v>
          </cell>
          <cell r="D2" t="str">
            <v>Valor de Execução</v>
          </cell>
          <cell r="E2" t="str">
            <v xml:space="preserve">Real até </v>
          </cell>
          <cell r="I2" t="str">
            <v>EXECUÇÃO ATÉ</v>
          </cell>
          <cell r="J2">
            <v>43190</v>
          </cell>
          <cell r="P2" t="str">
            <v xml:space="preserve">         PLANEJAMENTOS ANOS FUTUROS</v>
          </cell>
        </row>
        <row r="3">
          <cell r="E3">
            <v>2016</v>
          </cell>
          <cell r="F3" t="str">
            <v>Proposta  (a)</v>
          </cell>
          <cell r="G3" t="str">
            <v>Orçam.Lib (b)</v>
          </cell>
          <cell r="H3" t="str">
            <v>Planej.
(d)</v>
          </cell>
          <cell r="I3" t="str">
            <v>Real
(e)</v>
          </cell>
          <cell r="J3" t="str">
            <v>Adiant.
(f)</v>
          </cell>
          <cell r="K3" t="str">
            <v>Total
(g)=(e+f)</v>
          </cell>
          <cell r="L3" t="str">
            <v>Comprom.
(i)</v>
          </cell>
          <cell r="M3" t="str">
            <v>Disposto
(j)=(g+i)</v>
          </cell>
          <cell r="N3" t="str">
            <v>2019</v>
          </cell>
          <cell r="O3">
            <v>2020</v>
          </cell>
          <cell r="P3">
            <v>2021</v>
          </cell>
          <cell r="Q3">
            <v>2022</v>
          </cell>
          <cell r="R3">
            <v>2023</v>
          </cell>
          <cell r="S3">
            <v>2024</v>
          </cell>
          <cell r="T3">
            <v>2025</v>
          </cell>
          <cell r="U3">
            <v>2026</v>
          </cell>
        </row>
        <row r="4">
          <cell r="A4" t="str">
            <v>AM</v>
          </cell>
          <cell r="B4" t="str">
            <v xml:space="preserve">Atual. Moeda - Edificações e complementos </v>
          </cell>
          <cell r="C4" t="str">
            <v>-</v>
          </cell>
          <cell r="D4">
            <v>0</v>
          </cell>
          <cell r="E4">
            <v>0</v>
          </cell>
          <cell r="F4">
            <v>0</v>
          </cell>
          <cell r="G4">
            <v>0</v>
          </cell>
          <cell r="H4">
            <v>0</v>
          </cell>
          <cell r="I4">
            <v>0</v>
          </cell>
          <cell r="J4">
            <v>0</v>
          </cell>
          <cell r="K4">
            <v>0</v>
          </cell>
          <cell r="L4">
            <v>0</v>
          </cell>
          <cell r="M4">
            <v>0</v>
          </cell>
          <cell r="N4">
            <v>0</v>
          </cell>
          <cell r="O4">
            <v>0</v>
          </cell>
          <cell r="P4">
            <v>0</v>
          </cell>
          <cell r="Q4">
            <v>0</v>
          </cell>
          <cell r="R4">
            <v>0</v>
          </cell>
          <cell r="S4">
            <v>0</v>
          </cell>
          <cell r="T4">
            <v>0</v>
          </cell>
          <cell r="U4">
            <v>0</v>
          </cell>
        </row>
        <row r="5">
          <cell r="A5" t="str">
            <v>CI</v>
          </cell>
          <cell r="B5" t="str">
            <v>Captura de Investimentos</v>
          </cell>
          <cell r="C5" t="str">
            <v>-</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row>
        <row r="6">
          <cell r="A6" t="str">
            <v>GE00518</v>
          </cell>
          <cell r="B6" t="str">
            <v>Planejamento Macroprojeto 1-3-1</v>
          </cell>
          <cell r="C6" t="str">
            <v>INFR.131.00618</v>
          </cell>
          <cell r="D6">
            <v>782</v>
          </cell>
          <cell r="E6">
            <v>0</v>
          </cell>
          <cell r="F6">
            <v>782</v>
          </cell>
          <cell r="G6">
            <v>0</v>
          </cell>
          <cell r="H6">
            <v>0</v>
          </cell>
          <cell r="I6">
            <v>0</v>
          </cell>
          <cell r="J6">
            <v>0</v>
          </cell>
          <cell r="K6">
            <v>0</v>
          </cell>
          <cell r="L6">
            <v>0</v>
          </cell>
          <cell r="M6">
            <v>0</v>
          </cell>
          <cell r="N6">
            <v>0</v>
          </cell>
          <cell r="O6">
            <v>0</v>
          </cell>
          <cell r="P6">
            <v>0</v>
          </cell>
          <cell r="Q6">
            <v>0</v>
          </cell>
          <cell r="R6">
            <v>0</v>
          </cell>
          <cell r="S6">
            <v>0</v>
          </cell>
          <cell r="T6">
            <v>0</v>
          </cell>
          <cell r="U6">
            <v>0</v>
          </cell>
        </row>
        <row r="7">
          <cell r="A7" t="str">
            <v>NA</v>
          </cell>
          <cell r="B7" t="str">
            <v>Laudos a Serem Apresentados</v>
          </cell>
          <cell r="C7" t="str">
            <v>-</v>
          </cell>
          <cell r="D7">
            <v>1854</v>
          </cell>
          <cell r="E7">
            <v>0</v>
          </cell>
          <cell r="F7">
            <v>0</v>
          </cell>
          <cell r="G7">
            <v>0</v>
          </cell>
          <cell r="H7">
            <v>0</v>
          </cell>
          <cell r="I7">
            <v>0</v>
          </cell>
          <cell r="J7">
            <v>0</v>
          </cell>
          <cell r="K7">
            <v>0</v>
          </cell>
          <cell r="L7">
            <v>0</v>
          </cell>
          <cell r="M7">
            <v>0</v>
          </cell>
          <cell r="N7">
            <v>634</v>
          </cell>
          <cell r="O7">
            <v>435</v>
          </cell>
          <cell r="P7">
            <v>360</v>
          </cell>
          <cell r="Q7">
            <v>425</v>
          </cell>
          <cell r="R7">
            <v>0</v>
          </cell>
          <cell r="S7">
            <v>0</v>
          </cell>
          <cell r="T7">
            <v>0</v>
          </cell>
          <cell r="U7">
            <v>0</v>
          </cell>
        </row>
        <row r="8">
          <cell r="A8" t="str">
            <v>SR</v>
          </cell>
          <cell r="B8" t="str">
            <v>Saldo Residual</v>
          </cell>
          <cell r="C8" t="str">
            <v>-</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row>
        <row r="9">
          <cell r="A9" t="str">
            <v>AM</v>
          </cell>
          <cell r="B9" t="str">
            <v xml:space="preserve">Atual. Moeda - Edificações e complementos (Irapé) </v>
          </cell>
          <cell r="C9" t="str">
            <v>-</v>
          </cell>
          <cell r="D9">
            <v>1408.5332552744051</v>
          </cell>
          <cell r="E9">
            <v>1408.5332552744051</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row>
        <row r="10">
          <cell r="A10" t="str">
            <v>CI</v>
          </cell>
          <cell r="B10" t="str">
            <v>Captura de Investimentos</v>
          </cell>
          <cell r="C10" t="str">
            <v>-</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row>
        <row r="11">
          <cell r="A11" t="str">
            <v>NA</v>
          </cell>
          <cell r="B11" t="str">
            <v>Laudos a Serem Apresentados</v>
          </cell>
          <cell r="C11" t="str">
            <v>-</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row>
        <row r="12">
          <cell r="A12" t="str">
            <v>SR</v>
          </cell>
          <cell r="B12" t="str">
            <v>Saldo Residual</v>
          </cell>
          <cell r="C12" t="str">
            <v>-</v>
          </cell>
          <cell r="D12">
            <v>248.326267838478</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row>
        <row r="13">
          <cell r="A13" t="str">
            <v>AM</v>
          </cell>
          <cell r="B13" t="str">
            <v xml:space="preserve">Atual. Moeda - Telecomunicações </v>
          </cell>
          <cell r="C13" t="str">
            <v>-</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row>
        <row r="14">
          <cell r="A14" t="str">
            <v>CI</v>
          </cell>
          <cell r="B14" t="str">
            <v>Captura de Investimentos</v>
          </cell>
          <cell r="C14" t="str">
            <v>-</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row>
        <row r="15">
          <cell r="A15" t="str">
            <v>NA</v>
          </cell>
          <cell r="B15" t="str">
            <v>Laudos a Serem Apresentados</v>
          </cell>
          <cell r="C15" t="str">
            <v>-</v>
          </cell>
          <cell r="D15">
            <v>139</v>
          </cell>
          <cell r="E15">
            <v>0</v>
          </cell>
          <cell r="F15">
            <v>0</v>
          </cell>
          <cell r="G15">
            <v>0</v>
          </cell>
          <cell r="H15">
            <v>0</v>
          </cell>
          <cell r="I15">
            <v>0</v>
          </cell>
          <cell r="J15">
            <v>0</v>
          </cell>
          <cell r="K15">
            <v>0</v>
          </cell>
          <cell r="L15">
            <v>0</v>
          </cell>
          <cell r="M15">
            <v>0</v>
          </cell>
          <cell r="N15">
            <v>16</v>
          </cell>
          <cell r="O15">
            <v>30</v>
          </cell>
          <cell r="P15">
            <v>50</v>
          </cell>
          <cell r="Q15">
            <v>43</v>
          </cell>
          <cell r="R15">
            <v>0</v>
          </cell>
          <cell r="S15">
            <v>0</v>
          </cell>
          <cell r="T15">
            <v>0</v>
          </cell>
          <cell r="U15">
            <v>0</v>
          </cell>
        </row>
        <row r="16">
          <cell r="A16" t="str">
            <v>SR</v>
          </cell>
          <cell r="B16" t="str">
            <v>Saldo Residual</v>
          </cell>
          <cell r="C16" t="str">
            <v>-</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row>
        <row r="17">
          <cell r="A17" t="str">
            <v>TI03418</v>
          </cell>
          <cell r="B17" t="str">
            <v>Planejamento Macroprojeto 1-3-2</v>
          </cell>
          <cell r="C17" t="str">
            <v>TINV.18.G.054.PP</v>
          </cell>
          <cell r="D17">
            <v>29</v>
          </cell>
          <cell r="E17">
            <v>0</v>
          </cell>
          <cell r="F17">
            <v>29</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row>
        <row r="18">
          <cell r="A18" t="str">
            <v>AM</v>
          </cell>
          <cell r="B18" t="str">
            <v xml:space="preserve">Atual. de Moeda - Microinformática </v>
          </cell>
          <cell r="C18" t="str">
            <v>-</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row>
        <row r="19">
          <cell r="A19" t="str">
            <v>CI</v>
          </cell>
          <cell r="B19" t="str">
            <v>Captura de Investimentos</v>
          </cell>
          <cell r="C19" t="str">
            <v>-</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row>
        <row r="20">
          <cell r="A20" t="str">
            <v>NA</v>
          </cell>
          <cell r="B20" t="str">
            <v>Laudos a Serem Apresentados</v>
          </cell>
          <cell r="C20" t="str">
            <v>-</v>
          </cell>
          <cell r="D20">
            <v>896</v>
          </cell>
          <cell r="E20">
            <v>0</v>
          </cell>
          <cell r="F20">
            <v>0</v>
          </cell>
          <cell r="G20">
            <v>0</v>
          </cell>
          <cell r="H20">
            <v>0</v>
          </cell>
          <cell r="I20">
            <v>0</v>
          </cell>
          <cell r="J20">
            <v>0</v>
          </cell>
          <cell r="K20">
            <v>0</v>
          </cell>
          <cell r="L20">
            <v>0</v>
          </cell>
          <cell r="M20">
            <v>0</v>
          </cell>
          <cell r="N20">
            <v>351.5</v>
          </cell>
          <cell r="O20">
            <v>214.5</v>
          </cell>
          <cell r="P20">
            <v>51.5</v>
          </cell>
          <cell r="Q20">
            <v>278.5</v>
          </cell>
          <cell r="R20">
            <v>0</v>
          </cell>
          <cell r="S20">
            <v>0</v>
          </cell>
          <cell r="T20">
            <v>0</v>
          </cell>
          <cell r="U20">
            <v>0</v>
          </cell>
        </row>
        <row r="21">
          <cell r="A21" t="str">
            <v>SR</v>
          </cell>
          <cell r="B21" t="str">
            <v>Saldo Residual</v>
          </cell>
          <cell r="C21" t="str">
            <v>-</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row>
        <row r="22">
          <cell r="A22" t="str">
            <v>TI03218</v>
          </cell>
          <cell r="B22" t="str">
            <v>Aquisição de tablets MG/SB</v>
          </cell>
          <cell r="C22" t="str">
            <v>TINV.18.G.045.TB</v>
          </cell>
          <cell r="D22">
            <v>0</v>
          </cell>
          <cell r="E22">
            <v>0</v>
          </cell>
          <cell r="F22">
            <v>0</v>
          </cell>
          <cell r="G22">
            <v>59</v>
          </cell>
          <cell r="H22">
            <v>0</v>
          </cell>
          <cell r="I22">
            <v>0</v>
          </cell>
          <cell r="J22">
            <v>0</v>
          </cell>
          <cell r="K22">
            <v>0</v>
          </cell>
          <cell r="L22">
            <v>0</v>
          </cell>
          <cell r="M22">
            <v>0</v>
          </cell>
          <cell r="N22">
            <v>0</v>
          </cell>
          <cell r="O22">
            <v>0</v>
          </cell>
          <cell r="P22">
            <v>0</v>
          </cell>
          <cell r="Q22">
            <v>0</v>
          </cell>
          <cell r="R22">
            <v>0</v>
          </cell>
          <cell r="S22">
            <v>0</v>
          </cell>
          <cell r="T22">
            <v>0</v>
          </cell>
          <cell r="U22">
            <v>0</v>
          </cell>
        </row>
        <row r="23">
          <cell r="A23" t="str">
            <v>TI03518</v>
          </cell>
          <cell r="B23" t="str">
            <v>Planejamento Macroprojeto 1-3-3</v>
          </cell>
          <cell r="C23" t="str">
            <v>TINV.18.G.045.PP</v>
          </cell>
          <cell r="D23">
            <v>59</v>
          </cell>
          <cell r="E23">
            <v>0</v>
          </cell>
          <cell r="F23">
            <v>59</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row>
        <row r="24">
          <cell r="A24" t="str">
            <v>AM</v>
          </cell>
          <cell r="B24" t="str">
            <v>Atual. Moeda - Sistema de Informática</v>
          </cell>
          <cell r="C24" t="str">
            <v>-</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row>
        <row r="25">
          <cell r="A25" t="str">
            <v>CI</v>
          </cell>
          <cell r="B25" t="str">
            <v>Captura de Investimentos</v>
          </cell>
          <cell r="C25" t="str">
            <v>-</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row>
        <row r="26">
          <cell r="A26" t="str">
            <v>NA</v>
          </cell>
          <cell r="B26" t="str">
            <v>Laudos a Serem Apresentados</v>
          </cell>
          <cell r="C26" t="str">
            <v>-</v>
          </cell>
          <cell r="D26">
            <v>4234</v>
          </cell>
          <cell r="E26">
            <v>0</v>
          </cell>
          <cell r="F26">
            <v>0</v>
          </cell>
          <cell r="G26">
            <v>0</v>
          </cell>
          <cell r="H26">
            <v>0</v>
          </cell>
          <cell r="I26">
            <v>0</v>
          </cell>
          <cell r="J26">
            <v>0</v>
          </cell>
          <cell r="K26">
            <v>0</v>
          </cell>
          <cell r="L26">
            <v>0</v>
          </cell>
          <cell r="M26">
            <v>0</v>
          </cell>
          <cell r="N26">
            <v>1138</v>
          </cell>
          <cell r="O26">
            <v>1210</v>
          </cell>
          <cell r="P26">
            <v>1123</v>
          </cell>
          <cell r="Q26">
            <v>763</v>
          </cell>
          <cell r="R26">
            <v>0</v>
          </cell>
          <cell r="S26">
            <v>0</v>
          </cell>
          <cell r="T26">
            <v>0</v>
          </cell>
          <cell r="U26">
            <v>0</v>
          </cell>
        </row>
        <row r="27">
          <cell r="A27" t="str">
            <v>SR</v>
          </cell>
          <cell r="B27" t="str">
            <v>Saldo Residual</v>
          </cell>
          <cell r="C27" t="str">
            <v>-</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row>
        <row r="28">
          <cell r="A28" t="str">
            <v>TI00218</v>
          </cell>
          <cell r="B28" t="str">
            <v>Licenciamento Oracle</v>
          </cell>
          <cell r="C28" t="str">
            <v>TINV.18.G.042.OR</v>
          </cell>
          <cell r="D28">
            <v>0</v>
          </cell>
          <cell r="E28">
            <v>0</v>
          </cell>
          <cell r="F28">
            <v>0</v>
          </cell>
          <cell r="G28">
            <v>119</v>
          </cell>
          <cell r="H28">
            <v>0</v>
          </cell>
          <cell r="I28">
            <v>119.11103057861328</v>
          </cell>
          <cell r="J28">
            <v>0</v>
          </cell>
          <cell r="K28">
            <v>119.11103057861328</v>
          </cell>
          <cell r="L28">
            <v>0</v>
          </cell>
          <cell r="M28">
            <v>119.11103057861328</v>
          </cell>
          <cell r="N28">
            <v>0</v>
          </cell>
          <cell r="O28">
            <v>0</v>
          </cell>
          <cell r="P28">
            <v>0</v>
          </cell>
          <cell r="Q28">
            <v>0</v>
          </cell>
          <cell r="R28">
            <v>0</v>
          </cell>
          <cell r="S28">
            <v>0</v>
          </cell>
          <cell r="T28">
            <v>0</v>
          </cell>
          <cell r="U28">
            <v>0</v>
          </cell>
        </row>
        <row r="29">
          <cell r="A29" t="str">
            <v>TI02216</v>
          </cell>
          <cell r="B29" t="str">
            <v>Upgrade do Software Inspetor</v>
          </cell>
          <cell r="C29" t="str">
            <v>TINV.16.G.042.IP</v>
          </cell>
          <cell r="D29">
            <v>0</v>
          </cell>
          <cell r="E29">
            <v>0</v>
          </cell>
          <cell r="F29">
            <v>0</v>
          </cell>
          <cell r="G29">
            <v>490</v>
          </cell>
          <cell r="H29">
            <v>0</v>
          </cell>
          <cell r="I29">
            <v>48.300398826599121</v>
          </cell>
          <cell r="J29">
            <v>0</v>
          </cell>
          <cell r="K29">
            <v>48.300398826599121</v>
          </cell>
          <cell r="L29">
            <v>435.47285461425781</v>
          </cell>
          <cell r="M29">
            <v>483.77325344085693</v>
          </cell>
          <cell r="N29">
            <v>0</v>
          </cell>
          <cell r="O29">
            <v>0</v>
          </cell>
          <cell r="P29">
            <v>0</v>
          </cell>
          <cell r="Q29">
            <v>0</v>
          </cell>
          <cell r="R29">
            <v>0</v>
          </cell>
          <cell r="S29">
            <v>0</v>
          </cell>
          <cell r="T29">
            <v>0</v>
          </cell>
          <cell r="U29">
            <v>0</v>
          </cell>
        </row>
        <row r="30">
          <cell r="A30" t="str">
            <v>TI03018</v>
          </cell>
          <cell r="B30" t="str">
            <v>Licenciamento Oracle</v>
          </cell>
          <cell r="C30" t="str">
            <v>TINV.18.G.042.PA</v>
          </cell>
          <cell r="D30">
            <v>0</v>
          </cell>
          <cell r="E30">
            <v>0</v>
          </cell>
          <cell r="F30">
            <v>0</v>
          </cell>
          <cell r="G30">
            <v>115</v>
          </cell>
          <cell r="H30">
            <v>0</v>
          </cell>
          <cell r="I30">
            <v>0</v>
          </cell>
          <cell r="J30">
            <v>0</v>
          </cell>
          <cell r="K30">
            <v>0</v>
          </cell>
          <cell r="L30">
            <v>115.19999694824219</v>
          </cell>
          <cell r="M30">
            <v>115.19999694824219</v>
          </cell>
          <cell r="N30">
            <v>0</v>
          </cell>
          <cell r="O30">
            <v>0</v>
          </cell>
          <cell r="P30">
            <v>0</v>
          </cell>
          <cell r="Q30">
            <v>0</v>
          </cell>
          <cell r="R30">
            <v>0</v>
          </cell>
          <cell r="S30">
            <v>0</v>
          </cell>
          <cell r="T30">
            <v>0</v>
          </cell>
          <cell r="U30">
            <v>0</v>
          </cell>
        </row>
        <row r="31">
          <cell r="A31" t="str">
            <v>TI03618</v>
          </cell>
          <cell r="B31" t="str">
            <v>Planejamento Macroprojeto 1-3-4</v>
          </cell>
          <cell r="C31" t="str">
            <v>TINV.18.G.042.PP</v>
          </cell>
          <cell r="D31">
            <v>1886</v>
          </cell>
          <cell r="E31">
            <v>0</v>
          </cell>
          <cell r="F31">
            <v>1886</v>
          </cell>
          <cell r="G31">
            <v>0</v>
          </cell>
          <cell r="H31">
            <v>217</v>
          </cell>
          <cell r="I31">
            <v>0</v>
          </cell>
          <cell r="J31">
            <v>0</v>
          </cell>
          <cell r="K31">
            <v>0</v>
          </cell>
          <cell r="L31">
            <v>0</v>
          </cell>
          <cell r="M31">
            <v>0</v>
          </cell>
          <cell r="N31">
            <v>0</v>
          </cell>
          <cell r="O31">
            <v>0</v>
          </cell>
          <cell r="P31">
            <v>0</v>
          </cell>
          <cell r="Q31">
            <v>0</v>
          </cell>
          <cell r="R31">
            <v>0</v>
          </cell>
          <cell r="S31">
            <v>0</v>
          </cell>
          <cell r="T31">
            <v>0</v>
          </cell>
          <cell r="U31">
            <v>0</v>
          </cell>
        </row>
        <row r="32">
          <cell r="A32" t="str">
            <v>TI04818</v>
          </cell>
          <cell r="B32" t="str">
            <v>Licença de Software Logic Linx Hardkey</v>
          </cell>
          <cell r="C32" t="str">
            <v>TINV.18.G.045.LH</v>
          </cell>
          <cell r="D32">
            <v>0</v>
          </cell>
          <cell r="E32">
            <v>0</v>
          </cell>
          <cell r="F32">
            <v>0</v>
          </cell>
          <cell r="G32">
            <v>27</v>
          </cell>
          <cell r="H32">
            <v>0</v>
          </cell>
          <cell r="I32">
            <v>0</v>
          </cell>
          <cell r="J32">
            <v>0</v>
          </cell>
          <cell r="K32">
            <v>0</v>
          </cell>
          <cell r="L32">
            <v>27.339330673217773</v>
          </cell>
          <cell r="M32">
            <v>27.339330673217773</v>
          </cell>
          <cell r="N32">
            <v>0</v>
          </cell>
          <cell r="O32">
            <v>0</v>
          </cell>
          <cell r="P32">
            <v>0</v>
          </cell>
          <cell r="Q32">
            <v>0</v>
          </cell>
          <cell r="R32">
            <v>0</v>
          </cell>
          <cell r="S32">
            <v>0</v>
          </cell>
          <cell r="T32">
            <v>0</v>
          </cell>
          <cell r="U32">
            <v>0</v>
          </cell>
        </row>
        <row r="33">
          <cell r="A33" t="str">
            <v>TI04918</v>
          </cell>
          <cell r="B33" t="str">
            <v>Aquisição Pacote Software Elipse</v>
          </cell>
          <cell r="C33" t="str">
            <v>TINV.18.G.045.SE</v>
          </cell>
          <cell r="D33">
            <v>0</v>
          </cell>
          <cell r="E33">
            <v>0</v>
          </cell>
          <cell r="F33">
            <v>0</v>
          </cell>
          <cell r="G33">
            <v>32</v>
          </cell>
          <cell r="H33">
            <v>0</v>
          </cell>
          <cell r="I33">
            <v>0</v>
          </cell>
          <cell r="J33">
            <v>0</v>
          </cell>
          <cell r="K33">
            <v>0</v>
          </cell>
          <cell r="L33">
            <v>32.383308410644531</v>
          </cell>
          <cell r="M33">
            <v>32.383308410644531</v>
          </cell>
          <cell r="N33">
            <v>0</v>
          </cell>
          <cell r="O33">
            <v>0</v>
          </cell>
          <cell r="P33">
            <v>0</v>
          </cell>
          <cell r="Q33">
            <v>0</v>
          </cell>
          <cell r="R33">
            <v>0</v>
          </cell>
          <cell r="S33">
            <v>0</v>
          </cell>
          <cell r="T33">
            <v>0</v>
          </cell>
          <cell r="U33">
            <v>0</v>
          </cell>
        </row>
        <row r="34">
          <cell r="A34" t="str">
            <v>AM</v>
          </cell>
          <cell r="B34" t="str">
            <v>Atual. Moeda - Veículos</v>
          </cell>
          <cell r="C34" t="str">
            <v>-</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row>
        <row r="35">
          <cell r="A35" t="str">
            <v>CI</v>
          </cell>
          <cell r="B35" t="str">
            <v>Captura de Investimentos</v>
          </cell>
          <cell r="C35" t="str">
            <v>-</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row>
        <row r="36">
          <cell r="A36" t="str">
            <v>GE00618</v>
          </cell>
          <cell r="B36" t="str">
            <v>Planejamento Macroprojeto 1-3-5</v>
          </cell>
          <cell r="C36" t="str">
            <v>INFR.135.00718</v>
          </cell>
          <cell r="D36">
            <v>103</v>
          </cell>
          <cell r="E36">
            <v>0</v>
          </cell>
          <cell r="F36">
            <v>103</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row>
        <row r="37">
          <cell r="A37" t="str">
            <v>NA</v>
          </cell>
          <cell r="B37" t="str">
            <v>Laudos a Serem Apresentados</v>
          </cell>
          <cell r="C37" t="str">
            <v>-</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row>
        <row r="38">
          <cell r="A38" t="str">
            <v>SR</v>
          </cell>
          <cell r="B38" t="str">
            <v>Saldo Residual</v>
          </cell>
          <cell r="C38" t="str">
            <v>-</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row>
        <row r="39">
          <cell r="A39" t="str">
            <v>AM</v>
          </cell>
          <cell r="B39" t="str">
            <v>Atual. Moeda - Ferramentas e Equipamentos - Ciclo (2014/2018)</v>
          </cell>
          <cell r="C39" t="str">
            <v>-</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row>
        <row r="40">
          <cell r="A40" t="str">
            <v>CI</v>
          </cell>
          <cell r="B40" t="str">
            <v>Captura de Investimentos</v>
          </cell>
          <cell r="C40" t="str">
            <v>-</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row>
        <row r="41">
          <cell r="A41" t="str">
            <v>GE00418</v>
          </cell>
          <cell r="B41" t="str">
            <v>Planejamento Macroprojeto 1-3-6</v>
          </cell>
          <cell r="C41" t="str">
            <v>INFR.136.00518</v>
          </cell>
          <cell r="D41">
            <v>518</v>
          </cell>
          <cell r="E41">
            <v>0</v>
          </cell>
          <cell r="F41">
            <v>518</v>
          </cell>
          <cell r="G41">
            <v>0</v>
          </cell>
          <cell r="H41">
            <v>10</v>
          </cell>
          <cell r="I41">
            <v>0</v>
          </cell>
          <cell r="J41">
            <v>0</v>
          </cell>
          <cell r="K41">
            <v>0</v>
          </cell>
          <cell r="L41">
            <v>0</v>
          </cell>
          <cell r="M41">
            <v>0</v>
          </cell>
          <cell r="N41">
            <v>0</v>
          </cell>
          <cell r="O41">
            <v>0</v>
          </cell>
          <cell r="P41">
            <v>0</v>
          </cell>
          <cell r="Q41">
            <v>0</v>
          </cell>
          <cell r="R41">
            <v>0</v>
          </cell>
          <cell r="S41">
            <v>0</v>
          </cell>
          <cell r="T41">
            <v>0</v>
          </cell>
          <cell r="U41">
            <v>0</v>
          </cell>
        </row>
        <row r="42">
          <cell r="A42" t="str">
            <v>MG00318</v>
          </cell>
          <cell r="B42" t="str">
            <v>Ferramentas Cemig GT MG 2018</v>
          </cell>
          <cell r="C42" t="str">
            <v>INGC/18/FERR/MGCT</v>
          </cell>
          <cell r="D42">
            <v>0</v>
          </cell>
          <cell r="E42">
            <v>0</v>
          </cell>
          <cell r="F42">
            <v>0</v>
          </cell>
          <cell r="G42">
            <v>171</v>
          </cell>
          <cell r="H42">
            <v>0</v>
          </cell>
          <cell r="I42">
            <v>0</v>
          </cell>
          <cell r="J42">
            <v>0</v>
          </cell>
          <cell r="K42">
            <v>0</v>
          </cell>
          <cell r="L42">
            <v>10.594230175018311</v>
          </cell>
          <cell r="M42">
            <v>10.594230175018311</v>
          </cell>
          <cell r="N42">
            <v>0</v>
          </cell>
          <cell r="O42">
            <v>0</v>
          </cell>
          <cell r="P42">
            <v>0</v>
          </cell>
          <cell r="Q42">
            <v>0</v>
          </cell>
          <cell r="R42">
            <v>0</v>
          </cell>
          <cell r="S42">
            <v>0</v>
          </cell>
          <cell r="T42">
            <v>0</v>
          </cell>
          <cell r="U42">
            <v>0</v>
          </cell>
        </row>
        <row r="43">
          <cell r="A43" t="str">
            <v>NA</v>
          </cell>
          <cell r="B43" t="str">
            <v>Ferramentas e Equipamentos - G</v>
          </cell>
          <cell r="C43" t="str">
            <v>-</v>
          </cell>
          <cell r="D43">
            <v>1783</v>
          </cell>
          <cell r="E43">
            <v>0</v>
          </cell>
          <cell r="F43">
            <v>0</v>
          </cell>
          <cell r="G43">
            <v>0</v>
          </cell>
          <cell r="H43">
            <v>0</v>
          </cell>
          <cell r="I43">
            <v>0</v>
          </cell>
          <cell r="J43">
            <v>0</v>
          </cell>
          <cell r="K43">
            <v>0</v>
          </cell>
          <cell r="L43">
            <v>0</v>
          </cell>
          <cell r="M43">
            <v>0</v>
          </cell>
          <cell r="N43">
            <v>486</v>
          </cell>
          <cell r="O43">
            <v>602</v>
          </cell>
          <cell r="P43">
            <v>498</v>
          </cell>
          <cell r="Q43">
            <v>197</v>
          </cell>
          <cell r="R43">
            <v>0</v>
          </cell>
          <cell r="S43">
            <v>0</v>
          </cell>
          <cell r="T43">
            <v>0</v>
          </cell>
          <cell r="U43">
            <v>0</v>
          </cell>
        </row>
        <row r="44">
          <cell r="A44" t="str">
            <v>PO00117</v>
          </cell>
          <cell r="B44" t="str">
            <v>Aquisição de Ferramentas - PO/MG</v>
          </cell>
          <cell r="C44" t="str">
            <v>INGT/17/781/POMG</v>
          </cell>
          <cell r="D44">
            <v>0</v>
          </cell>
          <cell r="E44">
            <v>0</v>
          </cell>
          <cell r="F44">
            <v>0</v>
          </cell>
          <cell r="G44">
            <v>74</v>
          </cell>
          <cell r="H44">
            <v>0</v>
          </cell>
          <cell r="I44">
            <v>0</v>
          </cell>
          <cell r="J44">
            <v>0</v>
          </cell>
          <cell r="K44">
            <v>0</v>
          </cell>
          <cell r="L44">
            <v>30.149999618530273</v>
          </cell>
          <cell r="M44">
            <v>30.149999618530273</v>
          </cell>
          <cell r="N44">
            <v>0</v>
          </cell>
          <cell r="O44">
            <v>0</v>
          </cell>
          <cell r="P44">
            <v>0</v>
          </cell>
          <cell r="Q44">
            <v>0</v>
          </cell>
          <cell r="R44">
            <v>0</v>
          </cell>
          <cell r="S44">
            <v>0</v>
          </cell>
          <cell r="T44">
            <v>0</v>
          </cell>
          <cell r="U44">
            <v>0</v>
          </cell>
        </row>
        <row r="45">
          <cell r="A45" t="str">
            <v>PO00118</v>
          </cell>
          <cell r="B45" t="str">
            <v>Equipamentos para monitoramento de vibração</v>
          </cell>
          <cell r="C45" t="str">
            <v>INGT/18/FER/POMG</v>
          </cell>
          <cell r="D45">
            <v>0</v>
          </cell>
          <cell r="E45">
            <v>0</v>
          </cell>
          <cell r="F45">
            <v>0</v>
          </cell>
          <cell r="G45">
            <v>270</v>
          </cell>
          <cell r="H45">
            <v>0</v>
          </cell>
          <cell r="I45">
            <v>9.8500003814697266</v>
          </cell>
          <cell r="J45">
            <v>0</v>
          </cell>
          <cell r="K45">
            <v>9.8500003814697266</v>
          </cell>
          <cell r="L45">
            <v>226.20000076293945</v>
          </cell>
          <cell r="M45">
            <v>236.05000114440918</v>
          </cell>
          <cell r="N45">
            <v>0</v>
          </cell>
          <cell r="O45">
            <v>0</v>
          </cell>
          <cell r="P45">
            <v>0</v>
          </cell>
          <cell r="Q45">
            <v>0</v>
          </cell>
          <cell r="R45">
            <v>0</v>
          </cell>
          <cell r="S45">
            <v>0</v>
          </cell>
          <cell r="T45">
            <v>0</v>
          </cell>
          <cell r="U45">
            <v>0</v>
          </cell>
        </row>
        <row r="46">
          <cell r="A46" t="str">
            <v>SR</v>
          </cell>
          <cell r="B46" t="str">
            <v>Saldo Residual</v>
          </cell>
          <cell r="C46" t="str">
            <v>-</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row>
        <row r="47">
          <cell r="A47" t="str">
            <v>AM</v>
          </cell>
          <cell r="B47" t="str">
            <v xml:space="preserve">Atual. Moeda - Edificações e complementos </v>
          </cell>
          <cell r="C47" t="str">
            <v>-</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row>
        <row r="48">
          <cell r="A48" t="str">
            <v>CI</v>
          </cell>
          <cell r="B48" t="str">
            <v>Captura de Investimentos</v>
          </cell>
          <cell r="C48" t="str">
            <v>-</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row>
        <row r="49">
          <cell r="A49" t="str">
            <v>GE00818</v>
          </cell>
          <cell r="B49" t="str">
            <v>Planejamento Macroprojeto 2-3-1</v>
          </cell>
          <cell r="C49" t="str">
            <v>INFR.231.00918</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row>
        <row r="50">
          <cell r="A50" t="str">
            <v>NA</v>
          </cell>
          <cell r="B50" t="str">
            <v>Laudos a Serem Apresentados</v>
          </cell>
          <cell r="C50" t="str">
            <v>-</v>
          </cell>
          <cell r="D50">
            <v>1911</v>
          </cell>
          <cell r="E50">
            <v>0</v>
          </cell>
          <cell r="F50">
            <v>0</v>
          </cell>
          <cell r="G50">
            <v>0</v>
          </cell>
          <cell r="H50">
            <v>0</v>
          </cell>
          <cell r="I50">
            <v>0</v>
          </cell>
          <cell r="J50">
            <v>0</v>
          </cell>
          <cell r="K50">
            <v>0</v>
          </cell>
          <cell r="L50">
            <v>0</v>
          </cell>
          <cell r="M50">
            <v>0</v>
          </cell>
          <cell r="N50">
            <v>430</v>
          </cell>
          <cell r="O50">
            <v>204</v>
          </cell>
          <cell r="P50">
            <v>1251</v>
          </cell>
          <cell r="Q50">
            <v>26</v>
          </cell>
          <cell r="R50">
            <v>0</v>
          </cell>
          <cell r="S50">
            <v>0</v>
          </cell>
          <cell r="T50">
            <v>0</v>
          </cell>
          <cell r="U50">
            <v>0</v>
          </cell>
        </row>
        <row r="51">
          <cell r="A51" t="str">
            <v>SR</v>
          </cell>
          <cell r="B51" t="str">
            <v>Saldo Residual</v>
          </cell>
          <cell r="C51" t="str">
            <v>-</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row>
        <row r="52">
          <cell r="A52" t="str">
            <v>2264/09</v>
          </cell>
          <cell r="B52" t="str">
            <v>Reformas e Melhorias em EC - T - 2009</v>
          </cell>
          <cell r="C52" t="str">
            <v>2CPO2264</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row>
        <row r="53">
          <cell r="A53" t="str">
            <v>3088/12</v>
          </cell>
          <cell r="B53" t="str">
            <v>Reformas e Melhorias Estação de Telecomunicações da Transmissão</v>
          </cell>
          <cell r="C53" t="str">
            <v>INTC.12.T.054.RM</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row>
        <row r="54">
          <cell r="A54" t="str">
            <v>AM</v>
          </cell>
          <cell r="B54" t="str">
            <v xml:space="preserve">Atual. Moeda - Telecomunicações </v>
          </cell>
          <cell r="C54" t="str">
            <v>-</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row>
        <row r="55">
          <cell r="A55" t="str">
            <v>CI</v>
          </cell>
          <cell r="B55" t="str">
            <v>Captura de Investimentos</v>
          </cell>
          <cell r="C55" t="str">
            <v>-</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row>
        <row r="56">
          <cell r="A56" t="str">
            <v>NA</v>
          </cell>
          <cell r="B56" t="str">
            <v>Laudos a Serem Apresentados</v>
          </cell>
          <cell r="C56" t="str">
            <v>-</v>
          </cell>
          <cell r="D56">
            <v>297</v>
          </cell>
          <cell r="E56">
            <v>0</v>
          </cell>
          <cell r="F56">
            <v>0</v>
          </cell>
          <cell r="G56">
            <v>0</v>
          </cell>
          <cell r="H56">
            <v>0</v>
          </cell>
          <cell r="I56">
            <v>0</v>
          </cell>
          <cell r="J56">
            <v>0</v>
          </cell>
          <cell r="K56">
            <v>0</v>
          </cell>
          <cell r="L56">
            <v>0</v>
          </cell>
          <cell r="M56">
            <v>0</v>
          </cell>
          <cell r="N56">
            <v>46</v>
          </cell>
          <cell r="O56">
            <v>83</v>
          </cell>
          <cell r="P56">
            <v>90</v>
          </cell>
          <cell r="Q56">
            <v>78</v>
          </cell>
          <cell r="R56">
            <v>0</v>
          </cell>
          <cell r="S56">
            <v>0</v>
          </cell>
          <cell r="T56">
            <v>0</v>
          </cell>
          <cell r="U56">
            <v>0</v>
          </cell>
        </row>
        <row r="57">
          <cell r="A57" t="str">
            <v>SR</v>
          </cell>
          <cell r="B57" t="str">
            <v>Saldo Residual</v>
          </cell>
          <cell r="C57" t="str">
            <v>-</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row>
        <row r="58">
          <cell r="A58" t="str">
            <v>TI03718</v>
          </cell>
          <cell r="B58" t="str">
            <v>Planejamento Macroprojeto 2-3-2</v>
          </cell>
          <cell r="C58" t="str">
            <v>TINV.18.T.054.PP</v>
          </cell>
          <cell r="D58">
            <v>142</v>
          </cell>
          <cell r="E58">
            <v>0</v>
          </cell>
          <cell r="F58">
            <v>142</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row>
        <row r="59">
          <cell r="A59" t="str">
            <v>AM</v>
          </cell>
          <cell r="B59" t="str">
            <v>Atual. Moeda - Microinformática</v>
          </cell>
          <cell r="C59" t="str">
            <v>-</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row>
        <row r="60">
          <cell r="A60" t="str">
            <v>CI</v>
          </cell>
          <cell r="B60" t="str">
            <v>Captura de Investimentos</v>
          </cell>
          <cell r="C60" t="str">
            <v>-</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row>
        <row r="61">
          <cell r="A61" t="str">
            <v>NA</v>
          </cell>
          <cell r="B61" t="str">
            <v>Laudos a Serem Apresentados</v>
          </cell>
          <cell r="C61" t="str">
            <v>-</v>
          </cell>
          <cell r="D61">
            <v>529</v>
          </cell>
          <cell r="E61">
            <v>0</v>
          </cell>
          <cell r="F61">
            <v>0</v>
          </cell>
          <cell r="G61">
            <v>0</v>
          </cell>
          <cell r="H61">
            <v>0</v>
          </cell>
          <cell r="I61">
            <v>0</v>
          </cell>
          <cell r="J61">
            <v>0</v>
          </cell>
          <cell r="K61">
            <v>0</v>
          </cell>
          <cell r="L61">
            <v>0</v>
          </cell>
          <cell r="M61">
            <v>0</v>
          </cell>
          <cell r="N61">
            <v>55</v>
          </cell>
          <cell r="O61">
            <v>209</v>
          </cell>
          <cell r="P61">
            <v>55</v>
          </cell>
          <cell r="Q61">
            <v>210</v>
          </cell>
          <cell r="R61">
            <v>0</v>
          </cell>
          <cell r="S61">
            <v>0</v>
          </cell>
          <cell r="T61">
            <v>0</v>
          </cell>
          <cell r="U61">
            <v>0</v>
          </cell>
        </row>
        <row r="62">
          <cell r="A62" t="str">
            <v>SR</v>
          </cell>
          <cell r="B62" t="str">
            <v>Saldo Residual</v>
          </cell>
          <cell r="C62" t="str">
            <v>-</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row>
        <row r="63">
          <cell r="A63" t="str">
            <v>TI03818</v>
          </cell>
          <cell r="B63" t="str">
            <v>Planejamento Macroprojeto 2-3-3</v>
          </cell>
          <cell r="C63" t="str">
            <v>TINV.18.T.045.PP</v>
          </cell>
          <cell r="D63">
            <v>415</v>
          </cell>
          <cell r="E63">
            <v>0</v>
          </cell>
          <cell r="F63">
            <v>415</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row>
        <row r="64">
          <cell r="A64" t="str">
            <v>TI04418</v>
          </cell>
          <cell r="B64" t="str">
            <v>Modernização do Parque de Microinformática</v>
          </cell>
          <cell r="C64" t="str">
            <v>TINV.18.T.045.MP</v>
          </cell>
          <cell r="D64">
            <v>0</v>
          </cell>
          <cell r="E64">
            <v>0</v>
          </cell>
          <cell r="F64">
            <v>0</v>
          </cell>
          <cell r="G64">
            <v>415</v>
          </cell>
          <cell r="H64">
            <v>0</v>
          </cell>
          <cell r="I64">
            <v>0</v>
          </cell>
          <cell r="J64">
            <v>0</v>
          </cell>
          <cell r="K64">
            <v>0</v>
          </cell>
          <cell r="L64">
            <v>382</v>
          </cell>
          <cell r="M64">
            <v>382</v>
          </cell>
          <cell r="N64">
            <v>0</v>
          </cell>
          <cell r="O64">
            <v>0</v>
          </cell>
          <cell r="P64">
            <v>0</v>
          </cell>
          <cell r="Q64">
            <v>0</v>
          </cell>
          <cell r="R64">
            <v>0</v>
          </cell>
          <cell r="S64">
            <v>0</v>
          </cell>
          <cell r="T64">
            <v>0</v>
          </cell>
          <cell r="U64">
            <v>0</v>
          </cell>
        </row>
        <row r="65">
          <cell r="A65" t="str">
            <v>AM</v>
          </cell>
          <cell r="B65" t="str">
            <v>Atual. Moeda - Sistema de Informática</v>
          </cell>
          <cell r="C65" t="str">
            <v>-</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row>
        <row r="66">
          <cell r="A66" t="str">
            <v>CI</v>
          </cell>
          <cell r="B66" t="str">
            <v>Captura de Investimentos</v>
          </cell>
          <cell r="C66" t="str">
            <v>-</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row>
        <row r="67">
          <cell r="A67" t="str">
            <v>NA</v>
          </cell>
          <cell r="B67" t="str">
            <v>Laudos a Serem Apresentados</v>
          </cell>
          <cell r="C67" t="str">
            <v>-</v>
          </cell>
          <cell r="D67">
            <v>514</v>
          </cell>
          <cell r="E67">
            <v>0</v>
          </cell>
          <cell r="F67">
            <v>0</v>
          </cell>
          <cell r="G67">
            <v>0</v>
          </cell>
          <cell r="H67">
            <v>0</v>
          </cell>
          <cell r="I67">
            <v>0</v>
          </cell>
          <cell r="J67">
            <v>0</v>
          </cell>
          <cell r="K67">
            <v>0</v>
          </cell>
          <cell r="L67">
            <v>0</v>
          </cell>
          <cell r="M67">
            <v>0</v>
          </cell>
          <cell r="N67">
            <v>128.5</v>
          </cell>
          <cell r="O67">
            <v>128.5</v>
          </cell>
          <cell r="P67">
            <v>128.5</v>
          </cell>
          <cell r="Q67">
            <v>128.5</v>
          </cell>
          <cell r="R67">
            <v>0</v>
          </cell>
          <cell r="S67">
            <v>0</v>
          </cell>
          <cell r="T67">
            <v>0</v>
          </cell>
          <cell r="U67">
            <v>0</v>
          </cell>
        </row>
        <row r="68">
          <cell r="A68" t="str">
            <v>SR</v>
          </cell>
          <cell r="B68" t="str">
            <v>Saldo Residual</v>
          </cell>
          <cell r="C68" t="str">
            <v>-</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row>
        <row r="69">
          <cell r="A69" t="str">
            <v>TI03918</v>
          </cell>
          <cell r="B69" t="str">
            <v>Planejamento Macroprojeto 2-3-4</v>
          </cell>
          <cell r="C69" t="str">
            <v>TINV.18.T.042.PP</v>
          </cell>
          <cell r="D69">
            <v>129</v>
          </cell>
          <cell r="E69">
            <v>0</v>
          </cell>
          <cell r="F69">
            <v>129</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row>
        <row r="70">
          <cell r="A70" t="str">
            <v>AM</v>
          </cell>
          <cell r="B70" t="str">
            <v>Atual. Moeda - Veículos</v>
          </cell>
          <cell r="C70" t="str">
            <v>-</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row>
        <row r="71">
          <cell r="A71" t="str">
            <v>CI</v>
          </cell>
          <cell r="B71" t="str">
            <v>Captura de Investimentos</v>
          </cell>
          <cell r="C71" t="str">
            <v>-</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row>
        <row r="72">
          <cell r="A72" t="str">
            <v>GE00918</v>
          </cell>
          <cell r="B72" t="str">
            <v>Planejamento Macroprojeto 2-3-5</v>
          </cell>
          <cell r="C72" t="str">
            <v>INFR.235.01018</v>
          </cell>
          <cell r="D72">
            <v>1618</v>
          </cell>
          <cell r="E72">
            <v>0</v>
          </cell>
          <cell r="F72">
            <v>1618</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row>
        <row r="73">
          <cell r="A73" t="str">
            <v>MT00218</v>
          </cell>
          <cell r="B73" t="str">
            <v>MT - Equipamentos e Veículos</v>
          </cell>
          <cell r="C73" t="str">
            <v>INAT/18/VE</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row>
        <row r="74">
          <cell r="A74" t="str">
            <v>NA</v>
          </cell>
          <cell r="B74" t="str">
            <v>Laudos a Serem Apresentados</v>
          </cell>
          <cell r="C74" t="str">
            <v>-</v>
          </cell>
          <cell r="D74">
            <v>2058</v>
          </cell>
          <cell r="E74">
            <v>0</v>
          </cell>
          <cell r="F74">
            <v>0</v>
          </cell>
          <cell r="G74">
            <v>0</v>
          </cell>
          <cell r="H74">
            <v>0</v>
          </cell>
          <cell r="I74">
            <v>0</v>
          </cell>
          <cell r="J74">
            <v>0</v>
          </cell>
          <cell r="K74">
            <v>0</v>
          </cell>
          <cell r="L74">
            <v>0</v>
          </cell>
          <cell r="M74">
            <v>0</v>
          </cell>
          <cell r="N74">
            <v>0</v>
          </cell>
          <cell r="O74">
            <v>1050</v>
          </cell>
          <cell r="P74">
            <v>1008</v>
          </cell>
          <cell r="Q74">
            <v>0</v>
          </cell>
          <cell r="R74">
            <v>0</v>
          </cell>
          <cell r="S74">
            <v>0</v>
          </cell>
          <cell r="T74">
            <v>0</v>
          </cell>
          <cell r="U74">
            <v>0</v>
          </cell>
        </row>
        <row r="75">
          <cell r="A75" t="str">
            <v>SR</v>
          </cell>
          <cell r="B75" t="str">
            <v>Saldo Residual</v>
          </cell>
          <cell r="C75" t="str">
            <v>-</v>
          </cell>
          <cell r="D75">
            <v>9.9999999999909106E-2</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row>
        <row r="76">
          <cell r="A76" t="str">
            <v>AM</v>
          </cell>
          <cell r="B76" t="str">
            <v xml:space="preserve">Atual. Moeda - Ferramentas e Equipamentos </v>
          </cell>
          <cell r="C76" t="str">
            <v>-</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row>
        <row r="77">
          <cell r="A77" t="str">
            <v>CI</v>
          </cell>
          <cell r="B77" t="str">
            <v>Captura de Investimentos</v>
          </cell>
          <cell r="C77" t="str">
            <v>-</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row>
        <row r="78">
          <cell r="A78" t="str">
            <v>GE00718</v>
          </cell>
          <cell r="B78" t="str">
            <v>Planejamento Macroprojeto 2-3-6</v>
          </cell>
          <cell r="C78" t="str">
            <v>INFR.236.00818</v>
          </cell>
          <cell r="D78">
            <v>1815</v>
          </cell>
          <cell r="E78">
            <v>0</v>
          </cell>
          <cell r="F78">
            <v>1815</v>
          </cell>
          <cell r="G78">
            <v>0</v>
          </cell>
          <cell r="H78">
            <v>15</v>
          </cell>
          <cell r="I78">
            <v>0</v>
          </cell>
          <cell r="J78">
            <v>0</v>
          </cell>
          <cell r="K78">
            <v>0</v>
          </cell>
          <cell r="L78">
            <v>0</v>
          </cell>
          <cell r="M78">
            <v>0</v>
          </cell>
          <cell r="N78">
            <v>0</v>
          </cell>
          <cell r="O78">
            <v>0</v>
          </cell>
          <cell r="P78">
            <v>0</v>
          </cell>
          <cell r="Q78">
            <v>0</v>
          </cell>
          <cell r="R78">
            <v>0</v>
          </cell>
          <cell r="S78">
            <v>0</v>
          </cell>
          <cell r="T78">
            <v>0</v>
          </cell>
          <cell r="U78">
            <v>0</v>
          </cell>
        </row>
        <row r="79">
          <cell r="A79" t="str">
            <v>MT00516</v>
          </cell>
          <cell r="B79" t="str">
            <v>Ferramentas 2016 - MT</v>
          </cell>
          <cell r="C79" t="str">
            <v>INAT/16/FE</v>
          </cell>
          <cell r="D79">
            <v>0</v>
          </cell>
          <cell r="E79">
            <v>0</v>
          </cell>
          <cell r="F79">
            <v>0</v>
          </cell>
          <cell r="G79">
            <v>5</v>
          </cell>
          <cell r="H79">
            <v>0</v>
          </cell>
          <cell r="I79">
            <v>3.4775899946689606</v>
          </cell>
          <cell r="J79">
            <v>0</v>
          </cell>
          <cell r="K79">
            <v>3.4775899946689606</v>
          </cell>
          <cell r="L79">
            <v>0</v>
          </cell>
          <cell r="M79">
            <v>3.4775899946689606</v>
          </cell>
          <cell r="N79">
            <v>0</v>
          </cell>
          <cell r="O79">
            <v>0</v>
          </cell>
          <cell r="P79">
            <v>0</v>
          </cell>
          <cell r="Q79">
            <v>0</v>
          </cell>
          <cell r="R79">
            <v>0</v>
          </cell>
          <cell r="S79">
            <v>0</v>
          </cell>
          <cell r="T79">
            <v>0</v>
          </cell>
          <cell r="U79">
            <v>0</v>
          </cell>
        </row>
        <row r="80">
          <cell r="A80" t="str">
            <v>MT01017</v>
          </cell>
          <cell r="B80" t="str">
            <v>Ferramentas de Manutenção (Ciclo 2017-2025) - MT</v>
          </cell>
          <cell r="C80" t="str">
            <v>INAT/18/FE</v>
          </cell>
          <cell r="D80">
            <v>0</v>
          </cell>
          <cell r="E80">
            <v>0</v>
          </cell>
          <cell r="F80">
            <v>0</v>
          </cell>
          <cell r="G80">
            <v>1088</v>
          </cell>
          <cell r="H80">
            <v>0</v>
          </cell>
          <cell r="I80">
            <v>11.640000343322754</v>
          </cell>
          <cell r="J80">
            <v>0</v>
          </cell>
          <cell r="K80">
            <v>11.640000343322754</v>
          </cell>
          <cell r="L80">
            <v>2.5</v>
          </cell>
          <cell r="M80">
            <v>14.140000343322754</v>
          </cell>
          <cell r="N80">
            <v>0</v>
          </cell>
          <cell r="O80">
            <v>0</v>
          </cell>
          <cell r="P80">
            <v>0</v>
          </cell>
          <cell r="Q80">
            <v>0</v>
          </cell>
          <cell r="R80">
            <v>0</v>
          </cell>
          <cell r="S80">
            <v>0</v>
          </cell>
          <cell r="T80">
            <v>0</v>
          </cell>
          <cell r="U80">
            <v>0</v>
          </cell>
        </row>
        <row r="81">
          <cell r="A81" t="str">
            <v>NA</v>
          </cell>
          <cell r="B81" t="str">
            <v>Ferramentas e Equipamentos - T (Ciclo 2017 - 2025)</v>
          </cell>
          <cell r="C81" t="str">
            <v>-</v>
          </cell>
          <cell r="D81">
            <v>4823</v>
          </cell>
          <cell r="E81">
            <v>0</v>
          </cell>
          <cell r="F81">
            <v>0</v>
          </cell>
          <cell r="G81">
            <v>0</v>
          </cell>
          <cell r="H81">
            <v>0</v>
          </cell>
          <cell r="I81">
            <v>0</v>
          </cell>
          <cell r="J81">
            <v>0</v>
          </cell>
          <cell r="K81">
            <v>0</v>
          </cell>
          <cell r="L81">
            <v>0</v>
          </cell>
          <cell r="M81">
            <v>0</v>
          </cell>
          <cell r="N81">
            <v>1496</v>
          </cell>
          <cell r="O81">
            <v>777</v>
          </cell>
          <cell r="P81">
            <v>2550</v>
          </cell>
          <cell r="Q81">
            <v>0</v>
          </cell>
          <cell r="R81">
            <v>0</v>
          </cell>
          <cell r="S81">
            <v>0</v>
          </cell>
          <cell r="T81">
            <v>0</v>
          </cell>
          <cell r="U81">
            <v>0</v>
          </cell>
        </row>
        <row r="82">
          <cell r="A82" t="str">
            <v>PO00417</v>
          </cell>
          <cell r="B82" t="str">
            <v>Aquisição de Diversos Equipamentos</v>
          </cell>
          <cell r="C82" t="str">
            <v>INGT/18/783/FERR</v>
          </cell>
          <cell r="D82">
            <v>0</v>
          </cell>
          <cell r="E82">
            <v>0</v>
          </cell>
          <cell r="F82">
            <v>0</v>
          </cell>
          <cell r="G82">
            <v>715</v>
          </cell>
          <cell r="H82">
            <v>0</v>
          </cell>
          <cell r="I82">
            <v>35</v>
          </cell>
          <cell r="J82">
            <v>0</v>
          </cell>
          <cell r="K82">
            <v>35</v>
          </cell>
          <cell r="L82">
            <v>669.41599607467651</v>
          </cell>
          <cell r="M82">
            <v>704.41599607467651</v>
          </cell>
          <cell r="N82">
            <v>0</v>
          </cell>
          <cell r="O82">
            <v>0</v>
          </cell>
          <cell r="P82">
            <v>0</v>
          </cell>
          <cell r="Q82">
            <v>0</v>
          </cell>
          <cell r="R82">
            <v>0</v>
          </cell>
          <cell r="S82">
            <v>0</v>
          </cell>
          <cell r="T82">
            <v>0</v>
          </cell>
          <cell r="U82">
            <v>0</v>
          </cell>
        </row>
        <row r="83">
          <cell r="A83" t="str">
            <v>SR</v>
          </cell>
          <cell r="B83" t="str">
            <v>Saldo Residual</v>
          </cell>
          <cell r="C83" t="str">
            <v>-</v>
          </cell>
          <cell r="D83">
            <v>9.9920072216264089E-16</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row>
        <row r="84">
          <cell r="A84" t="str">
            <v>2509/10</v>
          </cell>
          <cell r="B84" t="str">
            <v>Programa de Substituição e Modernização de Ferramentas p/ DDC</v>
          </cell>
          <cell r="C84" t="str">
            <v>PIGD.10.905.O1.GF</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row>
        <row r="85">
          <cell r="A85" t="str">
            <v>2556/10</v>
          </cell>
          <cell r="B85" t="str">
            <v>Ferramentas e Equipamentos para PE</v>
          </cell>
          <cell r="C85" t="str">
            <v>PIGD.10.178.O1.GF</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row>
        <row r="86">
          <cell r="A86" t="str">
            <v>2710/11</v>
          </cell>
          <cell r="B86" t="str">
            <v>Ferramentas p/ Equipes de Inspeções em LT</v>
          </cell>
          <cell r="C86" t="str">
            <v>PIGD.11.856.O1.GF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row>
        <row r="87">
          <cell r="A87" t="str">
            <v>2716/11</v>
          </cell>
          <cell r="B87" t="str">
            <v>Ferramentas p/ MD, PE, PR</v>
          </cell>
          <cell r="C87" t="str">
            <v>PIGD.11.896.O1.GF</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row>
        <row r="88">
          <cell r="A88" t="str">
            <v>2717/11</v>
          </cell>
          <cell r="B88" t="str">
            <v>Ferramentas Operacionais SD/LS</v>
          </cell>
          <cell r="C88" t="str">
            <v>PIGD.11.896.O2.GF</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row>
        <row r="89">
          <cell r="A89" t="str">
            <v>2854/11</v>
          </cell>
          <cell r="B89" t="str">
            <v>Termovisor para Inspeções em LT</v>
          </cell>
          <cell r="C89" t="str">
            <v>PIGD.11.856.O2.GF</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row>
        <row r="90">
          <cell r="A90" t="str">
            <v>2896/11</v>
          </cell>
          <cell r="B90" t="str">
            <v>Ferramentas Operacionais para CD/DDC</v>
          </cell>
          <cell r="C90" t="str">
            <v>PIGD.11.896.O3.GF</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row>
        <row r="91">
          <cell r="A91" t="str">
            <v>2922/11</v>
          </cell>
          <cell r="B91" t="str">
            <v>Ferramentas DDC 2012</v>
          </cell>
          <cell r="C91" t="str">
            <v>PIGD.11.896.O4.GF</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row>
        <row r="92">
          <cell r="A92" t="str">
            <v>AM</v>
          </cell>
          <cell r="B92" t="str">
            <v xml:space="preserve">Atual. Moeda - Ferramentas </v>
          </cell>
          <cell r="C92" t="str">
            <v>-</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row>
        <row r="93">
          <cell r="A93" t="str">
            <v>CD00116</v>
          </cell>
          <cell r="B93" t="str">
            <v>Notebooks para Manutenção de Rede</v>
          </cell>
          <cell r="C93" t="str">
            <v>PIGD.16.687.O1.GF</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row>
        <row r="94">
          <cell r="A94" t="str">
            <v>CD00315</v>
          </cell>
          <cell r="B94" t="str">
            <v>Ferramentas DDC 2015</v>
          </cell>
          <cell r="C94" t="str">
            <v>3CPOCD00315</v>
          </cell>
          <cell r="D94">
            <v>0</v>
          </cell>
          <cell r="E94">
            <v>0</v>
          </cell>
          <cell r="F94">
            <v>0</v>
          </cell>
          <cell r="G94">
            <v>13</v>
          </cell>
          <cell r="H94">
            <v>0</v>
          </cell>
          <cell r="I94">
            <v>11.104649901390076</v>
          </cell>
          <cell r="J94">
            <v>0</v>
          </cell>
          <cell r="K94">
            <v>11.104649901390076</v>
          </cell>
          <cell r="L94">
            <v>0</v>
          </cell>
          <cell r="M94">
            <v>11.104649901390076</v>
          </cell>
          <cell r="N94">
            <v>0</v>
          </cell>
          <cell r="O94">
            <v>0</v>
          </cell>
          <cell r="P94">
            <v>0</v>
          </cell>
          <cell r="Q94">
            <v>0</v>
          </cell>
          <cell r="R94">
            <v>0</v>
          </cell>
          <cell r="S94">
            <v>0</v>
          </cell>
          <cell r="T94">
            <v>0</v>
          </cell>
          <cell r="U94">
            <v>0</v>
          </cell>
        </row>
        <row r="95">
          <cell r="A95" t="str">
            <v>CI</v>
          </cell>
          <cell r="B95" t="str">
            <v>Captura de Investimentos</v>
          </cell>
          <cell r="C95" t="str">
            <v>-</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row>
        <row r="96">
          <cell r="A96" t="str">
            <v>GE00118</v>
          </cell>
          <cell r="B96" t="str">
            <v>Planejamento Macroprojeto 3-4-1</v>
          </cell>
          <cell r="C96" t="str">
            <v>INFR.341.00118</v>
          </cell>
          <cell r="D96">
            <v>2417</v>
          </cell>
          <cell r="E96">
            <v>0</v>
          </cell>
          <cell r="F96">
            <v>2417</v>
          </cell>
          <cell r="G96">
            <v>0</v>
          </cell>
          <cell r="H96">
            <v>13</v>
          </cell>
          <cell r="I96">
            <v>0</v>
          </cell>
          <cell r="J96">
            <v>0</v>
          </cell>
          <cell r="K96">
            <v>0</v>
          </cell>
          <cell r="L96">
            <v>0</v>
          </cell>
          <cell r="M96">
            <v>0</v>
          </cell>
          <cell r="N96">
            <v>0</v>
          </cell>
          <cell r="O96">
            <v>0</v>
          </cell>
          <cell r="P96">
            <v>0</v>
          </cell>
          <cell r="Q96">
            <v>0</v>
          </cell>
          <cell r="R96">
            <v>0</v>
          </cell>
          <cell r="S96">
            <v>0</v>
          </cell>
          <cell r="T96">
            <v>0</v>
          </cell>
          <cell r="U96">
            <v>0</v>
          </cell>
        </row>
        <row r="97">
          <cell r="A97" t="str">
            <v>NA</v>
          </cell>
          <cell r="B97" t="str">
            <v>Laudos a Serem Apresentados</v>
          </cell>
          <cell r="C97" t="str">
            <v>-</v>
          </cell>
          <cell r="D97">
            <v>11667</v>
          </cell>
          <cell r="E97">
            <v>0</v>
          </cell>
          <cell r="F97">
            <v>0</v>
          </cell>
          <cell r="G97">
            <v>0</v>
          </cell>
          <cell r="H97">
            <v>0</v>
          </cell>
          <cell r="I97">
            <v>0</v>
          </cell>
          <cell r="J97">
            <v>0</v>
          </cell>
          <cell r="K97">
            <v>0</v>
          </cell>
          <cell r="L97">
            <v>0</v>
          </cell>
          <cell r="M97">
            <v>0</v>
          </cell>
          <cell r="N97">
            <v>2235</v>
          </cell>
          <cell r="O97">
            <v>3005</v>
          </cell>
          <cell r="P97">
            <v>3898</v>
          </cell>
          <cell r="Q97">
            <v>2529</v>
          </cell>
          <cell r="R97">
            <v>0</v>
          </cell>
          <cell r="S97">
            <v>0</v>
          </cell>
          <cell r="T97">
            <v>0</v>
          </cell>
          <cell r="U97">
            <v>0</v>
          </cell>
        </row>
        <row r="98">
          <cell r="A98" t="str">
            <v>SR</v>
          </cell>
          <cell r="B98" t="str">
            <v>Saldo Residual</v>
          </cell>
          <cell r="C98" t="str">
            <v>-</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row>
        <row r="99">
          <cell r="A99" t="str">
            <v>AM</v>
          </cell>
          <cell r="B99" t="str">
            <v xml:space="preserve">Atual. Moeda - Edificações e complementos </v>
          </cell>
          <cell r="C99" t="str">
            <v>-</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row>
        <row r="100">
          <cell r="A100" t="str">
            <v>CD00115</v>
          </cell>
          <cell r="B100" t="str">
            <v>Sistema Videowall do COD</v>
          </cell>
          <cell r="C100" t="str">
            <v>PIGD.15.170.O1.GE</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row>
        <row r="101">
          <cell r="A101" t="str">
            <v>CD00215</v>
          </cell>
          <cell r="B101" t="str">
            <v>Equipamentos de Infraestrutura para DDC 2015</v>
          </cell>
          <cell r="C101" t="str">
            <v>PIGD.15.687.O1.GE</v>
          </cell>
          <cell r="D101">
            <v>0</v>
          </cell>
          <cell r="E101">
            <v>0</v>
          </cell>
          <cell r="F101">
            <v>0</v>
          </cell>
          <cell r="G101">
            <v>56</v>
          </cell>
          <cell r="H101">
            <v>0</v>
          </cell>
          <cell r="I101">
            <v>54.296999216079712</v>
          </cell>
          <cell r="J101">
            <v>0</v>
          </cell>
          <cell r="K101">
            <v>54.296999216079712</v>
          </cell>
          <cell r="L101">
            <v>0</v>
          </cell>
          <cell r="M101">
            <v>54.296999216079712</v>
          </cell>
          <cell r="N101">
            <v>0</v>
          </cell>
          <cell r="O101">
            <v>0</v>
          </cell>
          <cell r="P101">
            <v>0</v>
          </cell>
          <cell r="Q101">
            <v>0</v>
          </cell>
          <cell r="R101">
            <v>0</v>
          </cell>
          <cell r="S101">
            <v>0</v>
          </cell>
          <cell r="T101">
            <v>0</v>
          </cell>
          <cell r="U101">
            <v>0</v>
          </cell>
        </row>
        <row r="102">
          <cell r="A102" t="str">
            <v>CI</v>
          </cell>
          <cell r="B102" t="str">
            <v>Captura de Investimentos</v>
          </cell>
          <cell r="C102" t="str">
            <v>-</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row>
        <row r="103">
          <cell r="A103" t="str">
            <v>GE00214</v>
          </cell>
          <cell r="B103" t="str">
            <v>Projeto de CFTV e Conectividade do Edifício Julio Soares</v>
          </cell>
          <cell r="C103" t="str">
            <v>INFR.342.00414</v>
          </cell>
          <cell r="D103">
            <v>0</v>
          </cell>
          <cell r="E103">
            <v>0</v>
          </cell>
          <cell r="F103">
            <v>0</v>
          </cell>
          <cell r="G103">
            <v>2</v>
          </cell>
          <cell r="H103">
            <v>0</v>
          </cell>
          <cell r="I103">
            <v>1.7749999761581421</v>
          </cell>
          <cell r="J103">
            <v>0</v>
          </cell>
          <cell r="K103">
            <v>1.7749999761581421</v>
          </cell>
          <cell r="L103">
            <v>0</v>
          </cell>
          <cell r="M103">
            <v>1.7749999761581421</v>
          </cell>
          <cell r="N103">
            <v>0</v>
          </cell>
          <cell r="O103">
            <v>0</v>
          </cell>
          <cell r="P103">
            <v>0</v>
          </cell>
          <cell r="Q103">
            <v>0</v>
          </cell>
          <cell r="R103">
            <v>0</v>
          </cell>
          <cell r="S103">
            <v>0</v>
          </cell>
          <cell r="T103">
            <v>0</v>
          </cell>
          <cell r="U103">
            <v>0</v>
          </cell>
        </row>
        <row r="104">
          <cell r="A104" t="str">
            <v>GE00218</v>
          </cell>
          <cell r="B104" t="str">
            <v>Planejamento Macroprojeto 3-4-2</v>
          </cell>
          <cell r="C104" t="str">
            <v>INFR.342.00218</v>
          </cell>
          <cell r="D104">
            <v>6259</v>
          </cell>
          <cell r="E104">
            <v>0</v>
          </cell>
          <cell r="F104">
            <v>6259</v>
          </cell>
          <cell r="G104">
            <v>0</v>
          </cell>
          <cell r="H104">
            <v>56</v>
          </cell>
          <cell r="I104">
            <v>0</v>
          </cell>
          <cell r="J104">
            <v>0</v>
          </cell>
          <cell r="K104">
            <v>0</v>
          </cell>
          <cell r="L104">
            <v>0</v>
          </cell>
          <cell r="M104">
            <v>0</v>
          </cell>
          <cell r="N104">
            <v>0</v>
          </cell>
          <cell r="O104">
            <v>0</v>
          </cell>
          <cell r="P104">
            <v>0</v>
          </cell>
          <cell r="Q104">
            <v>0</v>
          </cell>
          <cell r="R104">
            <v>0</v>
          </cell>
          <cell r="S104">
            <v>0</v>
          </cell>
          <cell r="T104">
            <v>0</v>
          </cell>
          <cell r="U104">
            <v>0</v>
          </cell>
        </row>
        <row r="105">
          <cell r="A105" t="str">
            <v>NA</v>
          </cell>
          <cell r="B105" t="str">
            <v>Laudos a Serem Apresentados</v>
          </cell>
          <cell r="C105" t="str">
            <v>-</v>
          </cell>
          <cell r="D105">
            <v>34192</v>
          </cell>
          <cell r="E105">
            <v>0</v>
          </cell>
          <cell r="F105">
            <v>0</v>
          </cell>
          <cell r="G105">
            <v>0</v>
          </cell>
          <cell r="H105">
            <v>0</v>
          </cell>
          <cell r="I105">
            <v>0</v>
          </cell>
          <cell r="J105">
            <v>0</v>
          </cell>
          <cell r="K105">
            <v>0</v>
          </cell>
          <cell r="L105">
            <v>0</v>
          </cell>
          <cell r="M105">
            <v>0</v>
          </cell>
          <cell r="N105">
            <v>8703</v>
          </cell>
          <cell r="O105">
            <v>9836</v>
          </cell>
          <cell r="P105">
            <v>9596</v>
          </cell>
          <cell r="Q105">
            <v>6057</v>
          </cell>
          <cell r="R105">
            <v>0</v>
          </cell>
          <cell r="S105">
            <v>0</v>
          </cell>
          <cell r="T105">
            <v>0</v>
          </cell>
          <cell r="U105">
            <v>0</v>
          </cell>
        </row>
        <row r="106">
          <cell r="A106" t="str">
            <v>RH00118</v>
          </cell>
          <cell r="B106" t="str">
            <v>Projetos de Infraestrutura RH/EC</v>
          </cell>
          <cell r="C106" t="str">
            <v>INFR.342.00118</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row>
        <row r="107">
          <cell r="A107" t="str">
            <v>SC00117</v>
          </cell>
          <cell r="B107" t="str">
            <v>CDI - Sete Lagoas - Execução de reforço do talude e obra de drenagem</v>
          </cell>
          <cell r="C107" t="str">
            <v>INFR.342.00117</v>
          </cell>
          <cell r="D107">
            <v>0</v>
          </cell>
          <cell r="E107">
            <v>0</v>
          </cell>
          <cell r="F107">
            <v>0</v>
          </cell>
          <cell r="G107">
            <v>250</v>
          </cell>
          <cell r="H107">
            <v>0</v>
          </cell>
          <cell r="I107">
            <v>0</v>
          </cell>
          <cell r="J107">
            <v>0</v>
          </cell>
          <cell r="K107">
            <v>0</v>
          </cell>
          <cell r="L107">
            <v>51.18402099609375</v>
          </cell>
          <cell r="M107">
            <v>51.18402099609375</v>
          </cell>
          <cell r="N107">
            <v>0</v>
          </cell>
          <cell r="O107">
            <v>0</v>
          </cell>
          <cell r="P107">
            <v>0</v>
          </cell>
          <cell r="Q107">
            <v>0</v>
          </cell>
          <cell r="R107">
            <v>0</v>
          </cell>
          <cell r="S107">
            <v>0</v>
          </cell>
          <cell r="T107">
            <v>0</v>
          </cell>
          <cell r="U107">
            <v>0</v>
          </cell>
        </row>
        <row r="108">
          <cell r="A108" t="str">
            <v>SR</v>
          </cell>
          <cell r="B108" t="str">
            <v>Saldo Residual</v>
          </cell>
          <cell r="C108" t="str">
            <v>-</v>
          </cell>
          <cell r="D108">
            <v>0.5</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row>
        <row r="109">
          <cell r="A109" t="str">
            <v>AM</v>
          </cell>
          <cell r="B109" t="str">
            <v xml:space="preserve">Atual. Moeda - Telecomunicações (Aureliano Chaves) </v>
          </cell>
          <cell r="C109" t="str">
            <v>-</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row>
        <row r="110">
          <cell r="A110" t="str">
            <v>CI</v>
          </cell>
          <cell r="B110" t="str">
            <v>Captura de Investimentos</v>
          </cell>
          <cell r="C110" t="str">
            <v>-</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row>
        <row r="111">
          <cell r="A111" t="str">
            <v>NA</v>
          </cell>
          <cell r="B111" t="str">
            <v>Laudos a Serem Apresentados</v>
          </cell>
          <cell r="C111" t="str">
            <v>-</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row>
        <row r="112">
          <cell r="A112" t="str">
            <v>SR</v>
          </cell>
          <cell r="B112" t="str">
            <v>Saldo Residual</v>
          </cell>
          <cell r="C112" t="str">
            <v>-</v>
          </cell>
          <cell r="D112">
            <v>-1</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row>
        <row r="113">
          <cell r="A113" t="str">
            <v>TI01518</v>
          </cell>
          <cell r="B113" t="str">
            <v>Planejamento Macroprojeto 3-4-3-1</v>
          </cell>
          <cell r="C113" t="str">
            <v>TINV.18.D.054.PP</v>
          </cell>
          <cell r="D113">
            <v>34563</v>
          </cell>
          <cell r="E113">
            <v>0</v>
          </cell>
          <cell r="F113">
            <v>4112</v>
          </cell>
          <cell r="G113">
            <v>0</v>
          </cell>
          <cell r="H113">
            <v>0</v>
          </cell>
          <cell r="I113">
            <v>0</v>
          </cell>
          <cell r="J113">
            <v>0</v>
          </cell>
          <cell r="K113">
            <v>0</v>
          </cell>
          <cell r="L113">
            <v>0</v>
          </cell>
          <cell r="M113">
            <v>0</v>
          </cell>
          <cell r="N113">
            <v>5203</v>
          </cell>
          <cell r="O113">
            <v>8313</v>
          </cell>
          <cell r="P113">
            <v>9847</v>
          </cell>
          <cell r="Q113">
            <v>7088</v>
          </cell>
          <cell r="R113">
            <v>0</v>
          </cell>
          <cell r="S113">
            <v>0</v>
          </cell>
          <cell r="T113">
            <v>0</v>
          </cell>
          <cell r="U113">
            <v>0</v>
          </cell>
        </row>
        <row r="114">
          <cell r="A114" t="str">
            <v>TI02918</v>
          </cell>
          <cell r="B114" t="str">
            <v>Plano de Atendimento de Telecom da Base Operativa de São Gabriel</v>
          </cell>
          <cell r="C114" t="str">
            <v>TINV.18.D.054.SG</v>
          </cell>
          <cell r="D114">
            <v>0</v>
          </cell>
          <cell r="E114">
            <v>0</v>
          </cell>
          <cell r="F114">
            <v>0</v>
          </cell>
          <cell r="G114">
            <v>367</v>
          </cell>
          <cell r="H114">
            <v>0</v>
          </cell>
          <cell r="I114">
            <v>0</v>
          </cell>
          <cell r="J114">
            <v>0</v>
          </cell>
          <cell r="K114">
            <v>0</v>
          </cell>
          <cell r="L114">
            <v>356.9999942779541</v>
          </cell>
          <cell r="M114">
            <v>356.9999942779541</v>
          </cell>
          <cell r="N114">
            <v>0</v>
          </cell>
          <cell r="O114">
            <v>0</v>
          </cell>
          <cell r="P114">
            <v>0</v>
          </cell>
          <cell r="Q114">
            <v>0</v>
          </cell>
          <cell r="R114">
            <v>0</v>
          </cell>
          <cell r="S114">
            <v>0</v>
          </cell>
          <cell r="T114">
            <v>0</v>
          </cell>
          <cell r="U114">
            <v>0</v>
          </cell>
        </row>
        <row r="115">
          <cell r="A115" t="str">
            <v>TI03118</v>
          </cell>
          <cell r="B115" t="str">
            <v>Projeto Sigma - Substituição dos Gateways Mediant 1000</v>
          </cell>
          <cell r="C115" t="str">
            <v>TINV.18.D.054.PS</v>
          </cell>
          <cell r="D115">
            <v>0</v>
          </cell>
          <cell r="E115">
            <v>0</v>
          </cell>
          <cell r="F115">
            <v>0</v>
          </cell>
          <cell r="G115">
            <v>108</v>
          </cell>
          <cell r="H115">
            <v>0</v>
          </cell>
          <cell r="I115">
            <v>0</v>
          </cell>
          <cell r="J115">
            <v>0</v>
          </cell>
          <cell r="K115">
            <v>0</v>
          </cell>
          <cell r="L115">
            <v>22.19502067565918</v>
          </cell>
          <cell r="M115">
            <v>22.19502067565918</v>
          </cell>
          <cell r="N115">
            <v>0</v>
          </cell>
          <cell r="O115">
            <v>0</v>
          </cell>
          <cell r="P115">
            <v>0</v>
          </cell>
          <cell r="Q115">
            <v>0</v>
          </cell>
          <cell r="R115">
            <v>0</v>
          </cell>
          <cell r="S115">
            <v>0</v>
          </cell>
          <cell r="T115">
            <v>0</v>
          </cell>
          <cell r="U115">
            <v>0</v>
          </cell>
        </row>
        <row r="116">
          <cell r="A116" t="str">
            <v>TI05118</v>
          </cell>
          <cell r="B116" t="str">
            <v>Sistema Video Wall</v>
          </cell>
          <cell r="C116" t="str">
            <v>TINV.18.D.054.VW</v>
          </cell>
          <cell r="D116">
            <v>0</v>
          </cell>
          <cell r="E116">
            <v>0</v>
          </cell>
          <cell r="F116">
            <v>0</v>
          </cell>
          <cell r="G116">
            <v>200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row>
        <row r="117">
          <cell r="A117" t="str">
            <v>AM</v>
          </cell>
          <cell r="B117" t="str">
            <v xml:space="preserve">Atual. Moeda - Microinformática </v>
          </cell>
          <cell r="C117" t="str">
            <v>-</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row>
        <row r="118">
          <cell r="A118" t="str">
            <v>CI</v>
          </cell>
          <cell r="B118" t="str">
            <v>Captura de Investimentos</v>
          </cell>
          <cell r="C118" t="str">
            <v>-</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row>
        <row r="119">
          <cell r="A119" t="str">
            <v>NA</v>
          </cell>
          <cell r="B119" t="str">
            <v>Modernização do Parque de Microinformática - D</v>
          </cell>
          <cell r="C119" t="str">
            <v>-</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row>
        <row r="120">
          <cell r="A120" t="str">
            <v>SR</v>
          </cell>
          <cell r="B120" t="str">
            <v>Saldo Residual</v>
          </cell>
          <cell r="C120" t="str">
            <v>-</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row>
        <row r="121">
          <cell r="A121" t="str">
            <v>TI01318</v>
          </cell>
          <cell r="B121" t="str">
            <v>Planejamento Macroprojeto 3-4-4</v>
          </cell>
          <cell r="C121" t="str">
            <v>TINV.18.D.045.PP</v>
          </cell>
          <cell r="D121">
            <v>25864</v>
          </cell>
          <cell r="E121">
            <v>0</v>
          </cell>
          <cell r="F121">
            <v>4684</v>
          </cell>
          <cell r="G121">
            <v>0</v>
          </cell>
          <cell r="H121">
            <v>0</v>
          </cell>
          <cell r="I121">
            <v>0</v>
          </cell>
          <cell r="J121">
            <v>0</v>
          </cell>
          <cell r="K121">
            <v>0</v>
          </cell>
          <cell r="L121">
            <v>0</v>
          </cell>
          <cell r="M121">
            <v>0</v>
          </cell>
          <cell r="N121">
            <v>15470</v>
          </cell>
          <cell r="O121">
            <v>2660</v>
          </cell>
          <cell r="P121">
            <v>390</v>
          </cell>
          <cell r="Q121">
            <v>2660</v>
          </cell>
          <cell r="R121">
            <v>0</v>
          </cell>
          <cell r="S121">
            <v>0</v>
          </cell>
          <cell r="T121">
            <v>0</v>
          </cell>
          <cell r="U121">
            <v>0</v>
          </cell>
        </row>
        <row r="122">
          <cell r="A122" t="str">
            <v>TI01816</v>
          </cell>
          <cell r="B122" t="str">
            <v>Aquisição Equipamentos Móvel em Campo</v>
          </cell>
          <cell r="C122" t="str">
            <v>TINV.16.D.045.TB</v>
          </cell>
          <cell r="D122">
            <v>0</v>
          </cell>
          <cell r="E122">
            <v>0</v>
          </cell>
          <cell r="F122">
            <v>0</v>
          </cell>
          <cell r="G122">
            <v>280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row>
        <row r="123">
          <cell r="A123" t="str">
            <v>TI04318</v>
          </cell>
          <cell r="B123" t="str">
            <v>Modernização do Parque de Microinformática</v>
          </cell>
          <cell r="C123" t="str">
            <v>TINV.18.D.045.MP</v>
          </cell>
          <cell r="D123">
            <v>0</v>
          </cell>
          <cell r="E123">
            <v>0</v>
          </cell>
          <cell r="F123">
            <v>0</v>
          </cell>
          <cell r="G123">
            <v>4184</v>
          </cell>
          <cell r="H123">
            <v>0</v>
          </cell>
          <cell r="I123">
            <v>0</v>
          </cell>
          <cell r="J123">
            <v>0</v>
          </cell>
          <cell r="K123">
            <v>0</v>
          </cell>
          <cell r="L123">
            <v>4138.5</v>
          </cell>
          <cell r="M123">
            <v>4138.5</v>
          </cell>
          <cell r="N123">
            <v>0</v>
          </cell>
          <cell r="O123">
            <v>0</v>
          </cell>
          <cell r="P123">
            <v>0</v>
          </cell>
          <cell r="Q123">
            <v>0</v>
          </cell>
          <cell r="R123">
            <v>0</v>
          </cell>
          <cell r="S123">
            <v>0</v>
          </cell>
          <cell r="T123">
            <v>0</v>
          </cell>
          <cell r="U123">
            <v>0</v>
          </cell>
        </row>
        <row r="124">
          <cell r="A124" t="str">
            <v>3211/12</v>
          </cell>
          <cell r="B124" t="str">
            <v>Sistema GDIS</v>
          </cell>
          <cell r="C124" t="str">
            <v>TINV.12.D.042.GS</v>
          </cell>
          <cell r="D124">
            <v>0</v>
          </cell>
          <cell r="E124">
            <v>0</v>
          </cell>
          <cell r="F124">
            <v>0</v>
          </cell>
          <cell r="G124">
            <v>55</v>
          </cell>
          <cell r="H124">
            <v>0</v>
          </cell>
          <cell r="I124">
            <v>3.4280099868774414</v>
          </cell>
          <cell r="J124">
            <v>0</v>
          </cell>
          <cell r="K124">
            <v>3.4280099868774414</v>
          </cell>
          <cell r="L124">
            <v>0</v>
          </cell>
          <cell r="M124">
            <v>3.4280099868774414</v>
          </cell>
          <cell r="N124">
            <v>0</v>
          </cell>
          <cell r="O124">
            <v>0</v>
          </cell>
          <cell r="P124">
            <v>0</v>
          </cell>
          <cell r="Q124">
            <v>0</v>
          </cell>
          <cell r="R124">
            <v>0</v>
          </cell>
          <cell r="S124">
            <v>0</v>
          </cell>
          <cell r="T124">
            <v>0</v>
          </cell>
          <cell r="U124">
            <v>0</v>
          </cell>
        </row>
        <row r="125">
          <cell r="A125" t="str">
            <v>AM</v>
          </cell>
          <cell r="B125" t="str">
            <v>Sistema de Informática - Atualização Moeda</v>
          </cell>
          <cell r="C125" t="str">
            <v>-</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row>
        <row r="126">
          <cell r="A126" t="str">
            <v>CI</v>
          </cell>
          <cell r="B126" t="str">
            <v>Captura de Investimentos</v>
          </cell>
          <cell r="C126" t="str">
            <v>-</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row>
        <row r="127">
          <cell r="A127" t="str">
            <v>NA</v>
          </cell>
          <cell r="B127" t="str">
            <v>Atualização Tecnológica p/ Modern. da Infraestrutura da Rede Corporativa</v>
          </cell>
          <cell r="C127" t="str">
            <v>-</v>
          </cell>
          <cell r="D127">
            <v>136171</v>
          </cell>
          <cell r="E127">
            <v>0</v>
          </cell>
          <cell r="F127">
            <v>0</v>
          </cell>
          <cell r="G127">
            <v>0</v>
          </cell>
          <cell r="H127">
            <v>0</v>
          </cell>
          <cell r="I127">
            <v>0</v>
          </cell>
          <cell r="J127">
            <v>0</v>
          </cell>
          <cell r="K127">
            <v>0</v>
          </cell>
          <cell r="L127">
            <v>0</v>
          </cell>
          <cell r="M127">
            <v>0</v>
          </cell>
          <cell r="N127">
            <v>44444</v>
          </cell>
          <cell r="O127">
            <v>45931</v>
          </cell>
          <cell r="P127">
            <v>19449</v>
          </cell>
          <cell r="Q127">
            <v>26347</v>
          </cell>
          <cell r="R127">
            <v>0</v>
          </cell>
          <cell r="S127">
            <v>0</v>
          </cell>
          <cell r="T127">
            <v>0</v>
          </cell>
          <cell r="U127">
            <v>0</v>
          </cell>
        </row>
        <row r="128">
          <cell r="A128" t="str">
            <v>SR</v>
          </cell>
          <cell r="B128" t="str">
            <v>Saldo Residual</v>
          </cell>
          <cell r="C128" t="str">
            <v>-</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row>
        <row r="129">
          <cell r="A129" t="str">
            <v>TI00118</v>
          </cell>
          <cell r="B129" t="str">
            <v>Licenciamento Oracle</v>
          </cell>
          <cell r="C129" t="str">
            <v>TINV.18.D.042.OR</v>
          </cell>
          <cell r="D129">
            <v>0</v>
          </cell>
          <cell r="E129">
            <v>0</v>
          </cell>
          <cell r="F129">
            <v>0</v>
          </cell>
          <cell r="G129">
            <v>479</v>
          </cell>
          <cell r="H129">
            <v>0</v>
          </cell>
          <cell r="I129">
            <v>479.32675170898437</v>
          </cell>
          <cell r="J129">
            <v>0</v>
          </cell>
          <cell r="K129">
            <v>479.32675170898437</v>
          </cell>
          <cell r="L129">
            <v>0</v>
          </cell>
          <cell r="M129">
            <v>479.32675170898437</v>
          </cell>
          <cell r="N129">
            <v>0</v>
          </cell>
          <cell r="O129">
            <v>0</v>
          </cell>
          <cell r="P129">
            <v>0</v>
          </cell>
          <cell r="Q129">
            <v>0</v>
          </cell>
          <cell r="R129">
            <v>0</v>
          </cell>
          <cell r="S129">
            <v>0</v>
          </cell>
          <cell r="T129">
            <v>0</v>
          </cell>
          <cell r="U129">
            <v>0</v>
          </cell>
        </row>
        <row r="130">
          <cell r="A130" t="str">
            <v>TI00216</v>
          </cell>
          <cell r="B130" t="str">
            <v>Desenvolvimento do Módulo Gestão da Inadimplência</v>
          </cell>
          <cell r="C130" t="str">
            <v>TINV.15.D.042.NE</v>
          </cell>
          <cell r="D130">
            <v>0</v>
          </cell>
          <cell r="E130">
            <v>0</v>
          </cell>
          <cell r="F130">
            <v>0</v>
          </cell>
          <cell r="G130">
            <v>14</v>
          </cell>
          <cell r="H130">
            <v>0</v>
          </cell>
          <cell r="I130">
            <v>14.010740280151367</v>
          </cell>
          <cell r="J130">
            <v>0</v>
          </cell>
          <cell r="K130">
            <v>14.010740280151367</v>
          </cell>
          <cell r="L130">
            <v>0</v>
          </cell>
          <cell r="M130">
            <v>14.010740280151367</v>
          </cell>
          <cell r="N130">
            <v>0</v>
          </cell>
          <cell r="O130">
            <v>0</v>
          </cell>
          <cell r="P130">
            <v>0</v>
          </cell>
          <cell r="Q130">
            <v>0</v>
          </cell>
          <cell r="R130">
            <v>0</v>
          </cell>
          <cell r="S130">
            <v>0</v>
          </cell>
          <cell r="T130">
            <v>0</v>
          </cell>
          <cell r="U130">
            <v>0</v>
          </cell>
        </row>
        <row r="131">
          <cell r="A131" t="str">
            <v>TI00316</v>
          </cell>
          <cell r="B131" t="str">
            <v>Desenvolvimento do Módulo Negociação da Inadimplência</v>
          </cell>
          <cell r="C131" t="str">
            <v>TINV.15.D.042.NC</v>
          </cell>
          <cell r="D131">
            <v>0</v>
          </cell>
          <cell r="E131">
            <v>0</v>
          </cell>
          <cell r="F131">
            <v>0</v>
          </cell>
          <cell r="G131">
            <v>10</v>
          </cell>
          <cell r="H131">
            <v>0</v>
          </cell>
          <cell r="I131">
            <v>9.5870800018310547</v>
          </cell>
          <cell r="J131">
            <v>0</v>
          </cell>
          <cell r="K131">
            <v>9.5870800018310547</v>
          </cell>
          <cell r="L131">
            <v>0</v>
          </cell>
          <cell r="M131">
            <v>9.5870800018310547</v>
          </cell>
          <cell r="N131">
            <v>0</v>
          </cell>
          <cell r="O131">
            <v>0</v>
          </cell>
          <cell r="P131">
            <v>0</v>
          </cell>
          <cell r="Q131">
            <v>0</v>
          </cell>
          <cell r="R131">
            <v>0</v>
          </cell>
          <cell r="S131">
            <v>0</v>
          </cell>
          <cell r="T131">
            <v>0</v>
          </cell>
          <cell r="U131">
            <v>0</v>
          </cell>
        </row>
        <row r="132">
          <cell r="A132" t="str">
            <v>TI00416</v>
          </cell>
          <cell r="B132" t="str">
            <v>Desenvolvimento de Melhorias do Sistema Part-APR</v>
          </cell>
          <cell r="C132" t="str">
            <v>TINV.15.D.042.PT</v>
          </cell>
          <cell r="D132">
            <v>0</v>
          </cell>
          <cell r="E132">
            <v>0</v>
          </cell>
          <cell r="F132">
            <v>0</v>
          </cell>
          <cell r="G132">
            <v>11</v>
          </cell>
          <cell r="H132">
            <v>0</v>
          </cell>
          <cell r="I132">
            <v>10.502650260925293</v>
          </cell>
          <cell r="J132">
            <v>0</v>
          </cell>
          <cell r="K132">
            <v>10.502650260925293</v>
          </cell>
          <cell r="L132">
            <v>0</v>
          </cell>
          <cell r="M132">
            <v>10.502650260925293</v>
          </cell>
          <cell r="N132">
            <v>0</v>
          </cell>
          <cell r="O132">
            <v>0</v>
          </cell>
          <cell r="P132">
            <v>0</v>
          </cell>
          <cell r="Q132">
            <v>0</v>
          </cell>
          <cell r="R132">
            <v>0</v>
          </cell>
          <cell r="S132">
            <v>0</v>
          </cell>
          <cell r="T132">
            <v>0</v>
          </cell>
          <cell r="U132">
            <v>0</v>
          </cell>
        </row>
        <row r="133">
          <cell r="A133" t="str">
            <v>TI00417</v>
          </cell>
          <cell r="B133" t="str">
            <v>Desenvolvimento do Sistema PIC</v>
          </cell>
          <cell r="C133" t="str">
            <v>TINV.17.D.042.PI</v>
          </cell>
          <cell r="D133">
            <v>0</v>
          </cell>
          <cell r="E133">
            <v>0</v>
          </cell>
          <cell r="F133">
            <v>0</v>
          </cell>
          <cell r="G133">
            <v>101</v>
          </cell>
          <cell r="H133">
            <v>0</v>
          </cell>
          <cell r="I133">
            <v>52.566009163856506</v>
          </cell>
          <cell r="J133">
            <v>0</v>
          </cell>
          <cell r="K133">
            <v>52.566009163856506</v>
          </cell>
          <cell r="L133">
            <v>0</v>
          </cell>
          <cell r="M133">
            <v>52.566009163856506</v>
          </cell>
          <cell r="N133">
            <v>0</v>
          </cell>
          <cell r="O133">
            <v>0</v>
          </cell>
          <cell r="P133">
            <v>0</v>
          </cell>
          <cell r="Q133">
            <v>0</v>
          </cell>
          <cell r="R133">
            <v>0</v>
          </cell>
          <cell r="S133">
            <v>0</v>
          </cell>
          <cell r="T133">
            <v>0</v>
          </cell>
          <cell r="U133">
            <v>0</v>
          </cell>
        </row>
        <row r="134">
          <cell r="A134" t="str">
            <v>TI00516</v>
          </cell>
          <cell r="B134" t="str">
            <v>Desenvolvimento de Portais e Mapas Geográficos</v>
          </cell>
          <cell r="C134" t="str">
            <v>TINV.16.D.042.MG</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row>
        <row r="135">
          <cell r="A135" t="str">
            <v>TI00517</v>
          </cell>
          <cell r="B135" t="str">
            <v>Construção de Framework de Desenvolvimento</v>
          </cell>
          <cell r="C135" t="str">
            <v>TINV.17.D.042.FR</v>
          </cell>
          <cell r="D135">
            <v>0</v>
          </cell>
          <cell r="E135">
            <v>0</v>
          </cell>
          <cell r="F135">
            <v>0</v>
          </cell>
          <cell r="G135">
            <v>122</v>
          </cell>
          <cell r="H135">
            <v>0</v>
          </cell>
          <cell r="I135">
            <v>64.575159072875977</v>
          </cell>
          <cell r="J135">
            <v>0</v>
          </cell>
          <cell r="K135">
            <v>64.575159072875977</v>
          </cell>
          <cell r="L135">
            <v>0</v>
          </cell>
          <cell r="M135">
            <v>64.575159072875977</v>
          </cell>
          <cell r="N135">
            <v>0</v>
          </cell>
          <cell r="O135">
            <v>0</v>
          </cell>
          <cell r="P135">
            <v>0</v>
          </cell>
          <cell r="Q135">
            <v>0</v>
          </cell>
          <cell r="R135">
            <v>0</v>
          </cell>
          <cell r="S135">
            <v>0</v>
          </cell>
          <cell r="T135">
            <v>0</v>
          </cell>
          <cell r="U135">
            <v>0</v>
          </cell>
        </row>
        <row r="136">
          <cell r="A136" t="str">
            <v>TI00617</v>
          </cell>
          <cell r="B136" t="str">
            <v>Expansão AGV</v>
          </cell>
          <cell r="C136" t="str">
            <v>TINV.17.D.042.AG</v>
          </cell>
          <cell r="D136">
            <v>0</v>
          </cell>
          <cell r="E136">
            <v>0</v>
          </cell>
          <cell r="F136">
            <v>0</v>
          </cell>
          <cell r="G136">
            <v>440</v>
          </cell>
          <cell r="H136">
            <v>0</v>
          </cell>
          <cell r="I136">
            <v>97.9273681640625</v>
          </cell>
          <cell r="J136">
            <v>0</v>
          </cell>
          <cell r="K136">
            <v>97.9273681640625</v>
          </cell>
          <cell r="L136">
            <v>340.23382568359375</v>
          </cell>
          <cell r="M136">
            <v>438.16119384765625</v>
          </cell>
          <cell r="N136">
            <v>0</v>
          </cell>
          <cell r="O136">
            <v>0</v>
          </cell>
          <cell r="P136">
            <v>0</v>
          </cell>
          <cell r="Q136">
            <v>0</v>
          </cell>
          <cell r="R136">
            <v>0</v>
          </cell>
          <cell r="S136">
            <v>0</v>
          </cell>
          <cell r="T136">
            <v>0</v>
          </cell>
          <cell r="U136">
            <v>0</v>
          </cell>
        </row>
        <row r="137">
          <cell r="A137" t="str">
            <v>TI00716</v>
          </cell>
          <cell r="B137" t="str">
            <v>Licenciamento Antivirus</v>
          </cell>
          <cell r="C137" t="str">
            <v>TINV.16.D.045.SY</v>
          </cell>
          <cell r="D137">
            <v>0</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row>
        <row r="138">
          <cell r="A138" t="str">
            <v>TI00818</v>
          </cell>
          <cell r="B138" t="str">
            <v>Gateway de Acesso à Internet e Acesso a Email</v>
          </cell>
          <cell r="C138" t="str">
            <v>TINV.18.D.054.GW</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row>
        <row r="139">
          <cell r="A139" t="str">
            <v>TI00914</v>
          </cell>
          <cell r="B139" t="str">
            <v>Evolução e Sustentação Sap</v>
          </cell>
          <cell r="C139" t="str">
            <v>TINV.14.D.042.ES</v>
          </cell>
          <cell r="D139">
            <v>0</v>
          </cell>
          <cell r="E139">
            <v>0</v>
          </cell>
          <cell r="F139">
            <v>0</v>
          </cell>
          <cell r="G139">
            <v>1</v>
          </cell>
          <cell r="H139">
            <v>0</v>
          </cell>
          <cell r="I139">
            <v>0.70901525020599365</v>
          </cell>
          <cell r="J139">
            <v>0</v>
          </cell>
          <cell r="K139">
            <v>0.70901525020599365</v>
          </cell>
          <cell r="L139">
            <v>0</v>
          </cell>
          <cell r="M139">
            <v>0.70901525020599365</v>
          </cell>
          <cell r="N139">
            <v>0</v>
          </cell>
          <cell r="O139">
            <v>0</v>
          </cell>
          <cell r="P139">
            <v>0</v>
          </cell>
          <cell r="Q139">
            <v>0</v>
          </cell>
          <cell r="R139">
            <v>0</v>
          </cell>
          <cell r="S139">
            <v>0</v>
          </cell>
          <cell r="T139">
            <v>0</v>
          </cell>
          <cell r="U139">
            <v>0</v>
          </cell>
        </row>
        <row r="140">
          <cell r="A140" t="str">
            <v>TI00918</v>
          </cell>
          <cell r="B140" t="str">
            <v>Proteção Gateway Exchange</v>
          </cell>
          <cell r="C140" t="str">
            <v>TINV.18.D.054.EX</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row>
        <row r="141">
          <cell r="A141" t="str">
            <v>TI01016</v>
          </cell>
          <cell r="B141" t="str">
            <v>Modernização do Sistema de Aquisição de Dados e Monitoramento do COD e aquisição de EMS</v>
          </cell>
          <cell r="C141" t="str">
            <v>TINV.16.D.042.SC</v>
          </cell>
          <cell r="D141">
            <v>0</v>
          </cell>
          <cell r="E141">
            <v>0</v>
          </cell>
          <cell r="F141">
            <v>0</v>
          </cell>
          <cell r="G141">
            <v>2954</v>
          </cell>
          <cell r="H141">
            <v>0</v>
          </cell>
          <cell r="I141">
            <v>66.024219512939453</v>
          </cell>
          <cell r="J141">
            <v>0</v>
          </cell>
          <cell r="K141">
            <v>66.024219512939453</v>
          </cell>
          <cell r="L141">
            <v>0</v>
          </cell>
          <cell r="M141">
            <v>66.024219512939453</v>
          </cell>
          <cell r="N141">
            <v>0</v>
          </cell>
          <cell r="O141">
            <v>0</v>
          </cell>
          <cell r="P141">
            <v>0</v>
          </cell>
          <cell r="Q141">
            <v>0</v>
          </cell>
          <cell r="R141">
            <v>0</v>
          </cell>
          <cell r="S141">
            <v>0</v>
          </cell>
          <cell r="T141">
            <v>0</v>
          </cell>
          <cell r="U141">
            <v>0</v>
          </cell>
        </row>
        <row r="142">
          <cell r="A142" t="str">
            <v>TI01018</v>
          </cell>
          <cell r="B142" t="str">
            <v>Solução de APT</v>
          </cell>
          <cell r="C142" t="str">
            <v>TINV.18.D.054.AP</v>
          </cell>
          <cell r="D142">
            <v>0</v>
          </cell>
          <cell r="E142">
            <v>0</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row>
        <row r="143">
          <cell r="A143" t="str">
            <v>TI01118</v>
          </cell>
          <cell r="B143" t="str">
            <v>Aquisição de Produtos e Serviços de Segurança da Informação</v>
          </cell>
          <cell r="C143" t="str">
            <v>TINV.18.D.054.SO</v>
          </cell>
          <cell r="D143">
            <v>0</v>
          </cell>
          <cell r="E143">
            <v>0</v>
          </cell>
          <cell r="F143">
            <v>0</v>
          </cell>
          <cell r="G143">
            <v>1606</v>
          </cell>
          <cell r="H143">
            <v>0</v>
          </cell>
          <cell r="I143">
            <v>1236.459716796875</v>
          </cell>
          <cell r="J143">
            <v>0</v>
          </cell>
          <cell r="K143">
            <v>1236.459716796875</v>
          </cell>
          <cell r="L143">
            <v>0</v>
          </cell>
          <cell r="M143">
            <v>1236.459716796875</v>
          </cell>
          <cell r="N143">
            <v>0</v>
          </cell>
          <cell r="O143">
            <v>0</v>
          </cell>
          <cell r="P143">
            <v>0</v>
          </cell>
          <cell r="Q143">
            <v>0</v>
          </cell>
          <cell r="R143">
            <v>0</v>
          </cell>
          <cell r="S143">
            <v>0</v>
          </cell>
          <cell r="T143">
            <v>0</v>
          </cell>
          <cell r="U143">
            <v>0</v>
          </cell>
        </row>
        <row r="144">
          <cell r="A144" t="str">
            <v>TI01213</v>
          </cell>
          <cell r="B144" t="str">
            <v xml:space="preserve">Edifício Aureliano Chaves - Infraestrutura de Conectividade de Rede, Wireless e Segurança </v>
          </cell>
          <cell r="C144" t="str">
            <v>TINV.13.D.045.AC</v>
          </cell>
          <cell r="D144">
            <v>0</v>
          </cell>
          <cell r="E144">
            <v>0</v>
          </cell>
          <cell r="F144">
            <v>0</v>
          </cell>
          <cell r="G144">
            <v>0</v>
          </cell>
          <cell r="H144">
            <v>0</v>
          </cell>
          <cell r="I144">
            <v>-0.51274001598358154</v>
          </cell>
          <cell r="J144">
            <v>0</v>
          </cell>
          <cell r="K144">
            <v>-0.51274001598358154</v>
          </cell>
          <cell r="L144">
            <v>0</v>
          </cell>
          <cell r="M144">
            <v>-0.51274001598358154</v>
          </cell>
          <cell r="N144">
            <v>0</v>
          </cell>
          <cell r="O144">
            <v>0</v>
          </cell>
          <cell r="P144">
            <v>0</v>
          </cell>
          <cell r="Q144">
            <v>0</v>
          </cell>
          <cell r="R144">
            <v>0</v>
          </cell>
          <cell r="S144">
            <v>0</v>
          </cell>
          <cell r="T144">
            <v>0</v>
          </cell>
          <cell r="U144">
            <v>0</v>
          </cell>
        </row>
        <row r="145">
          <cell r="A145" t="str">
            <v>TI01218</v>
          </cell>
          <cell r="B145" t="str">
            <v>Softwares de gerência de rede Cisco</v>
          </cell>
          <cell r="C145" t="str">
            <v>TINV.18.D.054.GR</v>
          </cell>
          <cell r="D145">
            <v>0</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row>
        <row r="146">
          <cell r="A146" t="str">
            <v>TI01317</v>
          </cell>
          <cell r="B146" t="str">
            <v>Portal Geográfico de Meteorologia</v>
          </cell>
          <cell r="C146" t="str">
            <v>TINV.17.D.042.PG</v>
          </cell>
          <cell r="D146">
            <v>0</v>
          </cell>
          <cell r="E146">
            <v>0</v>
          </cell>
          <cell r="F146">
            <v>0</v>
          </cell>
          <cell r="G146">
            <v>217</v>
          </cell>
          <cell r="H146">
            <v>0</v>
          </cell>
          <cell r="I146">
            <v>114.65245056152344</v>
          </cell>
          <cell r="J146">
            <v>0</v>
          </cell>
          <cell r="K146">
            <v>114.65245056152344</v>
          </cell>
          <cell r="L146">
            <v>0</v>
          </cell>
          <cell r="M146">
            <v>114.65245056152344</v>
          </cell>
          <cell r="N146">
            <v>0</v>
          </cell>
          <cell r="O146">
            <v>0</v>
          </cell>
          <cell r="P146">
            <v>0</v>
          </cell>
          <cell r="Q146">
            <v>0</v>
          </cell>
          <cell r="R146">
            <v>0</v>
          </cell>
          <cell r="S146">
            <v>0</v>
          </cell>
          <cell r="T146">
            <v>0</v>
          </cell>
          <cell r="U146">
            <v>0</v>
          </cell>
        </row>
        <row r="147">
          <cell r="A147" t="str">
            <v>TI01418</v>
          </cell>
          <cell r="B147" t="str">
            <v>Planejamento Macroprojeto 3-4-5</v>
          </cell>
          <cell r="C147" t="str">
            <v>TINV.18.D.042.PP</v>
          </cell>
          <cell r="D147">
            <v>67924</v>
          </cell>
          <cell r="E147">
            <v>0</v>
          </cell>
          <cell r="F147">
            <v>54226</v>
          </cell>
          <cell r="G147">
            <v>0</v>
          </cell>
          <cell r="H147">
            <v>7110</v>
          </cell>
          <cell r="I147">
            <v>0</v>
          </cell>
          <cell r="J147">
            <v>0</v>
          </cell>
          <cell r="K147">
            <v>0</v>
          </cell>
          <cell r="L147">
            <v>0</v>
          </cell>
          <cell r="M147">
            <v>0</v>
          </cell>
          <cell r="N147">
            <v>6867</v>
          </cell>
          <cell r="O147">
            <v>3690</v>
          </cell>
          <cell r="P147">
            <v>3141</v>
          </cell>
          <cell r="Q147">
            <v>0</v>
          </cell>
          <cell r="R147">
            <v>0</v>
          </cell>
          <cell r="S147">
            <v>0</v>
          </cell>
          <cell r="T147">
            <v>0</v>
          </cell>
          <cell r="U147">
            <v>0</v>
          </cell>
        </row>
        <row r="148">
          <cell r="A148" t="str">
            <v>TI01616</v>
          </cell>
          <cell r="B148" t="str">
            <v>Desenvolvimento Sistema Volt</v>
          </cell>
          <cell r="C148" t="str">
            <v>TINV.16.D.042.VL</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row>
        <row r="149">
          <cell r="A149" t="str">
            <v>TI01715</v>
          </cell>
          <cell r="B149" t="str">
            <v>Sustentação e Evolução G-DIS</v>
          </cell>
          <cell r="C149" t="str">
            <v>TINV.15.D.042.GS</v>
          </cell>
          <cell r="D149">
            <v>0</v>
          </cell>
          <cell r="E149">
            <v>0</v>
          </cell>
          <cell r="F149">
            <v>0</v>
          </cell>
          <cell r="G149">
            <v>5268</v>
          </cell>
          <cell r="H149">
            <v>0</v>
          </cell>
          <cell r="I149">
            <v>2860.1967809200287</v>
          </cell>
          <cell r="J149">
            <v>0</v>
          </cell>
          <cell r="K149">
            <v>2860.1967809200287</v>
          </cell>
          <cell r="L149">
            <v>0</v>
          </cell>
          <cell r="M149">
            <v>2860.1967809200287</v>
          </cell>
          <cell r="N149">
            <v>0</v>
          </cell>
          <cell r="O149">
            <v>0</v>
          </cell>
          <cell r="P149">
            <v>0</v>
          </cell>
          <cell r="Q149">
            <v>0</v>
          </cell>
          <cell r="R149">
            <v>0</v>
          </cell>
          <cell r="S149">
            <v>0</v>
          </cell>
          <cell r="T149">
            <v>0</v>
          </cell>
          <cell r="U149">
            <v>0</v>
          </cell>
        </row>
        <row r="150">
          <cell r="A150" t="str">
            <v>TI01813</v>
          </cell>
          <cell r="B150" t="str">
            <v>Projeto de implantação do e-social # SIS</v>
          </cell>
          <cell r="C150" t="str">
            <v>TINV.14.D.042.SO</v>
          </cell>
          <cell r="D150">
            <v>0</v>
          </cell>
          <cell r="E150">
            <v>0</v>
          </cell>
          <cell r="F150">
            <v>0</v>
          </cell>
          <cell r="G150">
            <v>684</v>
          </cell>
          <cell r="H150">
            <v>0</v>
          </cell>
          <cell r="I150">
            <v>58.525352478027344</v>
          </cell>
          <cell r="J150">
            <v>0</v>
          </cell>
          <cell r="K150">
            <v>58.525352478027344</v>
          </cell>
          <cell r="L150">
            <v>0</v>
          </cell>
          <cell r="M150">
            <v>58.525352478027344</v>
          </cell>
          <cell r="N150">
            <v>0</v>
          </cell>
          <cell r="O150">
            <v>0</v>
          </cell>
          <cell r="P150">
            <v>0</v>
          </cell>
          <cell r="Q150">
            <v>0</v>
          </cell>
          <cell r="R150">
            <v>0</v>
          </cell>
          <cell r="S150">
            <v>0</v>
          </cell>
          <cell r="T150">
            <v>0</v>
          </cell>
          <cell r="U150">
            <v>0</v>
          </cell>
        </row>
        <row r="151">
          <cell r="A151" t="str">
            <v>TI02115</v>
          </cell>
          <cell r="B151" t="str">
            <v>Projeto Atlantis - Nova versão dos módulos GDIS CP</v>
          </cell>
          <cell r="C151" t="str">
            <v>TINV.15.D.042.AT</v>
          </cell>
          <cell r="D151">
            <v>0</v>
          </cell>
          <cell r="E151">
            <v>0</v>
          </cell>
          <cell r="F151">
            <v>0</v>
          </cell>
          <cell r="G151">
            <v>163</v>
          </cell>
          <cell r="H151">
            <v>0</v>
          </cell>
          <cell r="I151">
            <v>160.23846435546875</v>
          </cell>
          <cell r="J151">
            <v>0</v>
          </cell>
          <cell r="K151">
            <v>160.23846435546875</v>
          </cell>
          <cell r="L151">
            <v>1.0393099784851074</v>
          </cell>
          <cell r="M151">
            <v>161.27777433395386</v>
          </cell>
          <cell r="N151">
            <v>0</v>
          </cell>
          <cell r="O151">
            <v>0</v>
          </cell>
          <cell r="P151">
            <v>0</v>
          </cell>
          <cell r="Q151">
            <v>0</v>
          </cell>
          <cell r="R151">
            <v>0</v>
          </cell>
          <cell r="S151">
            <v>0</v>
          </cell>
          <cell r="T151">
            <v>0</v>
          </cell>
          <cell r="U151">
            <v>0</v>
          </cell>
        </row>
        <row r="152">
          <cell r="A152" t="str">
            <v>TI02217</v>
          </cell>
          <cell r="B152" t="str">
            <v>Desenvolvimento GEDEX</v>
          </cell>
          <cell r="C152" t="str">
            <v>TINV.17.D.042.GX</v>
          </cell>
          <cell r="D152">
            <v>0</v>
          </cell>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row>
        <row r="153">
          <cell r="A153" t="str">
            <v>TI02316</v>
          </cell>
          <cell r="B153" t="str">
            <v xml:space="preserve">Desenvolvimento do Sistema de Gestão de Fornecedores (SGF) </v>
          </cell>
          <cell r="C153" t="str">
            <v>TINV.16.D.042.SG</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row>
        <row r="154">
          <cell r="A154" t="str">
            <v>TI02318</v>
          </cell>
          <cell r="B154" t="str">
            <v>Portal Geográfico Cemig - GeoPortal</v>
          </cell>
          <cell r="C154" t="str">
            <v>TINV.18.D.042.GP</v>
          </cell>
          <cell r="D154">
            <v>0</v>
          </cell>
          <cell r="E154">
            <v>0</v>
          </cell>
          <cell r="F154">
            <v>0</v>
          </cell>
          <cell r="G154">
            <v>300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row>
        <row r="155">
          <cell r="A155" t="str">
            <v>TI02416</v>
          </cell>
          <cell r="B155" t="str">
            <v>Sistema de Inteligência de Negócios da Engenharia de Operação - SINEOP</v>
          </cell>
          <cell r="C155" t="str">
            <v>TINV.16.D.042.SI</v>
          </cell>
          <cell r="D155">
            <v>0</v>
          </cell>
          <cell r="E155">
            <v>0</v>
          </cell>
          <cell r="F155">
            <v>0</v>
          </cell>
          <cell r="G155">
            <v>373</v>
          </cell>
          <cell r="H155">
            <v>0</v>
          </cell>
          <cell r="I155">
            <v>42.032360076904297</v>
          </cell>
          <cell r="J155">
            <v>0</v>
          </cell>
          <cell r="K155">
            <v>42.032360076904297</v>
          </cell>
          <cell r="L155">
            <v>176.40750122070312</v>
          </cell>
          <cell r="M155">
            <v>218.43986129760742</v>
          </cell>
          <cell r="N155">
            <v>0</v>
          </cell>
          <cell r="O155">
            <v>0</v>
          </cell>
          <cell r="P155">
            <v>0</v>
          </cell>
          <cell r="Q155">
            <v>0</v>
          </cell>
          <cell r="R155">
            <v>0</v>
          </cell>
          <cell r="S155">
            <v>0</v>
          </cell>
          <cell r="T155">
            <v>0</v>
          </cell>
          <cell r="U155">
            <v>0</v>
          </cell>
        </row>
        <row r="156">
          <cell r="A156" t="str">
            <v>TI02418</v>
          </cell>
          <cell r="B156" t="str">
            <v>Licenciamento SAS</v>
          </cell>
          <cell r="C156" t="str">
            <v>TINV.18.D.042.SA</v>
          </cell>
          <cell r="D156">
            <v>0</v>
          </cell>
          <cell r="E156">
            <v>0</v>
          </cell>
          <cell r="F156">
            <v>0</v>
          </cell>
          <cell r="G156">
            <v>693</v>
          </cell>
          <cell r="H156">
            <v>0</v>
          </cell>
          <cell r="I156">
            <v>0</v>
          </cell>
          <cell r="J156">
            <v>0</v>
          </cell>
          <cell r="K156">
            <v>0</v>
          </cell>
          <cell r="L156">
            <v>693.4403076171875</v>
          </cell>
          <cell r="M156">
            <v>693.4403076171875</v>
          </cell>
          <cell r="N156">
            <v>0</v>
          </cell>
          <cell r="O156">
            <v>0</v>
          </cell>
          <cell r="P156">
            <v>0</v>
          </cell>
          <cell r="Q156">
            <v>0</v>
          </cell>
          <cell r="R156">
            <v>0</v>
          </cell>
          <cell r="S156">
            <v>0</v>
          </cell>
          <cell r="T156">
            <v>0</v>
          </cell>
          <cell r="U156">
            <v>0</v>
          </cell>
        </row>
        <row r="157">
          <cell r="A157" t="str">
            <v>TI02515</v>
          </cell>
          <cell r="B157" t="str">
            <v>Evolução PEC</v>
          </cell>
          <cell r="C157" t="str">
            <v>TINV.15.D.042.PE</v>
          </cell>
          <cell r="D157">
            <v>0</v>
          </cell>
          <cell r="E157">
            <v>0</v>
          </cell>
          <cell r="F157">
            <v>0</v>
          </cell>
          <cell r="G157">
            <v>350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row>
        <row r="158">
          <cell r="A158" t="str">
            <v>TI02516</v>
          </cell>
          <cell r="B158" t="str">
            <v>Versionamento GeoÁrvores - Adequação e Integração ao G-DIS MN e Atlântis</v>
          </cell>
          <cell r="C158" t="str">
            <v>TINV.16.D.042.GA</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row>
        <row r="159">
          <cell r="A159" t="str">
            <v>TI02616</v>
          </cell>
          <cell r="B159" t="str">
            <v>Sistema de Gestão de Serviços Corporativos em BPMS</v>
          </cell>
          <cell r="C159" t="str">
            <v>TINV.16.D.042.CS</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row>
        <row r="160">
          <cell r="A160" t="str">
            <v>TI02618</v>
          </cell>
          <cell r="B160" t="str">
            <v>Equipamentos e Softwares da Rede de Dados Cisco IE-3000-8TC-E</v>
          </cell>
          <cell r="C160" t="str">
            <v>TINV.18.D.054.RD</v>
          </cell>
          <cell r="D160">
            <v>0</v>
          </cell>
          <cell r="E160">
            <v>0</v>
          </cell>
          <cell r="F160">
            <v>0</v>
          </cell>
          <cell r="G160">
            <v>1080</v>
          </cell>
          <cell r="H160">
            <v>0</v>
          </cell>
          <cell r="I160">
            <v>0</v>
          </cell>
          <cell r="J160">
            <v>0</v>
          </cell>
          <cell r="K160">
            <v>0</v>
          </cell>
          <cell r="L160">
            <v>1080</v>
          </cell>
          <cell r="M160">
            <v>1080</v>
          </cell>
          <cell r="N160">
            <v>0</v>
          </cell>
          <cell r="O160">
            <v>0</v>
          </cell>
          <cell r="P160">
            <v>0</v>
          </cell>
          <cell r="Q160">
            <v>0</v>
          </cell>
          <cell r="R160">
            <v>0</v>
          </cell>
          <cell r="S160">
            <v>0</v>
          </cell>
          <cell r="T160">
            <v>0</v>
          </cell>
          <cell r="U160">
            <v>0</v>
          </cell>
        </row>
        <row r="161">
          <cell r="A161" t="str">
            <v>TI02718</v>
          </cell>
          <cell r="B161" t="str">
            <v>Solução para proteção da rede Cemig contra ataques pela internet.</v>
          </cell>
          <cell r="C161" t="str">
            <v>TINV.18.D.054.IP</v>
          </cell>
          <cell r="D161">
            <v>0</v>
          </cell>
          <cell r="E161">
            <v>0</v>
          </cell>
          <cell r="F161">
            <v>0</v>
          </cell>
          <cell r="G161">
            <v>2841</v>
          </cell>
          <cell r="H161">
            <v>0</v>
          </cell>
          <cell r="I161">
            <v>0</v>
          </cell>
          <cell r="J161">
            <v>0</v>
          </cell>
          <cell r="K161">
            <v>0</v>
          </cell>
          <cell r="L161">
            <v>2841</v>
          </cell>
          <cell r="M161">
            <v>2841</v>
          </cell>
          <cell r="N161">
            <v>0</v>
          </cell>
          <cell r="O161">
            <v>0</v>
          </cell>
          <cell r="P161">
            <v>0</v>
          </cell>
          <cell r="Q161">
            <v>0</v>
          </cell>
          <cell r="R161">
            <v>0</v>
          </cell>
          <cell r="S161">
            <v>0</v>
          </cell>
          <cell r="T161">
            <v>0</v>
          </cell>
          <cell r="U161">
            <v>0</v>
          </cell>
        </row>
        <row r="162">
          <cell r="A162" t="str">
            <v>TI02817</v>
          </cell>
          <cell r="B162" t="str">
            <v>Análise e Desenvolvimento Sistema Retrocálculo</v>
          </cell>
          <cell r="C162" t="str">
            <v>TINV.17.D.042.RT</v>
          </cell>
          <cell r="D162">
            <v>0</v>
          </cell>
          <cell r="E162">
            <v>0</v>
          </cell>
          <cell r="F162">
            <v>0</v>
          </cell>
          <cell r="G162">
            <v>600</v>
          </cell>
          <cell r="H162">
            <v>0</v>
          </cell>
          <cell r="I162">
            <v>599.97772216796875</v>
          </cell>
          <cell r="J162">
            <v>0</v>
          </cell>
          <cell r="K162">
            <v>599.97772216796875</v>
          </cell>
          <cell r="L162">
            <v>0</v>
          </cell>
          <cell r="M162">
            <v>599.97772216796875</v>
          </cell>
          <cell r="N162">
            <v>0</v>
          </cell>
          <cell r="O162">
            <v>0</v>
          </cell>
          <cell r="P162">
            <v>0</v>
          </cell>
          <cell r="Q162">
            <v>0</v>
          </cell>
          <cell r="R162">
            <v>0</v>
          </cell>
          <cell r="S162">
            <v>0</v>
          </cell>
          <cell r="T162">
            <v>0</v>
          </cell>
          <cell r="U162">
            <v>0</v>
          </cell>
        </row>
        <row r="163">
          <cell r="A163" t="str">
            <v>TI03015</v>
          </cell>
          <cell r="B163" t="str">
            <v>Barramento de Serviços G-DIS</v>
          </cell>
          <cell r="C163" t="str">
            <v>TINV.15.D.042.BR</v>
          </cell>
          <cell r="D163">
            <v>0</v>
          </cell>
          <cell r="E163">
            <v>0</v>
          </cell>
          <cell r="F163">
            <v>0</v>
          </cell>
          <cell r="G163">
            <v>52</v>
          </cell>
          <cell r="H163">
            <v>0</v>
          </cell>
          <cell r="I163">
            <v>52.127998352050781</v>
          </cell>
          <cell r="J163">
            <v>0</v>
          </cell>
          <cell r="K163">
            <v>52.127998352050781</v>
          </cell>
          <cell r="L163">
            <v>0</v>
          </cell>
          <cell r="M163">
            <v>52.127998352050781</v>
          </cell>
          <cell r="N163">
            <v>0</v>
          </cell>
          <cell r="O163">
            <v>0</v>
          </cell>
          <cell r="P163">
            <v>0</v>
          </cell>
          <cell r="Q163">
            <v>0</v>
          </cell>
          <cell r="R163">
            <v>0</v>
          </cell>
          <cell r="S163">
            <v>0</v>
          </cell>
          <cell r="T163">
            <v>0</v>
          </cell>
          <cell r="U163">
            <v>0</v>
          </cell>
        </row>
        <row r="164">
          <cell r="A164" t="str">
            <v>TI03117</v>
          </cell>
          <cell r="B164" t="str">
            <v>Desenvolvimento do Barramento Comercial</v>
          </cell>
          <cell r="C164" t="str">
            <v>TINV.17.D.042.BC</v>
          </cell>
          <cell r="D164">
            <v>0</v>
          </cell>
          <cell r="E164">
            <v>0</v>
          </cell>
          <cell r="F164">
            <v>0</v>
          </cell>
          <cell r="G164">
            <v>216</v>
          </cell>
          <cell r="H164">
            <v>0</v>
          </cell>
          <cell r="I164">
            <v>11.423999786376953</v>
          </cell>
          <cell r="J164">
            <v>0</v>
          </cell>
          <cell r="K164">
            <v>11.423999786376953</v>
          </cell>
          <cell r="L164">
            <v>204.57600402832031</v>
          </cell>
          <cell r="M164">
            <v>216.00000381469727</v>
          </cell>
          <cell r="N164">
            <v>0</v>
          </cell>
          <cell r="O164">
            <v>0</v>
          </cell>
          <cell r="P164">
            <v>0</v>
          </cell>
          <cell r="Q164">
            <v>0</v>
          </cell>
          <cell r="R164">
            <v>0</v>
          </cell>
          <cell r="S164">
            <v>0</v>
          </cell>
          <cell r="T164">
            <v>0</v>
          </cell>
          <cell r="U164">
            <v>0</v>
          </cell>
        </row>
        <row r="165">
          <cell r="A165" t="str">
            <v>TI03217</v>
          </cell>
          <cell r="B165" t="str">
            <v>Evolução e Sustentação Sap</v>
          </cell>
          <cell r="C165" t="str">
            <v>TINV.17.D.042.ES</v>
          </cell>
          <cell r="D165">
            <v>0</v>
          </cell>
          <cell r="E165">
            <v>0</v>
          </cell>
          <cell r="F165">
            <v>0</v>
          </cell>
          <cell r="G165">
            <v>1500</v>
          </cell>
          <cell r="H165">
            <v>0</v>
          </cell>
          <cell r="I165">
            <v>0</v>
          </cell>
          <cell r="J165">
            <v>0</v>
          </cell>
          <cell r="K165">
            <v>0</v>
          </cell>
          <cell r="L165">
            <v>1496.0580673217773</v>
          </cell>
          <cell r="M165">
            <v>1496.0580673217773</v>
          </cell>
          <cell r="N165">
            <v>0</v>
          </cell>
          <cell r="O165">
            <v>0</v>
          </cell>
          <cell r="P165">
            <v>0</v>
          </cell>
          <cell r="Q165">
            <v>0</v>
          </cell>
          <cell r="R165">
            <v>0</v>
          </cell>
          <cell r="S165">
            <v>0</v>
          </cell>
          <cell r="T165">
            <v>0</v>
          </cell>
          <cell r="U165">
            <v>0</v>
          </cell>
        </row>
        <row r="166">
          <cell r="A166" t="str">
            <v>TI03317</v>
          </cell>
          <cell r="B166" t="str">
            <v>Novo Sistema de Controle de Documentos Regulatórios</v>
          </cell>
          <cell r="C166" t="str">
            <v>TINV.17.D.042.DR</v>
          </cell>
          <cell r="D166">
            <v>0</v>
          </cell>
          <cell r="E166">
            <v>0</v>
          </cell>
          <cell r="F166">
            <v>0</v>
          </cell>
          <cell r="G166">
            <v>45</v>
          </cell>
          <cell r="H166">
            <v>0</v>
          </cell>
          <cell r="I166">
            <v>44.575801849365234</v>
          </cell>
          <cell r="J166">
            <v>0</v>
          </cell>
          <cell r="K166">
            <v>44.575801849365234</v>
          </cell>
          <cell r="L166">
            <v>0</v>
          </cell>
          <cell r="M166">
            <v>44.575801849365234</v>
          </cell>
          <cell r="N166">
            <v>0</v>
          </cell>
          <cell r="O166">
            <v>0</v>
          </cell>
          <cell r="P166">
            <v>0</v>
          </cell>
          <cell r="Q166">
            <v>0</v>
          </cell>
          <cell r="R166">
            <v>0</v>
          </cell>
          <cell r="S166">
            <v>0</v>
          </cell>
          <cell r="T166">
            <v>0</v>
          </cell>
          <cell r="U166">
            <v>0</v>
          </cell>
        </row>
        <row r="167">
          <cell r="A167" t="str">
            <v>TI03318</v>
          </cell>
          <cell r="B167" t="str">
            <v>Solução de Firewall Check Point</v>
          </cell>
          <cell r="C167" t="str">
            <v>TINV.18.D.054.FW</v>
          </cell>
          <cell r="D167">
            <v>0</v>
          </cell>
          <cell r="E167">
            <v>0</v>
          </cell>
          <cell r="F167">
            <v>0</v>
          </cell>
          <cell r="G167">
            <v>245</v>
          </cell>
          <cell r="H167">
            <v>0</v>
          </cell>
          <cell r="I167">
            <v>0</v>
          </cell>
          <cell r="J167">
            <v>0</v>
          </cell>
          <cell r="K167">
            <v>0</v>
          </cell>
          <cell r="L167">
            <v>244.84255981445312</v>
          </cell>
          <cell r="M167">
            <v>244.84255981445312</v>
          </cell>
          <cell r="N167">
            <v>0</v>
          </cell>
          <cell r="O167">
            <v>0</v>
          </cell>
          <cell r="P167">
            <v>0</v>
          </cell>
          <cell r="Q167">
            <v>0</v>
          </cell>
          <cell r="R167">
            <v>0</v>
          </cell>
          <cell r="S167">
            <v>0</v>
          </cell>
          <cell r="T167">
            <v>0</v>
          </cell>
          <cell r="U167">
            <v>0</v>
          </cell>
        </row>
        <row r="168">
          <cell r="A168" t="str">
            <v>TI03417</v>
          </cell>
          <cell r="B168" t="str">
            <v>Desenvolvimento Sistema SAM</v>
          </cell>
          <cell r="C168" t="str">
            <v>TINV.17.D.042.SS</v>
          </cell>
          <cell r="D168">
            <v>0</v>
          </cell>
          <cell r="E168">
            <v>0</v>
          </cell>
          <cell r="F168">
            <v>0</v>
          </cell>
          <cell r="G168">
            <v>814</v>
          </cell>
          <cell r="H168">
            <v>0</v>
          </cell>
          <cell r="I168">
            <v>813.67767333984375</v>
          </cell>
          <cell r="J168">
            <v>0</v>
          </cell>
          <cell r="K168">
            <v>813.67767333984375</v>
          </cell>
          <cell r="L168">
            <v>0</v>
          </cell>
          <cell r="M168">
            <v>813.67767333984375</v>
          </cell>
          <cell r="N168">
            <v>0</v>
          </cell>
          <cell r="O168">
            <v>0</v>
          </cell>
          <cell r="P168">
            <v>0</v>
          </cell>
          <cell r="Q168">
            <v>0</v>
          </cell>
          <cell r="R168">
            <v>0</v>
          </cell>
          <cell r="S168">
            <v>0</v>
          </cell>
          <cell r="T168">
            <v>0</v>
          </cell>
          <cell r="U168">
            <v>0</v>
          </cell>
        </row>
        <row r="169">
          <cell r="A169" t="str">
            <v>TI03517</v>
          </cell>
          <cell r="B169" t="str">
            <v>Evolução do Sistema de Gestão - Cemig Fácil</v>
          </cell>
          <cell r="C169" t="str">
            <v>TINV.17.D.042.CF</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row>
        <row r="170">
          <cell r="A170" t="str">
            <v>TI03617</v>
          </cell>
          <cell r="B170" t="str">
            <v>Desenvolvimento do Sistema de Recuperação de Perdas Comerciais</v>
          </cell>
          <cell r="C170" t="str">
            <v>TINV.17.D.042.RP</v>
          </cell>
          <cell r="D170">
            <v>0</v>
          </cell>
          <cell r="E170">
            <v>0</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row>
        <row r="171">
          <cell r="A171" t="str">
            <v>TI04117</v>
          </cell>
          <cell r="B171" t="str">
            <v>Aquisição de Solução EFD REINF</v>
          </cell>
          <cell r="C171" t="str">
            <v>TINV.17.D.042.RE</v>
          </cell>
          <cell r="D171">
            <v>0</v>
          </cell>
          <cell r="E171">
            <v>0</v>
          </cell>
          <cell r="F171">
            <v>0</v>
          </cell>
          <cell r="G171">
            <v>871</v>
          </cell>
          <cell r="H171">
            <v>0</v>
          </cell>
          <cell r="I171">
            <v>0</v>
          </cell>
          <cell r="J171">
            <v>0</v>
          </cell>
          <cell r="K171">
            <v>0</v>
          </cell>
          <cell r="L171">
            <v>384.39999389648437</v>
          </cell>
          <cell r="M171">
            <v>384.39999389648437</v>
          </cell>
          <cell r="N171">
            <v>0</v>
          </cell>
          <cell r="O171">
            <v>0</v>
          </cell>
          <cell r="P171">
            <v>0</v>
          </cell>
          <cell r="Q171">
            <v>0</v>
          </cell>
          <cell r="R171">
            <v>0</v>
          </cell>
          <cell r="S171">
            <v>0</v>
          </cell>
          <cell r="T171">
            <v>0</v>
          </cell>
          <cell r="U171">
            <v>0</v>
          </cell>
        </row>
        <row r="172">
          <cell r="A172" t="str">
            <v>TI04718</v>
          </cell>
          <cell r="B172" t="str">
            <v>Arquitetura GEO (LayerCast + OpenLayers Cemig)</v>
          </cell>
          <cell r="C172" t="str">
            <v>TINV.18.D.042.AG</v>
          </cell>
          <cell r="D172">
            <v>0</v>
          </cell>
          <cell r="E172">
            <v>0</v>
          </cell>
          <cell r="F172">
            <v>0</v>
          </cell>
          <cell r="G172">
            <v>141</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row>
        <row r="173">
          <cell r="A173" t="str">
            <v>AM</v>
          </cell>
          <cell r="B173" t="str">
            <v xml:space="preserve">Atual. Moeda - Veículos </v>
          </cell>
          <cell r="C173" t="str">
            <v>-</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row>
        <row r="174">
          <cell r="A174" t="str">
            <v>CI</v>
          </cell>
          <cell r="B174" t="str">
            <v>Captura de Investimentos</v>
          </cell>
          <cell r="C174" t="str">
            <v>-</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row>
        <row r="175">
          <cell r="A175" t="str">
            <v>GE00318</v>
          </cell>
          <cell r="B175" t="str">
            <v>Planejamento Macroprojeto 3-4-6</v>
          </cell>
          <cell r="C175" t="str">
            <v>INFR.346.00318</v>
          </cell>
          <cell r="D175">
            <v>3182</v>
          </cell>
          <cell r="E175">
            <v>0</v>
          </cell>
          <cell r="F175">
            <v>3182</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row>
        <row r="176">
          <cell r="A176" t="str">
            <v>MD00218</v>
          </cell>
          <cell r="B176" t="str">
            <v>Aquisição de Equipamentos para Trabalhos em Linha Viva 138kV</v>
          </cell>
          <cell r="C176" t="str">
            <v>INFR.346.01218</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row>
        <row r="177">
          <cell r="A177" t="str">
            <v>MD00318</v>
          </cell>
          <cell r="B177" t="str">
            <v>Aquisição de cesto aéreo acoplado com braço suplementar isolado 138kV</v>
          </cell>
          <cell r="C177" t="str">
            <v>INFR.346.01318</v>
          </cell>
          <cell r="D177">
            <v>0</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row>
        <row r="178">
          <cell r="A178" t="str">
            <v>NA</v>
          </cell>
          <cell r="B178" t="str">
            <v>Laudos a Serem Apresentados</v>
          </cell>
          <cell r="C178" t="str">
            <v>-</v>
          </cell>
          <cell r="D178">
            <v>5366</v>
          </cell>
          <cell r="E178">
            <v>0</v>
          </cell>
          <cell r="F178">
            <v>0</v>
          </cell>
          <cell r="G178">
            <v>0</v>
          </cell>
          <cell r="H178">
            <v>0</v>
          </cell>
          <cell r="I178">
            <v>0</v>
          </cell>
          <cell r="J178">
            <v>0</v>
          </cell>
          <cell r="K178">
            <v>0</v>
          </cell>
          <cell r="L178">
            <v>0</v>
          </cell>
          <cell r="M178">
            <v>0</v>
          </cell>
          <cell r="N178">
            <v>1864</v>
          </cell>
          <cell r="O178">
            <v>2982</v>
          </cell>
          <cell r="P178">
            <v>350</v>
          </cell>
          <cell r="Q178">
            <v>170</v>
          </cell>
          <cell r="R178">
            <v>0</v>
          </cell>
          <cell r="S178">
            <v>0</v>
          </cell>
          <cell r="T178">
            <v>0</v>
          </cell>
          <cell r="U178">
            <v>0</v>
          </cell>
        </row>
        <row r="179">
          <cell r="A179" t="str">
            <v>SR</v>
          </cell>
          <cell r="B179" t="str">
            <v>Saldo Residual</v>
          </cell>
          <cell r="C179" t="str">
            <v>-</v>
          </cell>
          <cell r="D179">
            <v>0</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row>
        <row r="180">
          <cell r="A180" t="str">
            <v>AM</v>
          </cell>
          <cell r="B180" t="str">
            <v xml:space="preserve">Atual. Moeda - Microinformática </v>
          </cell>
          <cell r="C180" t="str">
            <v>-</v>
          </cell>
          <cell r="D180">
            <v>0</v>
          </cell>
          <cell r="E180">
            <v>0</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row>
        <row r="181">
          <cell r="A181" t="str">
            <v>CI</v>
          </cell>
          <cell r="B181" t="str">
            <v>Captura de Investimentos</v>
          </cell>
          <cell r="C181" t="str">
            <v>-</v>
          </cell>
          <cell r="D181">
            <v>0</v>
          </cell>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row>
        <row r="182">
          <cell r="A182" t="str">
            <v>NA</v>
          </cell>
          <cell r="B182" t="str">
            <v>Modernização do Parque de Informática - Holding</v>
          </cell>
          <cell r="C182" t="str">
            <v>-</v>
          </cell>
          <cell r="D182">
            <v>625</v>
          </cell>
          <cell r="E182">
            <v>0</v>
          </cell>
          <cell r="F182">
            <v>0</v>
          </cell>
          <cell r="G182">
            <v>0</v>
          </cell>
          <cell r="H182">
            <v>0</v>
          </cell>
          <cell r="I182">
            <v>0</v>
          </cell>
          <cell r="J182">
            <v>0</v>
          </cell>
          <cell r="K182">
            <v>0</v>
          </cell>
          <cell r="L182">
            <v>0</v>
          </cell>
          <cell r="M182">
            <v>0</v>
          </cell>
          <cell r="N182">
            <v>75</v>
          </cell>
          <cell r="O182">
            <v>150</v>
          </cell>
          <cell r="P182">
            <v>150</v>
          </cell>
          <cell r="Q182">
            <v>250</v>
          </cell>
          <cell r="R182">
            <v>0</v>
          </cell>
          <cell r="S182">
            <v>0</v>
          </cell>
          <cell r="T182">
            <v>0</v>
          </cell>
          <cell r="U182">
            <v>0</v>
          </cell>
        </row>
        <row r="183">
          <cell r="A183" t="str">
            <v>SR</v>
          </cell>
          <cell r="B183" t="str">
            <v>Saldo Residual</v>
          </cell>
          <cell r="C183" t="str">
            <v>-</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row>
        <row r="184">
          <cell r="A184" t="str">
            <v>TI04018</v>
          </cell>
          <cell r="B184" t="str">
            <v>Planejamento Macroprojeto 4-1-2</v>
          </cell>
          <cell r="C184" t="str">
            <v>TINV.18.H.045.PP</v>
          </cell>
          <cell r="D184">
            <v>75</v>
          </cell>
          <cell r="E184">
            <v>0</v>
          </cell>
          <cell r="F184">
            <v>75</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row>
        <row r="185">
          <cell r="A185" t="str">
            <v>TI04518</v>
          </cell>
          <cell r="B185" t="str">
            <v>Modernização do Parque de Microinformática</v>
          </cell>
          <cell r="C185" t="str">
            <v>TINV.18.H.045.MP</v>
          </cell>
          <cell r="D185">
            <v>0</v>
          </cell>
          <cell r="E185">
            <v>0</v>
          </cell>
          <cell r="F185">
            <v>0</v>
          </cell>
          <cell r="G185">
            <v>75</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row>
        <row r="186">
          <cell r="A186" t="str">
            <v>AM</v>
          </cell>
          <cell r="B186" t="str">
            <v xml:space="preserve">Atual. Moeda - Sistema de Informática </v>
          </cell>
          <cell r="C186" t="str">
            <v>-</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row>
        <row r="187">
          <cell r="A187" t="str">
            <v>CI</v>
          </cell>
          <cell r="B187" t="str">
            <v>Captura de Investimentos</v>
          </cell>
          <cell r="C187" t="str">
            <v>-</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row>
        <row r="188">
          <cell r="A188" t="str">
            <v>NA</v>
          </cell>
          <cell r="B188" t="str">
            <v>Sistema de Informática</v>
          </cell>
          <cell r="C188" t="str">
            <v>-</v>
          </cell>
          <cell r="D188">
            <v>600</v>
          </cell>
          <cell r="E188">
            <v>0</v>
          </cell>
          <cell r="F188">
            <v>0</v>
          </cell>
          <cell r="G188">
            <v>0</v>
          </cell>
          <cell r="H188">
            <v>0</v>
          </cell>
          <cell r="I188">
            <v>0</v>
          </cell>
          <cell r="J188">
            <v>0</v>
          </cell>
          <cell r="K188">
            <v>0</v>
          </cell>
          <cell r="L188">
            <v>0</v>
          </cell>
          <cell r="M188">
            <v>0</v>
          </cell>
          <cell r="N188">
            <v>150</v>
          </cell>
          <cell r="O188">
            <v>150</v>
          </cell>
          <cell r="P188">
            <v>150</v>
          </cell>
          <cell r="Q188">
            <v>150</v>
          </cell>
          <cell r="R188">
            <v>0</v>
          </cell>
          <cell r="S188">
            <v>0</v>
          </cell>
          <cell r="T188">
            <v>0</v>
          </cell>
          <cell r="U188">
            <v>0</v>
          </cell>
        </row>
        <row r="189">
          <cell r="A189" t="str">
            <v>SR</v>
          </cell>
          <cell r="B189" t="str">
            <v>Saldo Residual</v>
          </cell>
          <cell r="C189" t="str">
            <v>-</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row>
        <row r="190">
          <cell r="A190" t="str">
            <v>TI01113</v>
          </cell>
          <cell r="B190" t="str">
            <v>Edifício Aureliano Chaves - Infraestrutura de Conectividade de Rede, Wireless e Segurança</v>
          </cell>
          <cell r="C190" t="str">
            <v>TINV.13.H.045.AC</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row>
        <row r="191">
          <cell r="A191" t="str">
            <v>TI01114</v>
          </cell>
          <cell r="B191" t="str">
            <v>Sistema de Gestão Jurídica para o Grupo Cemig</v>
          </cell>
          <cell r="C191" t="str">
            <v>TINV.14.H.042.SJ</v>
          </cell>
          <cell r="D191">
            <v>0</v>
          </cell>
          <cell r="E191">
            <v>0</v>
          </cell>
          <cell r="F191">
            <v>0</v>
          </cell>
          <cell r="G191">
            <v>8</v>
          </cell>
          <cell r="H191">
            <v>0</v>
          </cell>
          <cell r="I191">
            <v>7.60504150390625</v>
          </cell>
          <cell r="J191">
            <v>0</v>
          </cell>
          <cell r="K191">
            <v>7.60504150390625</v>
          </cell>
          <cell r="L191">
            <v>0</v>
          </cell>
          <cell r="M191">
            <v>7.60504150390625</v>
          </cell>
          <cell r="N191">
            <v>0</v>
          </cell>
          <cell r="O191">
            <v>0</v>
          </cell>
          <cell r="P191">
            <v>0</v>
          </cell>
          <cell r="Q191">
            <v>0</v>
          </cell>
          <cell r="R191">
            <v>0</v>
          </cell>
          <cell r="S191">
            <v>0</v>
          </cell>
          <cell r="T191">
            <v>0</v>
          </cell>
          <cell r="U191">
            <v>0</v>
          </cell>
        </row>
        <row r="192">
          <cell r="A192" t="str">
            <v>TI04018</v>
          </cell>
          <cell r="B192" t="str">
            <v>Planejamento Macroprojeto 4-1-3</v>
          </cell>
          <cell r="C192" t="str">
            <v>TINV.18.H.042.PP</v>
          </cell>
          <cell r="D192">
            <v>1289</v>
          </cell>
          <cell r="E192">
            <v>0</v>
          </cell>
          <cell r="F192">
            <v>1289</v>
          </cell>
          <cell r="G192">
            <v>0</v>
          </cell>
          <cell r="H192">
            <v>219</v>
          </cell>
          <cell r="I192">
            <v>0</v>
          </cell>
          <cell r="J192">
            <v>0</v>
          </cell>
          <cell r="K192">
            <v>0</v>
          </cell>
          <cell r="L192">
            <v>0</v>
          </cell>
          <cell r="M192">
            <v>0</v>
          </cell>
          <cell r="N192">
            <v>0</v>
          </cell>
          <cell r="O192">
            <v>0</v>
          </cell>
          <cell r="P192">
            <v>0</v>
          </cell>
          <cell r="Q192">
            <v>0</v>
          </cell>
          <cell r="R192">
            <v>0</v>
          </cell>
          <cell r="S192">
            <v>0</v>
          </cell>
          <cell r="T192">
            <v>0</v>
          </cell>
          <cell r="U192">
            <v>0</v>
          </cell>
        </row>
        <row r="193">
          <cell r="D193">
            <v>358384.45952311286</v>
          </cell>
          <cell r="E193">
            <v>1408.5332552744051</v>
          </cell>
          <cell r="F193">
            <v>83740</v>
          </cell>
          <cell r="G193">
            <v>31369</v>
          </cell>
          <cell r="H193">
            <v>7640</v>
          </cell>
          <cell r="I193">
            <v>7094.1932947933674</v>
          </cell>
          <cell r="J193">
            <v>0</v>
          </cell>
          <cell r="K193">
            <v>7094.1932947933674</v>
          </cell>
          <cell r="L193">
            <v>13962.132322788239</v>
          </cell>
          <cell r="M193">
            <v>21056.325617581606</v>
          </cell>
          <cell r="N193">
            <v>89792</v>
          </cell>
          <cell r="O193">
            <v>81660</v>
          </cell>
          <cell r="P193">
            <v>54136</v>
          </cell>
          <cell r="Q193">
            <v>47400</v>
          </cell>
          <cell r="R193">
            <v>0</v>
          </cell>
          <cell r="S193">
            <v>0</v>
          </cell>
          <cell r="T193">
            <v>0</v>
          </cell>
          <cell r="U193">
            <v>0</v>
          </cell>
        </row>
      </sheetData>
      <sheetData sheetId="6"/>
      <sheetData sheetId="7"/>
      <sheetData sheetId="8"/>
      <sheetData sheetId="9"/>
      <sheetData sheetId="10"/>
      <sheetData sheetId="11">
        <row r="3">
          <cell r="Z3">
            <v>12</v>
          </cell>
        </row>
      </sheetData>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ções de Procedimento"/>
      <sheetName val="Projetos ciclo 2018-2022"/>
      <sheetName val="Macroprojetos"/>
      <sheetName val="Equipamento Geral e Software"/>
      <sheetName val="Processos"/>
      <sheetName val="Estrutura P1"/>
      <sheetName val="Aquisição de demanda repetitiva"/>
      <sheetName val="Plan1"/>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055300" refreshedDate="43355.589701620367" createdVersion="5" refreshedVersion="5" minRefreshableVersion="3" recordCount="323">
  <cacheSource type="worksheet">
    <worksheetSource ref="B6:AH329" sheet="2018 e 2019"/>
  </cacheSource>
  <cacheFields count="33">
    <cacheField name="Empresa" numFmtId="0">
      <sharedItems count="4">
        <s v="Geração"/>
        <s v="Transmissão"/>
        <s v="Distribuição"/>
        <s v="Holding"/>
      </sharedItems>
    </cacheField>
    <cacheField name="Macroprojeto" numFmtId="0">
      <sharedItems count="20">
        <s v="1-3-1 Edificações e Complementos G"/>
        <s v="1-3-2-1 TI - Telecomunicações (Ativo não elétrico) G"/>
        <s v="1-3-3 TI - Microinformática G"/>
        <s v="1-3-4 Sistema de Informática G"/>
        <s v="1-3-5 Veículos G"/>
        <s v="1-3-6 Ferramentas e Equipamentos G"/>
        <s v="2-3-1 Edificações e Complementos T"/>
        <s v="2-3-2 TI - Telecomunicações (Ativo não elétrico) T"/>
        <s v="2-3-3 TI - Microinformática T"/>
        <s v="2-3-4 Sistema de Informática T"/>
        <s v="2-3-5 Veículos T"/>
        <s v="2-3-6 Ferramentas e Equipamentos T"/>
        <s v="3-4-1 Ferramentas D"/>
        <s v="3-4-2 Edificações e Complementos D"/>
        <s v="3-4-5 Sistema de Informática D"/>
        <s v="3-4-3-1 TI - Telecomunicações (Ativos não elétricos) D"/>
        <s v="3-4-4 TI - Microinformática D"/>
        <s v="3-4-6 Veículos D"/>
        <s v="4-1-2 TI - Microinformática H"/>
        <s v="4-1-3 Sistema de Informática H"/>
      </sharedItems>
    </cacheField>
    <cacheField name="Órgão" numFmtId="0">
      <sharedItems/>
    </cacheField>
    <cacheField name="Diretoria" numFmtId="0">
      <sharedItems/>
    </cacheField>
    <cacheField name="Responsável" numFmtId="0">
      <sharedItems/>
    </cacheField>
    <cacheField name="CPO" numFmtId="0">
      <sharedItems/>
    </cacheField>
    <cacheField name="COLETOR" numFmtId="0">
      <sharedItems containsBlank="1"/>
    </cacheField>
    <cacheField name="Título do projeto" numFmtId="0">
      <sharedItems/>
    </cacheField>
    <cacheField name="Descrição resumida do projeto" numFmtId="0">
      <sharedItems containsBlank="1" longText="1"/>
    </cacheField>
    <cacheField name="Riscos de não execução" numFmtId="0">
      <sharedItems containsBlank="1" longText="1"/>
    </cacheField>
    <cacheField name="Justificativa de alteração do desembolso do projeto" numFmtId="0">
      <sharedItems containsBlank="1" longText="1"/>
    </cacheField>
    <cacheField name="mai/18" numFmtId="41">
      <sharedItems containsString="0" containsBlank="1" containsNumber="1" minValue="0" maxValue="3489.3745973110199"/>
    </cacheField>
    <cacheField name="jun/18" numFmtId="41">
      <sharedItems containsString="0" containsBlank="1" containsNumber="1" minValue="0" maxValue="800"/>
    </cacheField>
    <cacheField name="jul/18" numFmtId="41">
      <sharedItems containsString="0" containsBlank="1" containsNumber="1" minValue="0" maxValue="600"/>
    </cacheField>
    <cacheField name="ago/18" numFmtId="0">
      <sharedItems containsString="0" containsBlank="1" containsNumber="1" minValue="0" maxValue="4184"/>
    </cacheField>
    <cacheField name="set/18" numFmtId="0">
      <sharedItems containsString="0" containsBlank="1" containsNumber="1" minValue="0" maxValue="1755"/>
    </cacheField>
    <cacheField name="out/18" numFmtId="41">
      <sharedItems containsBlank="1" containsMixedTypes="1" containsNumber="1" minValue="0" maxValue="1705"/>
    </cacheField>
    <cacheField name="nov/18" numFmtId="41">
      <sharedItems containsString="0" containsBlank="1" containsNumber="1" minValue="0" maxValue="1170"/>
    </cacheField>
    <cacheField name="dez/18" numFmtId="41">
      <sharedItems containsBlank="1" containsMixedTypes="1" containsNumber="1" minValue="0" maxValue="20000"/>
    </cacheField>
    <cacheField name="Total 2018" numFmtId="164">
      <sharedItems containsSemiMixedTypes="0" containsString="0" containsNumber="1" minValue="0" maxValue="20000"/>
    </cacheField>
    <cacheField name="jan/19" numFmtId="164">
      <sharedItems containsString="0" containsBlank="1" containsNumber="1" minValue="0" maxValue="1364"/>
    </cacheField>
    <cacheField name="fev/19" numFmtId="164">
      <sharedItems containsString="0" containsBlank="1" containsNumber="1" minValue="0" maxValue="1261"/>
    </cacheField>
    <cacheField name="mar/19" numFmtId="164">
      <sharedItems containsString="0" containsBlank="1" containsNumber="1" minValue="0" maxValue="1760"/>
    </cacheField>
    <cacheField name="abr/19" numFmtId="164">
      <sharedItems containsString="0" containsBlank="1" containsNumber="1" minValue="0" maxValue="1656"/>
    </cacheField>
    <cacheField name="mai/19" numFmtId="164">
      <sharedItems containsString="0" containsBlank="1" containsNumber="1" minValue="0" maxValue="1513"/>
    </cacheField>
    <cacheField name="jun/19" numFmtId="164">
      <sharedItems containsString="0" containsBlank="1" containsNumber="1" minValue="0" maxValue="2000"/>
    </cacheField>
    <cacheField name="jul/19" numFmtId="164">
      <sharedItems containsString="0" containsBlank="1" containsNumber="1" minValue="0" maxValue="3261"/>
    </cacheField>
    <cacheField name="ago/19" numFmtId="164">
      <sharedItems containsString="0" containsBlank="1" containsNumber="1" minValue="0" maxValue="10000"/>
    </cacheField>
    <cacheField name="set/19" numFmtId="164">
      <sharedItems containsString="0" containsBlank="1" containsNumber="1" minValue="0" maxValue="1500"/>
    </cacheField>
    <cacheField name="out/19" numFmtId="164">
      <sharedItems containsString="0" containsBlank="1" containsNumber="1" minValue="0" maxValue="750"/>
    </cacheField>
    <cacheField name="nov/19" numFmtId="164">
      <sharedItems containsString="0" containsBlank="1" containsNumber="1" minValue="0" maxValue="704.25"/>
    </cacheField>
    <cacheField name="dez/19" numFmtId="164">
      <sharedItems containsString="0" containsBlank="1" containsNumber="1" minValue="0" maxValue="2550"/>
    </cacheField>
    <cacheField name="Total 2019" numFmtId="164">
      <sharedItems containsSemiMixedTypes="0" containsString="0" containsNumber="1" minValue="0" maxValue="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c055300" refreshedDate="43355.58970196759" createdVersion="5" refreshedVersion="5" minRefreshableVersion="3" recordCount="312">
  <cacheSource type="worksheet">
    <worksheetSource ref="B6:BU318" sheet="Projetos ciclo 2018-2022"/>
  </cacheSource>
  <cacheFields count="72">
    <cacheField name="Empresa" numFmtId="0">
      <sharedItems count="4">
        <s v="Geração"/>
        <s v="Transmissão"/>
        <s v="Distribuição"/>
        <s v="Holding"/>
      </sharedItems>
    </cacheField>
    <cacheField name="Macroprojeto" numFmtId="0">
      <sharedItems count="20">
        <s v="1-3-1 Edificações e Complementos G"/>
        <s v="1-3-2-1 TI - Telecomunicações (Ativo não elétrico) G"/>
        <s v="1-3-3 TI - Microinformática G"/>
        <s v="1-3-4 Sistema de Informática G"/>
        <s v="1-3-5 Veículos G"/>
        <s v="1-3-6 Ferramentas e Equipamentos G"/>
        <s v="2-3-1 Edificações e Complementos T"/>
        <s v="2-3-2 TI - Telecomunicações (Ativo não elétrico) T"/>
        <s v="2-3-3 TI - Microinformática T"/>
        <s v="2-3-4 Sistema de Informática T"/>
        <s v="2-3-5 Veículos T"/>
        <s v="2-3-6 Ferramentas e Equipamentos T"/>
        <s v="3-4-1 Ferramentas D"/>
        <s v="3-4-2 Edificações e Complementos D"/>
        <s v="3-4-3-1 TI - Telecomunicações (Ativos não elétricos) D"/>
        <s v="3-4-4 TI - Microinformática D"/>
        <s v="3-4-5 Sistema de Informática D"/>
        <s v="3-4-6 Veículos D"/>
        <s v="4-1-2 TI - Microinformática H"/>
        <s v="4-1-3 Sistema de Informática H"/>
      </sharedItems>
    </cacheField>
    <cacheField name="Órgão Resp" numFmtId="0">
      <sharedItems/>
    </cacheField>
    <cacheField name="Responsável" numFmtId="0">
      <sharedItems/>
    </cacheField>
    <cacheField name="Órgão Demandante" numFmtId="0">
      <sharedItems/>
    </cacheField>
    <cacheField name="Demandante" numFmtId="0">
      <sharedItems/>
    </cacheField>
    <cacheField name="Diretoria" numFmtId="0">
      <sharedItems/>
    </cacheField>
    <cacheField name="CPO" numFmtId="0">
      <sharedItems/>
    </cacheField>
    <cacheField name="COLETOR" numFmtId="0">
      <sharedItems containsBlank="1"/>
    </cacheField>
    <cacheField name="Título do projeto" numFmtId="0">
      <sharedItems longText="1"/>
    </cacheField>
    <cacheField name="Descrição resumida do projeto" numFmtId="0">
      <sharedItems containsBlank="1" longText="1"/>
    </cacheField>
    <cacheField name="Riscos de não execução" numFmtId="0">
      <sharedItems containsBlank="1" longText="1"/>
    </cacheField>
    <cacheField name="Justificativa de alteração do desembolso do projeto" numFmtId="0">
      <sharedItems containsBlank="1" longText="1"/>
    </cacheField>
    <cacheField name="ago/18" numFmtId="41">
      <sharedItems containsString="0" containsBlank="1" containsNumber="1" minValue="-6.9145699739456177" maxValue="5092.7049396038055"/>
    </cacheField>
    <cacheField name="set/18" numFmtId="0">
      <sharedItems containsString="0" containsBlank="1" containsNumber="1" minValue="0" maxValue="2955.7335399999997"/>
    </cacheField>
    <cacheField name="out/18" numFmtId="41">
      <sharedItems containsBlank="1" containsMixedTypes="1" containsNumber="1" minValue="0" maxValue="1705"/>
    </cacheField>
    <cacheField name="nov/18" numFmtId="41">
      <sharedItems containsString="0" containsBlank="1" containsNumber="1" minValue="0" maxValue="992.60844000000009"/>
    </cacheField>
    <cacheField name="dez/18" numFmtId="0">
      <sharedItems containsBlank="1" containsMixedTypes="1" containsNumber="1" minValue="-16.879440307617187" maxValue="20000"/>
    </cacheField>
    <cacheField name="Total 2018" numFmtId="0">
      <sharedItems containsSemiMixedTypes="0" containsString="0" containsNumber="1" minValue="0" maxValue="20000"/>
    </cacheField>
    <cacheField name="jan/19" numFmtId="164">
      <sharedItems containsString="0" containsBlank="1" containsNumber="1" minValue="0" maxValue="1364"/>
    </cacheField>
    <cacheField name="fev/19" numFmtId="164">
      <sharedItems containsString="0" containsBlank="1" containsNumber="1" minValue="0" maxValue="1261"/>
    </cacheField>
    <cacheField name="mar/19" numFmtId="164">
      <sharedItems containsString="0" containsBlank="1" containsNumber="1" minValue="0" maxValue="1760"/>
    </cacheField>
    <cacheField name="abr/19" numFmtId="164">
      <sharedItems containsString="0" containsBlank="1" containsNumber="1" minValue="0" maxValue="10000"/>
    </cacheField>
    <cacheField name="mai/19" numFmtId="164">
      <sharedItems containsString="0" containsBlank="1" containsNumber="1" minValue="0" maxValue="1513"/>
    </cacheField>
    <cacheField name="jun/19" numFmtId="164">
      <sharedItems containsString="0" containsBlank="1" containsNumber="1" minValue="0" maxValue="1880"/>
    </cacheField>
    <cacheField name="jul/19" numFmtId="164">
      <sharedItems containsString="0" containsBlank="1" containsNumber="1" minValue="0" maxValue="3261"/>
    </cacheField>
    <cacheField name="ago/19" numFmtId="164">
      <sharedItems containsString="0" containsBlank="1" containsNumber="1" minValue="0" maxValue="1400"/>
    </cacheField>
    <cacheField name="set/19" numFmtId="164">
      <sharedItems containsString="0" containsBlank="1" containsNumber="1" minValue="0" maxValue="1500"/>
    </cacheField>
    <cacheField name="out/19" numFmtId="164">
      <sharedItems containsString="0" containsBlank="1" containsNumber="1" minValue="0" maxValue="500"/>
    </cacheField>
    <cacheField name="nov/19" numFmtId="164">
      <sharedItems containsString="0" containsBlank="1" containsNumber="1" minValue="0" maxValue="500"/>
    </cacheField>
    <cacheField name="dez/19" numFmtId="164">
      <sharedItems containsString="0" containsBlank="1" containsNumber="1" minValue="0" maxValue="1000"/>
    </cacheField>
    <cacheField name="Total 2019" numFmtId="0">
      <sharedItems containsSemiMixedTypes="0" containsString="0" containsNumber="1" minValue="0" maxValue="10000"/>
    </cacheField>
    <cacheField name="jan/20" numFmtId="164">
      <sharedItems containsString="0" containsBlank="1" containsNumber="1" minValue="0" maxValue="1364"/>
    </cacheField>
    <cacheField name="fev/20" numFmtId="164">
      <sharedItems containsString="0" containsBlank="1" containsNumber="1" minValue="0" maxValue="2200"/>
    </cacheField>
    <cacheField name="mar/20" numFmtId="164">
      <sharedItems containsString="0" containsBlank="1" containsNumber="1" minValue="0" maxValue="1541"/>
    </cacheField>
    <cacheField name="abr/20" numFmtId="164">
      <sharedItems containsString="0" containsBlank="1" containsNumber="1" minValue="0" maxValue="450"/>
    </cacheField>
    <cacheField name="mai/20" numFmtId="164">
      <sharedItems containsString="0" containsBlank="1" containsNumber="1" minValue="0" maxValue="750"/>
    </cacheField>
    <cacheField name="jun/20" numFmtId="164">
      <sharedItems containsString="0" containsBlank="1" containsNumber="1" minValue="0" maxValue="500"/>
    </cacheField>
    <cacheField name="jul/20" numFmtId="164">
      <sharedItems containsString="0" containsBlank="1" containsNumber="1" minValue="0" maxValue="2655"/>
    </cacheField>
    <cacheField name="ago/20" numFmtId="164">
      <sharedItems containsString="0" containsBlank="1" containsNumber="1" minValue="0" maxValue="500"/>
    </cacheField>
    <cacheField name="set/20" numFmtId="164">
      <sharedItems containsString="0" containsBlank="1" containsNumber="1" minValue="0" maxValue="1190"/>
    </cacheField>
    <cacheField name="out/20" numFmtId="164">
      <sharedItems containsString="0" containsBlank="1" containsNumber="1" minValue="0" maxValue="1500"/>
    </cacheField>
    <cacheField name="nov/20" numFmtId="164">
      <sharedItems containsString="0" containsBlank="1" containsNumber="1" minValue="0" maxValue="2220"/>
    </cacheField>
    <cacheField name="dez/20" numFmtId="164">
      <sharedItems containsString="0" containsBlank="1" containsNumber="1" minValue="0" maxValue="1000"/>
    </cacheField>
    <cacheField name="Total 2020" numFmtId="0">
      <sharedItems containsSemiMixedTypes="0" containsString="0" containsNumber="1" minValue="0" maxValue="5981"/>
    </cacheField>
    <cacheField name="jan/21" numFmtId="164">
      <sharedItems containsString="0" containsBlank="1" containsNumber="1" minValue="0" maxValue="547.5"/>
    </cacheField>
    <cacheField name="fev/21" numFmtId="164">
      <sharedItems containsString="0" containsBlank="1" containsNumber="1" minValue="0" maxValue="800"/>
    </cacheField>
    <cacheField name="mar/21" numFmtId="164">
      <sharedItems containsString="0" containsBlank="1" containsNumber="1" minValue="0" maxValue="2244.14"/>
    </cacheField>
    <cacheField name="abr/21" numFmtId="164">
      <sharedItems containsString="0" containsBlank="1" containsNumber="1" minValue="0" maxValue="547.5"/>
    </cacheField>
    <cacheField name="mai/21" numFmtId="164">
      <sharedItems containsString="0" containsBlank="1" containsNumber="1" minValue="0" maxValue="3000"/>
    </cacheField>
    <cacheField name="jun/21" numFmtId="164">
      <sharedItems containsString="0" containsBlank="1" containsNumber="1" minValue="0" maxValue="3665"/>
    </cacheField>
    <cacheField name="jul/21" numFmtId="164">
      <sharedItems containsString="0" containsBlank="1" containsNumber="1" minValue="0" maxValue="547.5"/>
    </cacheField>
    <cacheField name="ago/21" numFmtId="164">
      <sharedItems containsString="0" containsBlank="1" containsNumber="1" minValue="0" maxValue="2267"/>
    </cacheField>
    <cacheField name="set/21" numFmtId="164">
      <sharedItems containsString="0" containsBlank="1" containsNumber="1" minValue="0" maxValue="1300"/>
    </cacheField>
    <cacheField name="out/21" numFmtId="164">
      <sharedItems containsString="0" containsBlank="1" containsNumber="1" minValue="0" maxValue="2000"/>
    </cacheField>
    <cacheField name="nov/21" numFmtId="164">
      <sharedItems containsString="0" containsBlank="1" containsNumber="1" minValue="0" maxValue="2000"/>
    </cacheField>
    <cacheField name="dez/21" numFmtId="164">
      <sharedItems containsString="0" containsBlank="1" containsNumber="1" minValue="0" maxValue="1000"/>
    </cacheField>
    <cacheField name="Total 2021" numFmtId="164">
      <sharedItems containsSemiMixedTypes="0" containsString="0" containsNumber="1" minValue="0" maxValue="6569.5"/>
    </cacheField>
    <cacheField name="jan/22" numFmtId="164">
      <sharedItems containsString="0" containsBlank="1" containsNumber="1" minValue="0" maxValue="547.5"/>
    </cacheField>
    <cacheField name="fev/22" numFmtId="164">
      <sharedItems containsString="0" containsBlank="1" containsNumber="1" minValue="0" maxValue="800"/>
    </cacheField>
    <cacheField name="mar/22" numFmtId="164">
      <sharedItems containsString="0" containsBlank="1" containsNumber="1" minValue="0" maxValue="547.5"/>
    </cacheField>
    <cacheField name="abr/22" numFmtId="164">
      <sharedItems containsString="0" containsBlank="1" containsNumber="1" minValue="0" maxValue="547.5"/>
    </cacheField>
    <cacheField name="mai/22" numFmtId="164">
      <sharedItems containsString="0" containsBlank="1" containsNumber="1" minValue="0" maxValue="1250"/>
    </cacheField>
    <cacheField name="jun/22" numFmtId="164">
      <sharedItems containsString="0" containsBlank="1" containsNumber="1" minValue="0" maxValue="750"/>
    </cacheField>
    <cacheField name="jul/22" numFmtId="164">
      <sharedItems containsString="0" containsBlank="1" containsNumber="1" minValue="0" maxValue="547.5"/>
    </cacheField>
    <cacheField name="ago/22" numFmtId="164">
      <sharedItems containsString="0" containsBlank="1" containsNumber="1" minValue="0" maxValue="2736"/>
    </cacheField>
    <cacheField name="set/22" numFmtId="164">
      <sharedItems containsString="0" containsBlank="1" containsNumber="1" minValue="0" maxValue="4624.8999999999996"/>
    </cacheField>
    <cacheField name="out/22" numFmtId="164">
      <sharedItems containsString="0" containsBlank="1" containsNumber="1" minValue="0" maxValue="2000"/>
    </cacheField>
    <cacheField name="nov/22" numFmtId="164">
      <sharedItems containsString="0" containsBlank="1" containsNumber="1" minValue="0" maxValue="2000"/>
    </cacheField>
    <cacheField name="dez/22" numFmtId="164">
      <sharedItems containsString="0" containsBlank="1" containsNumber="1" minValue="0" maxValue="2540"/>
    </cacheField>
    <cacheField name="Total 2022" numFmtId="164">
      <sharedItems containsSemiMixedTypes="0" containsString="0" containsNumber="1" minValue="0" maxValue="8000"/>
    </cacheField>
    <cacheField name="Total_x000a_2018/22" numFmtId="0">
      <sharedItems containsSemiMixedTypes="0" containsString="0" containsNumber="1" minValue="0" maxValue="33451.374615698165"/>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23">
  <r>
    <x v="0"/>
    <x v="0"/>
    <s v="MG/TR"/>
    <s v="DGT"/>
    <s v="Rangel Araújo F Martins"/>
    <s v="NA"/>
    <m/>
    <s v="Aquisição de 02 Aparelhos de ar condicionado cassete 48000 BTU - UHNP"/>
    <s v="Aquisição de 02 Aparelhos de ar condicionado tipo casete 48000 BTU para sala de reuniões da Usina - UHNP"/>
    <s v="Degradação das condições ergonômicas das áreas das Usinas que concentram um maior números de pessoas por longos períodos de tempo."/>
    <m/>
    <n v="0"/>
    <m/>
    <m/>
    <m/>
    <m/>
    <m/>
    <m/>
    <m/>
    <n v="0"/>
    <n v="0"/>
    <n v="0"/>
    <n v="0"/>
    <n v="0"/>
    <n v="0"/>
    <n v="0"/>
    <n v="0"/>
    <n v="0"/>
    <n v="0"/>
    <n v="0"/>
    <n v="0"/>
    <n v="0"/>
    <n v="0"/>
  </r>
  <r>
    <x v="0"/>
    <x v="0"/>
    <s v="MG"/>
    <s v="DGT"/>
    <s v="Leonardo Victoretti , Mateus Trevisani, Diego Thadeu 31-3535-7617_x000a_SIT-944 351"/>
    <s v="MG00818"/>
    <s v="INFR.131.02218"/>
    <s v="AQUISIÇÃO DE EQUIPAMENTO GERAL PARA MG"/>
    <s v="Descrição: MG/LE: Aquisição de (3) aparelhos de ar  condcionado, modelo split, piso/teto, 30.000 Btus"/>
    <s v="Aumento do gasto em despesa com manutenção dos aparelhos de ar condicionado existentes._x000a_Ficar com ambiente sem climatização em caso de falha que decrete o final da vida útil do equipamento._x000a_"/>
    <m/>
    <n v="0"/>
    <n v="0"/>
    <n v="0"/>
    <n v="0"/>
    <n v="0"/>
    <m/>
    <n v="0"/>
    <n v="51.4"/>
    <n v="51.4"/>
    <n v="0"/>
    <n v="0"/>
    <n v="0"/>
    <n v="0"/>
    <n v="0"/>
    <n v="0"/>
    <n v="0"/>
    <m/>
    <n v="0"/>
    <n v="0"/>
    <n v="0"/>
    <n v="0"/>
    <n v="0"/>
  </r>
  <r>
    <x v="0"/>
    <x v="0"/>
    <s v="SC"/>
    <s v="DGE"/>
    <s v="Flávio Henrique Silva Rosário"/>
    <s v="NA"/>
    <m/>
    <s v="Aquisição de Equipamentos Geral  - Ar Condicionado e Bebedouro - Geração"/>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0"/>
    <m/>
    <m/>
    <m/>
    <m/>
    <m/>
    <m/>
    <m/>
    <n v="0"/>
    <m/>
    <m/>
    <m/>
    <m/>
    <m/>
    <m/>
    <m/>
    <n v="55"/>
    <m/>
    <m/>
    <m/>
    <m/>
    <n v="55"/>
  </r>
  <r>
    <x v="0"/>
    <x v="0"/>
    <s v="SC"/>
    <s v="DGE"/>
    <s v="Flávio Henrique Silva Rosário"/>
    <s v="SC00318"/>
    <s v="INFR.131.01518"/>
    <s v="Aquisição de Equipamentos Geral  - Ar Condicionado e Bebedouro - Geração - SC00318"/>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0"/>
    <n v="1.6000000238418579"/>
    <m/>
    <n v="128"/>
    <m/>
    <m/>
    <m/>
    <n v="3.4541600000011385"/>
    <n v="133.054160023843"/>
    <m/>
    <m/>
    <m/>
    <m/>
    <m/>
    <m/>
    <m/>
    <m/>
    <m/>
    <m/>
    <m/>
    <m/>
    <n v="0"/>
  </r>
  <r>
    <x v="0"/>
    <x v="0"/>
    <s v="SC"/>
    <s v="DGE"/>
    <s v="Flávio Henrique Silva Rosário"/>
    <s v="NA"/>
    <m/>
    <s v="Aquisição de 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n v="0"/>
    <m/>
    <m/>
    <m/>
    <m/>
    <m/>
    <m/>
    <n v="94"/>
    <n v="94"/>
    <m/>
    <m/>
    <m/>
    <m/>
    <m/>
    <m/>
    <m/>
    <m/>
    <m/>
    <m/>
    <m/>
    <m/>
    <n v="0"/>
  </r>
  <r>
    <x v="0"/>
    <x v="0"/>
    <s v="SC"/>
    <s v="DGE"/>
    <s v="Rogério Elias"/>
    <s v="NA"/>
    <m/>
    <s v="Aquisição de mobiliário para atendimento cliente interno G"/>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m/>
    <m/>
    <m/>
    <m/>
    <m/>
    <m/>
    <m/>
    <n v="0"/>
    <m/>
    <m/>
    <m/>
    <m/>
    <m/>
    <m/>
    <m/>
    <m/>
    <m/>
    <m/>
    <m/>
    <m/>
    <n v="0"/>
  </r>
  <r>
    <x v="0"/>
    <x v="0"/>
    <s v="SC"/>
    <s v="DGE"/>
    <s v="Flávio Henrique Silva Rosário"/>
    <s v="NA"/>
    <m/>
    <s v="Aquisição de terminal de videoconferência de alta definição"/>
    <s v="Aquisição de sistemas de vídeoconferência para localidades que ainda não o possuem."/>
    <s v="Impossibilidade de conectividade de todas as unidades ao sistema de videoconferência que já dispõem do serviço.                        Impossibilidade para implantação de VC em novas localidades.                               Dificuldade na reposição de equipamentos defeituosos."/>
    <s v="Alongamento da curva de desembolso, para atendimento à demanda financeira da empresa."/>
    <n v="0"/>
    <m/>
    <m/>
    <m/>
    <m/>
    <m/>
    <m/>
    <n v="60"/>
    <n v="60"/>
    <m/>
    <m/>
    <m/>
    <m/>
    <m/>
    <m/>
    <m/>
    <m/>
    <n v="140"/>
    <m/>
    <m/>
    <m/>
    <n v="140"/>
  </r>
  <r>
    <x v="0"/>
    <x v="0"/>
    <s v="SC"/>
    <s v="DGE"/>
    <s v="Flávio Henrique Silva Rosário"/>
    <s v="NA"/>
    <m/>
    <s v="Implantação de acesso de segurança para manutenção em prédios da Cemig da Região Metropolitana de BH"/>
    <s v="Contratação de projeto e execução de adequações de segurança para acesso de manutenção em prédios nas unidades AR, CI e SE-NA."/>
    <s v="Sem esses acessos não é possível executar essa manutenção, tendo que contratar equipamentos ou empresas especializadas, pois há risco para quem o executa. E também há o risco do serviço ser feito sem autorização, sem segurança e que aconteça algum incidente."/>
    <s v="Trata-se de um único projeto de obra, cujo desembolso é consecutivo, por isso precisou ser adiantada."/>
    <n v="0"/>
    <m/>
    <m/>
    <m/>
    <m/>
    <m/>
    <n v="62"/>
    <m/>
    <n v="62"/>
    <m/>
    <m/>
    <m/>
    <m/>
    <n v="21"/>
    <m/>
    <m/>
    <m/>
    <m/>
    <n v="44"/>
    <m/>
    <m/>
    <n v="65"/>
  </r>
  <r>
    <x v="0"/>
    <x v="0"/>
    <s v="MG/TR"/>
    <s v="DGT"/>
    <s v="Rangel Araújo F Martins"/>
    <s v="NA"/>
    <m/>
    <s v="Instalação de 01 sistema de vigilancia patrimonial - UHNP"/>
    <s v="Aquisição dos serviços de Instalação de sistema de vigilancia patrimonial para a Usina - UHNP"/>
    <s v="Dificuldade de acompanhamento e confirmação das condições operacionais dos equipamentos eletromecânicos da Usina."/>
    <m/>
    <n v="0"/>
    <m/>
    <m/>
    <m/>
    <m/>
    <m/>
    <m/>
    <m/>
    <n v="0"/>
    <n v="0"/>
    <n v="0"/>
    <n v="0"/>
    <n v="0"/>
    <n v="0"/>
    <n v="0"/>
    <n v="0"/>
    <n v="0"/>
    <n v="0"/>
    <n v="0"/>
    <n v="0"/>
    <m/>
    <n v="0"/>
  </r>
  <r>
    <x v="0"/>
    <x v="0"/>
    <s v="GE/IM"/>
    <s v="DGE"/>
    <s v="Evandro Jardim"/>
    <s v="NA"/>
    <m/>
    <s v="Otimização dos Ativos de Ipatinga para atendimento da Cemig GT"/>
    <s v="Execução de obra civil de nova instalação de escritório no imóvel da MT/LE para recebimento do pessoal da MG/LE."/>
    <s v="Não redução de despesa operacional, relativa à locação de imóvel para a Cemig GT, no município de Ipatinga."/>
    <s v="Alongamento da curva de desembolso."/>
    <n v="0"/>
    <m/>
    <m/>
    <m/>
    <m/>
    <m/>
    <m/>
    <n v="50"/>
    <n v="50"/>
    <m/>
    <m/>
    <m/>
    <m/>
    <m/>
    <m/>
    <n v="94.416799999999995"/>
    <m/>
    <m/>
    <m/>
    <m/>
    <n v="158.5"/>
    <n v="252.91679999999999"/>
  </r>
  <r>
    <x v="0"/>
    <x v="0"/>
    <s v="SC"/>
    <s v="DGE"/>
    <s v="Ian Garcia"/>
    <s v="NA"/>
    <m/>
    <s v="Video Monitoramento Analítico em 12 usinas"/>
    <s v="Instalação de Câmeras  para monitoramento de eventos e ocorrencias no interior das Usinas"/>
    <s v="Inibir invasões, furtos e monitorar o acesso de pessoas na uisnas"/>
    <m/>
    <n v="0"/>
    <m/>
    <m/>
    <m/>
    <m/>
    <m/>
    <m/>
    <m/>
    <n v="0"/>
    <m/>
    <m/>
    <m/>
    <m/>
    <m/>
    <m/>
    <m/>
    <m/>
    <m/>
    <m/>
    <m/>
    <m/>
    <n v="0"/>
  </r>
  <r>
    <x v="0"/>
    <x v="1"/>
    <s v="TI/TC"/>
    <s v="DGE"/>
    <s v="Francisco Elson"/>
    <s v="NA"/>
    <s v="-"/>
    <s v="Redes Ópticas da Geradora"/>
    <s v="Construção de Redes Ópticas da Geradora para interligação ao backbone de comunicação"/>
    <s v="Perda de comunicação por falta de alimentação comercial, penalidades previstas em contrato"/>
    <m/>
    <n v="0"/>
    <n v="0"/>
    <n v="0"/>
    <n v="0"/>
    <m/>
    <n v="29.25"/>
    <n v="0"/>
    <n v="0"/>
    <n v="29.25"/>
    <n v="0"/>
    <n v="0"/>
    <n v="0"/>
    <n v="0"/>
    <n v="0"/>
    <n v="0"/>
    <n v="0"/>
    <n v="0"/>
    <n v="0"/>
    <n v="0"/>
    <n v="0"/>
    <n v="16"/>
    <n v="16"/>
  </r>
  <r>
    <x v="0"/>
    <x v="2"/>
    <s v="TI/IO"/>
    <s v="DGT"/>
    <s v="Carlos Araújo"/>
    <s v="TI03218"/>
    <s v="TINV.18.G.045.TB"/>
    <s v="Aquisição tablets MG/SB "/>
    <s v="Aquisição de 15 tablets para atendimento e utilização do Sistema especialista de gestão de emergências; treinamentos e simulados relacionados ao Plano de Atendimento de Emergência (PAE); leitura de instrumentação de auscultação de barragens; vistorias de segurança de barragens. "/>
    <s v="-"/>
    <m/>
    <n v="0"/>
    <n v="0"/>
    <n v="58.6"/>
    <n v="0"/>
    <n v="0"/>
    <n v="0"/>
    <n v="0"/>
    <n v="0"/>
    <n v="58.6"/>
    <n v="0"/>
    <n v="0"/>
    <n v="0"/>
    <n v="0"/>
    <n v="0"/>
    <n v="0"/>
    <n v="0"/>
    <n v="0"/>
    <n v="0"/>
    <n v="0"/>
    <n v="0"/>
    <n v="0"/>
    <n v="0"/>
  </r>
  <r>
    <x v="0"/>
    <x v="2"/>
    <s v="TI/IO"/>
    <s v="DGE"/>
    <s v="Carlos Araújo"/>
    <s v="NA"/>
    <s v="-"/>
    <s v="Modernização do Parque Microinformática (CORPORATIVO) G"/>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m/>
    <n v="0"/>
    <n v="0"/>
    <n v="0"/>
    <n v="0"/>
    <n v="0"/>
    <n v="0"/>
    <n v="0"/>
    <n v="0"/>
    <n v="0"/>
    <n v="0"/>
    <n v="0"/>
    <n v="351.9"/>
    <n v="0"/>
    <n v="0"/>
    <n v="0"/>
    <n v="0"/>
    <n v="0"/>
    <n v="0"/>
    <n v="0"/>
    <n v="0"/>
    <n v="0"/>
    <n v="351.9"/>
  </r>
  <r>
    <x v="0"/>
    <x v="3"/>
    <s v="TI/SI"/>
    <s v="DGT"/>
    <s v="Álisson Costa"/>
    <s v="NA"/>
    <s v="-"/>
    <s v="Aquisição de Produtos OSISoft (PI System)"/>
    <m/>
    <m/>
    <m/>
    <n v="0"/>
    <n v="0"/>
    <m/>
    <n v="0"/>
    <n v="0"/>
    <n v="420"/>
    <n v="0"/>
    <n v="0"/>
    <n v="420"/>
    <n v="0"/>
    <n v="0"/>
    <n v="0"/>
    <n v="0"/>
    <n v="0"/>
    <m/>
    <n v="0"/>
    <n v="0"/>
    <n v="0"/>
    <n v="0"/>
    <n v="0"/>
    <n v="0"/>
    <n v="0"/>
  </r>
  <r>
    <x v="0"/>
    <x v="3"/>
    <s v="TI/IO"/>
    <s v="DGT"/>
    <s v="Carlos Araújo"/>
    <s v="TI04918"/>
    <s v="TINV.18.G.045.SE"/>
    <s v="Aquisição Pacote Software Elipse (GLE-INV-PPE-Aq-software-ElipseE3Studio)"/>
    <s v="Descrição: MG/LE: Aquisição de (1) software supervisório Elipse E3 Studio com chave de engenharia._x000a_"/>
    <s v="OBS: Já autorizado na CRCA 085/2016 - Revisão de macro projetos ciclo 2014/2018_x000a_Deficiência no atendimento à situações de falha em sistemas supervisórios de operação de usinas, com interferência negativa na comunicação de dados operativos relacionados à teleassistência de usinas pelo COS-CEMIG, e COR-ONS._x000a_Penalização por parte de orgão regulador."/>
    <m/>
    <n v="0"/>
    <n v="0"/>
    <n v="0"/>
    <n v="32.383310000000002"/>
    <n v="0"/>
    <n v="0"/>
    <n v="0"/>
    <n v="0"/>
    <n v="32.383310000000002"/>
    <n v="0"/>
    <n v="0"/>
    <n v="0"/>
    <n v="0"/>
    <n v="0"/>
    <n v="0"/>
    <n v="0"/>
    <n v="0"/>
    <n v="0"/>
    <n v="0"/>
    <n v="0"/>
    <n v="0"/>
    <n v="0"/>
  </r>
  <r>
    <x v="0"/>
    <x v="3"/>
    <s v="TI/SI"/>
    <s v="DGE"/>
    <s v="Álisson Costa"/>
    <s v="TI05818"/>
    <s v="TINV.18.G.042.SB"/>
    <s v="Aquisição SIGGA Brizzo"/>
    <s v="Utilização do Sistema de Mobilidade SIGGA Brizzo nos Processos de Execução da Manutenção de Geração e Transmissão, integrado ao ECC (SAP) através de linguagem SAP (ABAP - RFC), garantindo maior estabilidade sem a necessidade de camada intermediária de PI; Permitir plena utilização de Ordens de Manutenção e Notas de Manutenção, confirmação de HH manualmente ou automaticamente, etc."/>
    <s v="A proposta atual da SIGGA para o Sistema de Mobilidade brizzo é bastante atrativa para a CEMIG, principalmente quando se compara com o custo SAP, que é 924,87% maior: Custo SIGGA por licença (mês): R$ 66,67; Custo SAP por licença (mês): R$ 616,58.; Risco regulatório de multa da ANEEL principalmente na Transmissão pala deficiencia na gestão dos planos de manutenção em consonancia com a ReN 669."/>
    <m/>
    <n v="0"/>
    <n v="0"/>
    <n v="0"/>
    <n v="318"/>
    <n v="0"/>
    <n v="0"/>
    <n v="0"/>
    <n v="0"/>
    <n v="318"/>
    <n v="0"/>
    <n v="188"/>
    <n v="0"/>
    <n v="0"/>
    <n v="0"/>
    <n v="0"/>
    <n v="0"/>
    <n v="0"/>
    <n v="0"/>
    <n v="0"/>
    <n v="0"/>
    <n v="0"/>
    <n v="188"/>
  </r>
  <r>
    <x v="0"/>
    <x v="3"/>
    <s v="TI/IO"/>
    <s v="DGT"/>
    <s v="Carlos Araújo"/>
    <s v="NA"/>
    <s v="-"/>
    <s v="Aquisição software de Confiabilidade (RENO, Lambdapredict, DOE e RGA)"/>
    <s v="Software de Confiabilidade"/>
    <s v="Falha no diagnostico e priorização de investimentos em equipamentos da geração, podendo levar a indisponibilidade operativa e consequente perda de receita da geração"/>
    <m/>
    <n v="0"/>
    <n v="0"/>
    <n v="69"/>
    <n v="0"/>
    <n v="0"/>
    <n v="0"/>
    <n v="0"/>
    <n v="0"/>
    <n v="69"/>
    <n v="0"/>
    <n v="44"/>
    <n v="0"/>
    <n v="0"/>
    <n v="0"/>
    <n v="0"/>
    <n v="0"/>
    <n v="0"/>
    <n v="0"/>
    <n v="0"/>
    <n v="0"/>
    <n v="0"/>
    <n v="44"/>
  </r>
  <r>
    <x v="0"/>
    <x v="3"/>
    <s v="TI/IO"/>
    <s v="DGE"/>
    <s v="Carlos Araújo"/>
    <s v="NA"/>
    <s v="-"/>
    <s v="Aquisição/atualização de Servidores x86 "/>
    <s v="Aquisição/atualização de Servidores x86 para suportar o crescimento vegetativo das diversas aplicações, possibilitando a disponibilidade de infraestrutura de processamento para atender as aplicações atuais, como Correio Eletrônico, Servidores de Arquivos, Internet, Intranet, Portal de Compras, GPJuri, Impressão, Bancos de Dados SQL, entre outras e novas aplicações."/>
    <s v="-"/>
    <m/>
    <n v="0"/>
    <n v="0"/>
    <n v="0"/>
    <n v="0"/>
    <n v="0"/>
    <n v="0"/>
    <n v="0"/>
    <n v="0"/>
    <n v="0"/>
    <n v="0"/>
    <n v="0"/>
    <n v="0"/>
    <n v="0"/>
    <n v="0"/>
    <n v="0"/>
    <n v="0"/>
    <n v="0"/>
    <n v="96"/>
    <n v="0"/>
    <n v="0"/>
    <n v="0"/>
    <n v="96"/>
  </r>
  <r>
    <x v="0"/>
    <x v="3"/>
    <s v="TI/SI"/>
    <s v="DGT"/>
    <s v="Álisson Costa"/>
    <s v="NA"/>
    <s v="-"/>
    <s v="Desenvolvimento de software de diagnóstico e planejamento de investimento de Geração"/>
    <m/>
    <m/>
    <m/>
    <n v="0"/>
    <n v="0"/>
    <n v="0"/>
    <n v="0"/>
    <n v="0"/>
    <n v="0"/>
    <n v="0"/>
    <n v="0"/>
    <n v="0"/>
    <n v="0"/>
    <n v="0"/>
    <n v="0"/>
    <n v="0"/>
    <n v="0"/>
    <n v="0"/>
    <n v="0"/>
    <n v="0"/>
    <n v="0"/>
    <n v="0"/>
    <n v="0"/>
    <n v="0"/>
    <n v="0"/>
  </r>
  <r>
    <x v="0"/>
    <x v="3"/>
    <s v="TI/RT"/>
    <s v="DGE"/>
    <s v="Heberte Faria"/>
    <s v="NA"/>
    <s v="-"/>
    <s v="HP SERVICE MANAGER G"/>
    <s v="Renovação das licenças do software HP SERVICE MANAGER."/>
    <s v="-"/>
    <m/>
    <n v="0"/>
    <n v="0"/>
    <n v="0"/>
    <n v="0"/>
    <n v="0"/>
    <n v="0"/>
    <n v="0"/>
    <n v="0"/>
    <n v="0"/>
    <n v="0"/>
    <n v="0"/>
    <n v="0"/>
    <n v="0"/>
    <n v="0"/>
    <n v="0"/>
    <n v="150"/>
    <n v="0"/>
    <n v="0"/>
    <n v="0"/>
    <n v="0"/>
    <n v="0"/>
    <n v="150"/>
  </r>
  <r>
    <x v="0"/>
    <x v="3"/>
    <s v="TI/SI"/>
    <s v="DGT"/>
    <s v="Álisson Costa"/>
    <s v="TI03018"/>
    <s v="TINV.18.G.042.PA"/>
    <s v="Infraestrutura de Comunicação para o Plano de Ações Emergências - PAE em Usinas da Geração Cemig GT"/>
    <s v="Software a ser desenvolvido por empresa de TI e tem como produto um aplicativo para Celular que relacione com os COMPDECs( Defesa Civil dos municípios) e Comunidades do entorno dos empreendimentos( barragens)."/>
    <s v="Além da não conformidade legal, envolve riscos de falha de comunicação para a comunidade e Defesa Civil."/>
    <m/>
    <n v="0"/>
    <n v="0"/>
    <n v="0"/>
    <n v="16"/>
    <n v="16"/>
    <n v="20"/>
    <n v="20"/>
    <n v="43.198999999999998"/>
    <n v="115.199"/>
    <n v="0"/>
    <n v="0"/>
    <n v="0"/>
    <n v="0"/>
    <n v="0"/>
    <n v="0"/>
    <n v="0"/>
    <n v="0"/>
    <n v="0"/>
    <n v="0"/>
    <n v="0"/>
    <n v="0"/>
    <n v="0"/>
  </r>
  <r>
    <x v="0"/>
    <x v="3"/>
    <s v="TI/IO"/>
    <s v="DGT"/>
    <s v="Carlos Araújo"/>
    <s v="TI04818"/>
    <s v="TINV.18.G.045.LH"/>
    <s v="Licença do software Logic Linx Hardkey"/>
    <s v="Aquisição de Licença do Software Logic Linx para a UHE Nova Ponte, visando repor equipamento danificado."/>
    <s v="Impossibilidade de intervenção nos equipamentos em caso de necessidade, gerando atraso na execução de serviços na UHE Nova Ponte; Falha no diagnostico e priorização de investimentos em equipamentos da geração, podendo levar a indisponibilidade operativa e consequente perda de receita da geração."/>
    <m/>
    <n v="0"/>
    <n v="0"/>
    <n v="0"/>
    <n v="0"/>
    <n v="27.390999999999998"/>
    <n v="0"/>
    <n v="0"/>
    <n v="0"/>
    <n v="27.390999999999998"/>
    <n v="0"/>
    <n v="0"/>
    <n v="0"/>
    <n v="0"/>
    <n v="0"/>
    <n v="0"/>
    <n v="0"/>
    <n v="0"/>
    <n v="0"/>
    <n v="0"/>
    <n v="0"/>
    <n v="0"/>
    <n v="0"/>
  </r>
  <r>
    <x v="0"/>
    <x v="3"/>
    <s v="TI/SI"/>
    <s v="DGE"/>
    <s v="Álisson Costa"/>
    <s v="TI00218"/>
    <s v="TINV.18.G.042.OR"/>
    <s v="Licenciamento de Softwares (Oracle) G"/>
    <s v="Renovação do licenciamento Oracle UDD, que foi celebrado em 2012 e vence em 2015, quando necessita ser renovado."/>
    <s v="Falta de suporte e incompatibilidade do produtos com o sistema operacional nos servidores de produção da Cemig."/>
    <m/>
    <n v="119.11103057861328"/>
    <n v="0"/>
    <n v="0"/>
    <n v="0"/>
    <n v="0"/>
    <n v="0"/>
    <n v="0"/>
    <m/>
    <n v="119.11103057861328"/>
    <n v="0"/>
    <n v="125"/>
    <n v="0"/>
    <n v="0"/>
    <n v="0"/>
    <n v="0"/>
    <n v="0"/>
    <n v="0"/>
    <n v="0"/>
    <n v="0"/>
    <n v="0"/>
    <n v="0"/>
    <n v="125"/>
  </r>
  <r>
    <x v="0"/>
    <x v="3"/>
    <s v="TI/SI"/>
    <s v="DGE"/>
    <s v="Álisson Costa"/>
    <s v="NA"/>
    <s v="-"/>
    <s v="Licenciamento HEXAGON G"/>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m/>
    <n v="0"/>
    <n v="0"/>
    <n v="0"/>
    <n v="0"/>
    <n v="0"/>
    <n v="0"/>
    <n v="0"/>
    <n v="0"/>
    <n v="0"/>
    <n v="0"/>
    <n v="0"/>
    <n v="0"/>
    <n v="0"/>
    <n v="0"/>
    <n v="0"/>
    <n v="0"/>
    <n v="0"/>
    <n v="0"/>
    <n v="0"/>
    <n v="0"/>
    <n v="0"/>
    <n v="0"/>
  </r>
  <r>
    <x v="0"/>
    <x v="3"/>
    <s v="TI/IO"/>
    <s v="DGE"/>
    <s v="Marcus Souto"/>
    <s v="NA"/>
    <s v="-"/>
    <s v="Licenciamento Microsoft G"/>
    <s v="Licenciamento Microsoft visando manter atualizada todas as versões de software Microsoft instalados na Empresa de forma a garantir a disponibilidade e a segurança das informações."/>
    <s v="-"/>
    <m/>
    <n v="0"/>
    <n v="0"/>
    <n v="0"/>
    <n v="22"/>
    <n v="0"/>
    <n v="0"/>
    <n v="0"/>
    <n v="0"/>
    <n v="22"/>
    <n v="0"/>
    <n v="0"/>
    <n v="0"/>
    <n v="0"/>
    <n v="0"/>
    <n v="0"/>
    <n v="0"/>
    <n v="22"/>
    <n v="0"/>
    <n v="0"/>
    <n v="0"/>
    <n v="0"/>
    <n v="22"/>
  </r>
  <r>
    <x v="0"/>
    <x v="3"/>
    <s v="TI/SI"/>
    <s v="DGT"/>
    <s v="Álisson Costa"/>
    <s v="NA"/>
    <s v="-"/>
    <s v="Novo SIGO (Escopo reduzido)"/>
    <s v="Upgrade SIGO - Sistema de Informação da Operação"/>
    <s v="Falha grave no software que pode acarretar a perda de controle da operação e histórico de intervenções das unidades geradoras da Cemig"/>
    <m/>
    <n v="0"/>
    <n v="0"/>
    <n v="0"/>
    <n v="0"/>
    <n v="0"/>
    <n v="0"/>
    <n v="0"/>
    <n v="0"/>
    <n v="0"/>
    <n v="0"/>
    <n v="0"/>
    <n v="0"/>
    <n v="0"/>
    <n v="0"/>
    <n v="0"/>
    <n v="0"/>
    <n v="0"/>
    <n v="0"/>
    <n v="0"/>
    <n v="0"/>
    <n v="0"/>
    <n v="0"/>
  </r>
  <r>
    <x v="0"/>
    <x v="3"/>
    <s v="TI/SI"/>
    <s v="DGE"/>
    <s v="Álisson Costa"/>
    <s v="NA"/>
    <s v="-"/>
    <s v="Upgrade do Sistema SMO - Laboratório de Óleos"/>
    <s v="Atualização do sistema de análises físico químicas da Cemig - SMO usado no laboratório de óleos"/>
    <s v="Aumento da obsolescência do sistema "/>
    <m/>
    <n v="0"/>
    <n v="0"/>
    <n v="0"/>
    <n v="0"/>
    <n v="0"/>
    <n v="0"/>
    <n v="0"/>
    <n v="0"/>
    <n v="0"/>
    <n v="0"/>
    <n v="0"/>
    <n v="0"/>
    <n v="0"/>
    <n v="0"/>
    <n v="0"/>
    <n v="0"/>
    <n v="0"/>
    <n v="0"/>
    <n v="0"/>
    <n v="0"/>
    <n v="0"/>
    <n v="0"/>
  </r>
  <r>
    <x v="0"/>
    <x v="3"/>
    <s v="TI/SI"/>
    <s v="DGE"/>
    <s v="Álisson Costa"/>
    <s v="TI02216"/>
    <s v="TINV.16.G.042.IP"/>
    <s v="Upgrade do Software Inspetor"/>
    <s v="Upgrade em software de Sistema de Segurança de Barragens e Manutenção Civil"/>
    <s v="Se o sistema não for atualizado, podemos não ter equipe técnica qualificada para corrigir futuros problemas, devido à arquitetura de software e hardware antiga usada pelo mesmo."/>
    <m/>
    <n v="63.374898910522461"/>
    <n v="100"/>
    <n v="36.625100000000003"/>
    <n v="60"/>
    <n v="60"/>
    <n v="50"/>
    <n v="60"/>
    <n v="60"/>
    <n v="489.99999891052244"/>
    <n v="0"/>
    <n v="0"/>
    <n v="0"/>
    <n v="0"/>
    <n v="0"/>
    <n v="0"/>
    <n v="0"/>
    <n v="0"/>
    <n v="0"/>
    <n v="0"/>
    <n v="0"/>
    <n v="0"/>
    <n v="0"/>
  </r>
  <r>
    <x v="0"/>
    <x v="3"/>
    <s v="TI/IO"/>
    <s v="DGT"/>
    <s v="Carlos Araújo"/>
    <s v="NA"/>
    <s v="-"/>
    <s v="Upgrade/atualização do software Geo-slope 2012"/>
    <s v="Upgrade Software Geo-slope"/>
    <s v="Falha grave no software que pode acarretar a perda de controle do monitoramento da Segurança em Barragens das usinas da Cemig"/>
    <m/>
    <n v="0"/>
    <n v="0"/>
    <n v="0"/>
    <n v="0"/>
    <n v="0"/>
    <n v="0"/>
    <n v="0"/>
    <n v="0"/>
    <n v="0"/>
    <n v="0"/>
    <n v="0"/>
    <n v="0"/>
    <n v="0"/>
    <n v="0"/>
    <n v="0"/>
    <n v="0"/>
    <n v="0"/>
    <n v="0"/>
    <n v="0"/>
    <n v="0"/>
    <n v="0"/>
    <n v="0"/>
  </r>
  <r>
    <x v="0"/>
    <x v="4"/>
    <s v="SC"/>
    <s v="DGE"/>
    <s v="Ormindo Coutinho Filho"/>
    <s v="NA"/>
    <m/>
    <s v="Substituição de Veículos da Diretoria Executiva - Geração"/>
    <s v="Renovação da frota de veículos da Diretoria Executiva - Gera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m/>
    <m/>
    <m/>
    <m/>
    <m/>
    <m/>
    <m/>
    <n v="0"/>
    <m/>
    <m/>
    <m/>
    <m/>
    <m/>
    <m/>
    <n v="102.5"/>
    <m/>
    <m/>
    <m/>
    <m/>
    <m/>
    <n v="102.5"/>
  </r>
  <r>
    <x v="0"/>
    <x v="5"/>
    <s v="MG/TR"/>
    <s v="DGT"/>
    <s v="Rangel Araújo F Martins"/>
    <s v="NA"/>
    <m/>
    <s v="Aquisição de 01 Calibrador de Processo FLUKE - MG/OE"/>
    <s v="Aquisição de 01 Calibrador de Processo. Ref.: FLUKE"/>
    <s v="Falhas nos processos de manutenção e operação que necessitam de equipamentos corretamente calibrados/parametrizados para seu funcionamento."/>
    <m/>
    <n v="0"/>
    <m/>
    <m/>
    <m/>
    <m/>
    <m/>
    <m/>
    <m/>
    <n v="0"/>
    <n v="0"/>
    <n v="0"/>
    <n v="0"/>
    <n v="0"/>
    <n v="0"/>
    <n v="0"/>
    <n v="43"/>
    <n v="0"/>
    <n v="0"/>
    <n v="0"/>
    <m/>
    <n v="0"/>
    <n v="43"/>
  </r>
  <r>
    <x v="0"/>
    <x v="5"/>
    <s v="MG/SB"/>
    <s v="DGT"/>
    <s v="Luiz Antonio Maia"/>
    <s v="NA"/>
    <m/>
    <s v="Aquisição de 01 Compressores de Ar "/>
    <s v="1 Compressores de Ar "/>
    <s v="Ausencia de manutenção dos instrumentos de barragem afeta diretamente a segurança das barragens "/>
    <m/>
    <n v="0"/>
    <m/>
    <m/>
    <m/>
    <m/>
    <m/>
    <m/>
    <m/>
    <n v="0"/>
    <m/>
    <m/>
    <m/>
    <m/>
    <m/>
    <n v="1.5"/>
    <m/>
    <m/>
    <m/>
    <m/>
    <m/>
    <m/>
    <n v="1.5"/>
  </r>
  <r>
    <x v="0"/>
    <x v="5"/>
    <s v="MG/SB"/>
    <s v="DGT"/>
    <s v="Luiz Antonio Maia"/>
    <s v="NA"/>
    <m/>
    <s v="Aquisição de 01 Drone + baterias "/>
    <s v="1 Drone + baterias "/>
    <s v="A ausência de inspeção visual afeta diretamente a segurança das barragens "/>
    <m/>
    <n v="0"/>
    <m/>
    <m/>
    <m/>
    <m/>
    <m/>
    <m/>
    <n v="0"/>
    <n v="0"/>
    <m/>
    <m/>
    <m/>
    <m/>
    <m/>
    <n v="10"/>
    <m/>
    <m/>
    <m/>
    <m/>
    <m/>
    <m/>
    <n v="10"/>
  </r>
  <r>
    <x v="0"/>
    <x v="5"/>
    <s v="MG/TR"/>
    <s v="DGT"/>
    <s v="Rangel Araújo F Martins"/>
    <s v="NA"/>
    <m/>
    <s v="Aquisição de 01 Kit para  montagem de rolamento - MG/OE"/>
    <s v="Aquisição de um Kit para  montagem de rolamento. Ref.: SKF"/>
    <s v="Falha nos processos de montagem de equipamentos eletromecânicos das Usinas."/>
    <m/>
    <n v="0"/>
    <m/>
    <m/>
    <m/>
    <m/>
    <m/>
    <m/>
    <m/>
    <n v="0"/>
    <n v="0"/>
    <n v="0"/>
    <n v="0"/>
    <n v="0"/>
    <n v="0"/>
    <n v="0"/>
    <n v="0"/>
    <n v="0"/>
    <n v="0"/>
    <n v="0"/>
    <n v="3.5609999999999999"/>
    <n v="0"/>
    <n v="3.5609999999999999"/>
  </r>
  <r>
    <x v="0"/>
    <x v="5"/>
    <s v="MG/TR"/>
    <s v="DGT"/>
    <s v="Rangel Araújo F Martins"/>
    <s v="NA"/>
    <m/>
    <s v="Aquisição de 02 Notebooks - MG/OE"/>
    <s v="Aquisição de 02 Aparelhos Notebooks - MG/OE"/>
    <s v="Impossibilidade de diagnósticos corretos e de ajustes/parametrização de equipamentos eletromecânicos das Usinas."/>
    <m/>
    <n v="0"/>
    <m/>
    <m/>
    <m/>
    <m/>
    <m/>
    <m/>
    <m/>
    <n v="0"/>
    <n v="0"/>
    <n v="0"/>
    <n v="0"/>
    <n v="0"/>
    <n v="0"/>
    <n v="0"/>
    <n v="0"/>
    <n v="0"/>
    <n v="0"/>
    <n v="0"/>
    <n v="0"/>
    <n v="0"/>
    <n v="0"/>
  </r>
  <r>
    <x v="0"/>
    <x v="5"/>
    <s v="MG/UT"/>
    <s v="DGT"/>
    <s v="Diego Thadeu 31-3535-7617"/>
    <s v="NA"/>
    <m/>
    <s v="Aquisição de 04 Notebooks UTIG"/>
    <s v="Modernização de notebooks já existentes"/>
    <s v="Maior tempo para retorno das unidades geradoras que depende de equipamentos eletronicos que necessitam de notebooks para diagnosticos e manutenção"/>
    <m/>
    <n v="0"/>
    <n v="0"/>
    <n v="0"/>
    <n v="0"/>
    <n v="0"/>
    <m/>
    <n v="0"/>
    <n v="0"/>
    <n v="0"/>
    <n v="0"/>
    <n v="0"/>
    <n v="0"/>
    <n v="0"/>
    <n v="0"/>
    <n v="0"/>
    <n v="0"/>
    <n v="0"/>
    <n v="0"/>
    <n v="10"/>
    <n v="0"/>
    <n v="0"/>
    <n v="10"/>
  </r>
  <r>
    <x v="0"/>
    <x v="5"/>
    <s v="MG/TR"/>
    <s v="DGT"/>
    <s v="Rangel Araújo F Martins"/>
    <s v="NA"/>
    <m/>
    <s v="Aquisição de espião rede elétrica COS/SEs"/>
    <s v="Aquisição de espião rede elétrica COS/SEs"/>
    <s v="Impossibilidade de diagnósticos corretos e de ajustes/parametrização das Usinas."/>
    <m/>
    <n v="0"/>
    <m/>
    <m/>
    <m/>
    <m/>
    <m/>
    <m/>
    <m/>
    <n v="0"/>
    <m/>
    <m/>
    <m/>
    <m/>
    <m/>
    <m/>
    <m/>
    <m/>
    <n v="46"/>
    <m/>
    <m/>
    <m/>
    <n v="46"/>
  </r>
  <r>
    <x v="0"/>
    <x v="5"/>
    <s v="MG/TR"/>
    <s v="DGT"/>
    <s v="Marcos Augusto - 34-3088-4901"/>
    <s v="NA"/>
    <m/>
    <s v="Aquisição de ferramentas e equipamentos "/>
    <s v="Aquisição de ferramentas e equipamentos para atendimento a manutenção das usinas da MG/TA."/>
    <s v="Indisponibilidade de unidades geradoras devido a não termos ferramentas e equipamentos adequados para testes e reparo. Ademais podem ocorrer falhas provenientes de intervenções realizadas de forma equivocada devido a ferramentas e equipamentos com defeito ou desajustado."/>
    <m/>
    <n v="0"/>
    <m/>
    <m/>
    <m/>
    <m/>
    <m/>
    <m/>
    <m/>
    <n v="0"/>
    <m/>
    <m/>
    <m/>
    <m/>
    <m/>
    <m/>
    <m/>
    <m/>
    <m/>
    <m/>
    <m/>
    <m/>
    <n v="0"/>
  </r>
  <r>
    <x v="0"/>
    <x v="5"/>
    <s v="MG/SB"/>
    <s v="DGT"/>
    <s v="Pedro Alberto"/>
    <s v="MG00318"/>
    <s v="INGC/18/FERR/MGCT"/>
    <s v="Ferramentas Cemig GT MG 2018"/>
    <s v="Sistema Inspetor - Manutenção rotineira e evoluções periódicas - Implantação de inspeção informatizada utilizando PDAs associados a GPS - MG/SB_x000a_Aquisição de 01 Deareador - MG/SB_x000a_Aquisição de 01 bússola - MG/SB_x000a_Aquisição de 01 Drone - MG/SB"/>
    <m/>
    <m/>
    <n v="0"/>
    <n v="3.7"/>
    <n v="6.59"/>
    <m/>
    <m/>
    <n v="67"/>
    <m/>
    <n v="93.710000000000008"/>
    <n v="171"/>
    <m/>
    <m/>
    <m/>
    <m/>
    <m/>
    <m/>
    <m/>
    <m/>
    <m/>
    <m/>
    <m/>
    <m/>
    <n v="0"/>
  </r>
  <r>
    <x v="0"/>
    <x v="5"/>
    <s v="PO/MG"/>
    <s v="DGT"/>
    <s v="Jeferson"/>
    <s v="PO00118"/>
    <s v="INGT/18/FER/POMG"/>
    <s v="Ferramentas diversas para PO/MG"/>
    <s v="Aquisição de Acelerômetros contendo base magnéticas e cabos - PO/MG_x000a_Aquisição de Sensores de proximidade - PO/MG_x000a_PO00118Aquisição de Sensores de pressão - PO/MG_x000a_Aquisição de Fieldlogger_x000a_Aquisição de transdutores de deslocamento_x000a_Aquisição de transdutores lineares_x000a_Bomba Pressão 0/700 Bar - PO/MG"/>
    <m/>
    <m/>
    <n v="9.8500003814697266"/>
    <m/>
    <m/>
    <m/>
    <n v="58.121960000000001"/>
    <m/>
    <n v="100.2"/>
    <n v="100.82803961852998"/>
    <n v="268.99999999999972"/>
    <m/>
    <m/>
    <m/>
    <m/>
    <m/>
    <m/>
    <m/>
    <m/>
    <m/>
    <m/>
    <m/>
    <m/>
    <n v="0"/>
  </r>
  <r>
    <x v="0"/>
    <x v="5"/>
    <s v="PO/MG"/>
    <s v="DGT"/>
    <s v="Marcos Augusto - 34-3088-4901"/>
    <s v="NA"/>
    <m/>
    <s v="Ferramentas Geração 2019 - 2022"/>
    <s v="Ferramentas Geração "/>
    <s v="Falha no processo de execução da manutenção por falta de dispositivos e ferramentas, podendo levar a indisponibilidade operativa e consequente perda de receita da geração"/>
    <m/>
    <n v="0"/>
    <m/>
    <m/>
    <m/>
    <m/>
    <m/>
    <m/>
    <m/>
    <n v="0"/>
    <m/>
    <m/>
    <m/>
    <m/>
    <m/>
    <n v="30"/>
    <m/>
    <m/>
    <m/>
    <m/>
    <m/>
    <m/>
    <n v="30"/>
  </r>
  <r>
    <x v="0"/>
    <x v="5"/>
    <s v="MG/LE"/>
    <s v="DGT"/>
    <s v="Leonardo Victoretti  _x000a_SIT-944 351"/>
    <s v="NA"/>
    <m/>
    <s v="GLE-INV-PPE Aquisição de equipamento Analisador disjuntor_x000a_SAP-IW33-CPDE-1600001865"/>
    <s v="Descrição: MG/LE: Aquisição de (1) Analisador de Disjuntor Portátil. Teste de resistência estática de contato. Testes de sincronismo. Análise de corrente da bobina e motor._x000a_Teste de mínima corrente de pick-up. Teste da condição de baixa tensão._x000a_Referência: CIBANO 500._x000a_PME 500-TR. EHV  KC-6A. Megger Trax. BCM MSD02."/>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0"/>
    <n v="0"/>
    <n v="35"/>
    <n v="0"/>
    <n v="0"/>
    <n v="0"/>
    <n v="35"/>
  </r>
  <r>
    <x v="0"/>
    <x v="5"/>
    <s v="MG/LE"/>
    <s v="DGT"/>
    <s v="Leonardo Victoretti  _x000a_SIT-944 351"/>
    <s v="NA"/>
    <m/>
    <s v="GLE-INV-PPE- Aquisição de equipamento bomba manual"/>
    <s v="Descrição: MG/LE: Aquisição de (1) Conjunto bomba manual, acionamento macaco hidraulico._x000a_Referência: Guimmy modelo  GP80C"/>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2.2000000000000002"/>
    <n v="0"/>
    <n v="0"/>
    <n v="0"/>
    <n v="2.2000000000000002"/>
  </r>
  <r>
    <x v="0"/>
    <x v="5"/>
    <s v="MG/LE"/>
    <s v="DGT"/>
    <s v="Leonardo Victoretti  _x000a_SIT-944 351"/>
    <s v="NA"/>
    <m/>
    <s v="GLE-INV-PPE- Aquisição de equipamento Clorímetro Digital Portátil "/>
    <s v="Descrição: MG/LE: Aquisição de (1) Clorímetro digital portátil._x000a_Referência: Instrutherm Instrumentos de Medição Ltda - Modelo C-300"/>
    <s v="OBS: Já autorizado na CRCA 085/2016 - Revisão de macro projetos ciclo 2014/2018_x000a_Descumprimento de requisito legal._x000a_Autuação e multa por parte de ógão fiscalizador governamental._x000a_"/>
    <m/>
    <n v="0"/>
    <n v="0"/>
    <n v="0"/>
    <n v="0"/>
    <n v="0"/>
    <n v="0"/>
    <n v="0"/>
    <m/>
    <n v="0"/>
    <n v="0"/>
    <n v="0"/>
    <n v="0"/>
    <n v="0"/>
    <n v="0"/>
    <n v="0"/>
    <n v="0"/>
    <n v="0"/>
    <n v="2.7"/>
    <n v="0"/>
    <n v="0"/>
    <n v="0"/>
    <n v="2.7"/>
  </r>
  <r>
    <x v="0"/>
    <x v="5"/>
    <s v="MG/LE"/>
    <s v="DGT"/>
    <s v="Leonardo Victoretti  _x000a_SIT-944 351"/>
    <s v="NA"/>
    <m/>
    <s v="GLE-INV-PPE- Aquisição de equipamento endoscópio sonda 3m "/>
    <s v="Descrição: MG/LE: Aquisição de (1) equipamento endoscópio sonda 3m"/>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m/>
    <m/>
    <m/>
    <m/>
    <m/>
    <m/>
    <m/>
    <n v="0"/>
    <m/>
    <m/>
    <m/>
    <m/>
    <m/>
    <m/>
    <n v="50"/>
    <m/>
    <m/>
    <m/>
    <m/>
    <m/>
    <n v="50"/>
  </r>
  <r>
    <x v="0"/>
    <x v="5"/>
    <s v="MG/LE"/>
    <s v="DGT"/>
    <s v="Leonardo Victoretti  _x000a_SIT-944 351"/>
    <s v="NA"/>
    <m/>
    <s v="GLE-INV-PPE- Aquisição de equipamento macaco hidraúlico 10T"/>
    <s v="Descrição: MG/LE: Aquisição de (2) Macacos Hidráulicos, simples ação, 10 ton. _x000a_Referência: Guimmy modelo GRC 102."/>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2.4"/>
    <n v="0"/>
    <n v="0"/>
    <n v="0"/>
    <n v="2.4"/>
  </r>
  <r>
    <x v="0"/>
    <x v="5"/>
    <s v="MG/LE"/>
    <s v="DGT"/>
    <s v="Leonardo Victoretti  _x000a_SIT-944 351"/>
    <s v="NA"/>
    <m/>
    <s v="GLE-INV-PPE- Aquisição de equipamento macaco hidraúlico 20T"/>
    <s v="Descrição: MG/LE: Aquisição de (2) Macacos hidráulicos de simples ação, vazado, 20 TON. _x000a_Referência: Guimmy modelo GRCH 202."/>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3.2"/>
    <n v="0"/>
    <n v="0"/>
    <n v="0"/>
    <n v="3.2"/>
  </r>
  <r>
    <x v="0"/>
    <x v="5"/>
    <s v="MG/LE"/>
    <s v="DGT"/>
    <s v="Leonardo Victoretti  _x000a_SIT-944 351"/>
    <s v="NA"/>
    <m/>
    <s v="GLE-INV-PPE- Aquisição de equipamento macaco hidraúlico 25T"/>
    <s v="Descrição: MG/LE: Aquisição de (2) Macacos Hidraulicos, simples ação, 25 ton._x000a_Referência: Guimmy modelo GRC 251"/>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4.4000000000000004"/>
    <n v="0"/>
    <n v="0"/>
    <n v="0"/>
    <n v="4.4000000000000004"/>
  </r>
  <r>
    <x v="0"/>
    <x v="5"/>
    <s v="MG/LE"/>
    <s v="DGT"/>
    <s v="Leonardo Victoretti  _x000a_SIT-944 351"/>
    <s v="NA"/>
    <m/>
    <s v="GLE-INV-PPE Aquisição de equipamento medidor relação transformador_x000a_SAP-IW33-CPDE-1600001866"/>
    <s v="Descrição: MG/LE: Aquisição de (1) Medidor de relação de transformação Trifásico_x000a_Referência: AEMC. Megger TTR 330."/>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20"/>
    <n v="0"/>
    <n v="0"/>
    <n v="0"/>
    <n v="0"/>
    <n v="0"/>
    <n v="20"/>
  </r>
  <r>
    <x v="0"/>
    <x v="5"/>
    <s v="MG/LE"/>
    <s v="DGT"/>
    <s v="Leonardo Victoretti  _x000a_SIT-944 351"/>
    <s v="NA"/>
    <m/>
    <s v="GLE-INV-PPE- Aquisição de equipamento medidor resistência ohmica_x000a_SAP-IW33-CPDE-1600001867"/>
    <s v="Descrição: MG/LE: Aquisição de (1) Medidor de resistencia ohmica _x000a_Referência: Criem IRO 103"/>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25"/>
    <n v="0"/>
    <n v="0"/>
    <n v="0"/>
    <n v="0"/>
    <n v="0"/>
    <n v="25"/>
  </r>
  <r>
    <x v="0"/>
    <x v="5"/>
    <s v="MG/LE"/>
    <s v="DGT"/>
    <s v="Leonardo Victoretti  _x000a_SIT-944 351"/>
    <s v="NA"/>
    <m/>
    <s v="GLE-INV-PPE- Aquisição de equipamento talha corrente 3T"/>
    <s v="Descrição: MG/LE: Aquisição de (2) Talhas de Corrente, 3 Ton, 5m de elevação._x000a_Refêrencia: Berg Steel"/>
    <s v="OBS: Já autorizado na CRCA 085/2016 - Revisão de macro projetos ciclo 2014/2018_x000a_Deficiência no atendimento à demandas de execução de manutenção em equipamentos de usinas._x000a_Elevação de índices de indisponibilidade operativa de usinas._x000a_Não encontrar disponível, no momento da necessidade, o citado equipamento para locação."/>
    <m/>
    <n v="0"/>
    <n v="0"/>
    <n v="0"/>
    <n v="0"/>
    <n v="0"/>
    <n v="0"/>
    <n v="0"/>
    <m/>
    <n v="0"/>
    <n v="0"/>
    <n v="0"/>
    <n v="0"/>
    <n v="0"/>
    <n v="0"/>
    <n v="0"/>
    <n v="0"/>
    <n v="0"/>
    <n v="2.8"/>
    <n v="0"/>
    <n v="0"/>
    <n v="0"/>
    <n v="2.8"/>
  </r>
  <r>
    <x v="0"/>
    <x v="5"/>
    <s v="MG/LE"/>
    <s v="DGT"/>
    <s v="Leonardo Victoretti  _x000a_SIT-944 351"/>
    <s v="NA"/>
    <m/>
    <s v="GLE-INV-PPE-Aq-Epq-micrometro-int-tubular"/>
    <s v="Descrição: MG/LE: Aquisição de (1)  Micrômetro Interno Tubular, 50 a 1000 mm 137-204._x000a_Referência: Mitutoyo"/>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0"/>
    <n v="0"/>
    <n v="3.1"/>
    <n v="0"/>
    <n v="0"/>
    <n v="0"/>
    <n v="3.1"/>
  </r>
  <r>
    <x v="0"/>
    <x v="5"/>
    <s v="MG/LE"/>
    <s v="DGT"/>
    <s v="Leonardo Victoretti  _x000a_SIT-944 351"/>
    <s v="NA"/>
    <m/>
    <s v="GLE-INV-PPE-Aq-Eqp-analisador-isolação_x000a_SAP-IW33-CPDE-1600001869"/>
    <s v="Descrição: MG/LE: Aquisição de (2) analisador de Isolação TeraOhm 5 kV, com grau  proteção contra interferência eletomagnética._x000a_Referência: Metrel"/>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_x000a_"/>
    <m/>
    <n v="0"/>
    <n v="0"/>
    <n v="0"/>
    <n v="0"/>
    <n v="0"/>
    <n v="0"/>
    <n v="0"/>
    <m/>
    <n v="0"/>
    <n v="0"/>
    <n v="0"/>
    <n v="0"/>
    <n v="0"/>
    <n v="0"/>
    <n v="0"/>
    <n v="50"/>
    <n v="0"/>
    <n v="0"/>
    <n v="0"/>
    <n v="0"/>
    <n v="0"/>
    <n v="50"/>
  </r>
  <r>
    <x v="0"/>
    <x v="5"/>
    <s v="MG/LE"/>
    <s v="DGT"/>
    <s v="Leonardo Victoretti  _x000a_SIT-944 351"/>
    <s v="NA"/>
    <m/>
    <s v="GLE-INV-PPE-Aq-Eqp-analis-enrolamentos"/>
    <s v="Descrição: MG/LE: Aquisição de (1) analisador de enrolamentos - Surge Test_x000a_Referência: Baker"/>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50"/>
    <n v="50"/>
  </r>
  <r>
    <x v="0"/>
    <x v="5"/>
    <s v="MG/LE"/>
    <s v="DGT"/>
    <s v="Leonardo Victoretti  _x000a_SIT-944 351"/>
    <s v="NA"/>
    <m/>
    <s v="GLE-INV-PPE-Aq-Eqp-Aquis-dado-multicanal"/>
    <s v="Descrição: MG/LE: Aquisição de (1) Aquisitor de dados multicanal para análise de parâmetros dinâmicos de unidades geradoras._x000a_Referência: Lin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LE"/>
    <s v="DGT"/>
    <s v="Leonardo Victoretti  _x000a_SIT-944 351"/>
    <s v="NA"/>
    <m/>
    <s v="GLE-INV-PPE-Aq-Eqp-calibr/gerador-sinais"/>
    <s v="Descrição: MG/LE: Aquisição de (1) Calibrador / Gerador de Sinais._x000a_Referência: Presys modelo Isocal mcs-xv"/>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LE"/>
    <s v="DGT"/>
    <s v="Leonardo Victoretti  _x000a_SIT-944 351"/>
    <s v="NA"/>
    <m/>
    <s v="GLE-INV-PPE-Aq-Eqp-macaco-mecân-30T"/>
    <s v="Descrição: MG/LE: Aquisição de (2)  Macacos Mêcanicos de 30 Toneladas_x000a_Referência: Guimmy Codigo GJJ3020 JOURNAL JACK._x000a_"/>
    <s v="OBS: Já autorizado na CRCA 085/2016 - Revisão de macro projetos ciclo 2014/2018_x000a_Deficiência no atendimento à demandas de execução de manutenção dos ativos da geração. _x000a_Elevação de índices de indisponibilidade operativa de usinas. _x000a_Penalização por parte de orgão regulador."/>
    <m/>
    <n v="0"/>
    <n v="0"/>
    <n v="0"/>
    <n v="0"/>
    <n v="0"/>
    <n v="0"/>
    <n v="0"/>
    <m/>
    <n v="0"/>
    <n v="0"/>
    <n v="0"/>
    <n v="0"/>
    <n v="0"/>
    <n v="0"/>
    <n v="0"/>
    <n v="0"/>
    <n v="0"/>
    <n v="12.2"/>
    <n v="0"/>
    <n v="0"/>
    <n v="0"/>
    <n v="12.2"/>
  </r>
  <r>
    <x v="0"/>
    <x v="5"/>
    <s v="MG/LE"/>
    <s v="DGT"/>
    <s v="Leonardo Victoretti  _x000a_SIT-944 351"/>
    <s v="NA"/>
    <m/>
    <s v="GLE-INV-PPE-Aq-Eqp-multímetro-profission"/>
    <s v="Descrição: MG/LE: Aquisição de (5) Multímetros profissionais._x000a_Referência: Fluke"/>
    <s v="Deficiência no atendimento à demandas de execução de manutenção dos ativos da geração. _x000a_"/>
    <m/>
    <n v="0"/>
    <n v="0"/>
    <n v="0"/>
    <n v="0"/>
    <n v="0"/>
    <n v="0"/>
    <n v="0"/>
    <n v="0"/>
    <n v="0"/>
    <n v="0"/>
    <n v="0"/>
    <n v="0"/>
    <n v="0"/>
    <n v="0"/>
    <n v="0"/>
    <n v="0"/>
    <n v="0"/>
    <n v="0"/>
    <n v="0"/>
    <n v="0"/>
    <n v="0"/>
    <n v="0"/>
  </r>
  <r>
    <x v="0"/>
    <x v="5"/>
    <s v="MG/LE"/>
    <s v="DGT"/>
    <s v="Leonardo Victoretti  _x000a_SIT-944 351"/>
    <s v="NA"/>
    <m/>
    <s v="GLE-INV-PPE-Aq-Eqp-osciloscópio-portátil"/>
    <s v="Descrição: MG/LE: Aquisição de (1) Osciloscópio Portátil, 04 canais, isolados._x000a_Referência: Tektroni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LE"/>
    <s v="DGT"/>
    <s v="Leonardo Victoretti  _x000a_SIT-944 351"/>
    <s v="NA"/>
    <m/>
    <s v="GLE-INV-PPE-Aq-Eqp-termovisor-portátil"/>
    <s v="Descrição: MG/LE: Aquisição de (1) Termovisor portátil_x000a_Referência: Flir"/>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r>
  <r>
    <x v="0"/>
    <x v="5"/>
    <s v="MG/CS"/>
    <s v="DGT"/>
    <s v="Mateus Trevisani"/>
    <s v="NA"/>
    <m/>
    <s v="Instrumentação Elétrica - Osciloscópio"/>
    <s v="Osciloscópio Digital Minipa 60MHz, DC,AC"/>
    <s v="Falhas em equipamentos, manutenção corretiva e descontinuidade de geração."/>
    <m/>
    <n v="0"/>
    <m/>
    <m/>
    <m/>
    <m/>
    <m/>
    <m/>
    <m/>
    <n v="0"/>
    <m/>
    <m/>
    <m/>
    <m/>
    <m/>
    <m/>
    <n v="5.8559999999999999"/>
    <m/>
    <m/>
    <m/>
    <m/>
    <m/>
    <n v="5.8559999999999999"/>
  </r>
  <r>
    <x v="0"/>
    <x v="5"/>
    <s v="MG/CS"/>
    <s v="DGT"/>
    <s v="Mateus Trevisani"/>
    <s v="NA"/>
    <m/>
    <s v="Instrumentação Elétrica - Termômetro"/>
    <s v="Termômetro de Infra Vermelho Visual"/>
    <s v="Falhas em equipamentos, manutenção corretiva e descontinuidade de geração."/>
    <m/>
    <n v="0"/>
    <m/>
    <m/>
    <m/>
    <m/>
    <m/>
    <m/>
    <m/>
    <n v="0"/>
    <m/>
    <m/>
    <m/>
    <m/>
    <m/>
    <m/>
    <n v="1.59"/>
    <m/>
    <m/>
    <m/>
    <m/>
    <m/>
    <n v="1.59"/>
  </r>
  <r>
    <x v="0"/>
    <x v="5"/>
    <s v="MG/TR"/>
    <s v="DGT"/>
    <s v="Marcos Augusto - 34-3088-4901"/>
    <s v="NA"/>
    <m/>
    <s v="Substituição de equipamentos da oficina - adequação NR-12"/>
    <s v="Adequação NR-12 - Equipamentos"/>
    <s v="Penalização perante o Ministério do Trabalho"/>
    <m/>
    <n v="0"/>
    <m/>
    <m/>
    <m/>
    <m/>
    <m/>
    <m/>
    <m/>
    <n v="0"/>
    <m/>
    <m/>
    <m/>
    <m/>
    <m/>
    <m/>
    <n v="30"/>
    <m/>
    <m/>
    <m/>
    <m/>
    <m/>
    <n v="30"/>
  </r>
  <r>
    <x v="0"/>
    <x v="5"/>
    <s v="PO/MG"/>
    <s v="DGT"/>
    <s v="Jeferson"/>
    <s v="NA"/>
    <m/>
    <s v="Usinas - Aquisição de Coletor analisador portátil de dados de vibração para a PO/MG"/>
    <s v="Coletor e analisador de dados portatil"/>
    <s v="Falha no diagnostico de equipamentos podendo levar a indisponibilidade operativa e consequente perda de receita da geração"/>
    <m/>
    <n v="0"/>
    <m/>
    <m/>
    <m/>
    <m/>
    <m/>
    <m/>
    <m/>
    <n v="0"/>
    <m/>
    <m/>
    <m/>
    <m/>
    <m/>
    <m/>
    <m/>
    <m/>
    <m/>
    <m/>
    <m/>
    <m/>
    <n v="0"/>
  </r>
  <r>
    <x v="0"/>
    <x v="5"/>
    <s v="PO/MG"/>
    <s v="DGT"/>
    <s v="Jeferson"/>
    <s v="PO00117"/>
    <s v="INGT/17/781/POMG/FERR"/>
    <s v="Usinas - Aquisição de Instrumentação para análise preditiva nas usinas do grupo CEMIG, composta por sensores de proximidade, sensor de pressão, acelerômetros, base magnética e cabos, conforme conjuntos ou kits específicos que serão cadastrados na MS."/>
    <s v="Kit de diagnostico de analise preditiva"/>
    <s v="Falha no diagnostico de equipamentos podendo levar a indisponibilidade operativa e consequente perda de receita da geração"/>
    <m/>
    <n v="0"/>
    <m/>
    <m/>
    <m/>
    <m/>
    <n v="78"/>
    <m/>
    <m/>
    <n v="78"/>
    <m/>
    <m/>
    <m/>
    <m/>
    <m/>
    <m/>
    <m/>
    <m/>
    <m/>
    <m/>
    <m/>
    <m/>
    <n v="0"/>
  </r>
  <r>
    <x v="0"/>
    <x v="5"/>
    <s v="PO/MG"/>
    <s v="DGT"/>
    <s v="Jeferson"/>
    <s v="NA"/>
    <m/>
    <s v="Usinas - Aquisição de Sensor de rotação"/>
    <s v="Sensor de rotação"/>
    <s v="Falha no diagnostico de equipamentos podendo levar a indisponibilidade operativa e consequente perda de receita da geração"/>
    <m/>
    <n v="0"/>
    <m/>
    <m/>
    <m/>
    <m/>
    <m/>
    <m/>
    <m/>
    <n v="0"/>
    <m/>
    <m/>
    <m/>
    <m/>
    <m/>
    <m/>
    <m/>
    <m/>
    <m/>
    <n v="25"/>
    <m/>
    <m/>
    <n v="25"/>
  </r>
  <r>
    <x v="0"/>
    <x v="5"/>
    <s v="PO/MG"/>
    <s v="DGT"/>
    <s v="Jeferson"/>
    <s v="NA"/>
    <m/>
    <s v="Usinas - Aquisição de Transdutor de deslocamento diferencial variável linear (LVDT's de comprimentos diversos)"/>
    <s v="LVDT"/>
    <s v="Falha no diagnostico de equipamentos podendo levar a indisponibilidade operativa e consequente perda de receita da geração"/>
    <m/>
    <n v="0"/>
    <m/>
    <m/>
    <m/>
    <m/>
    <m/>
    <m/>
    <m/>
    <n v="0"/>
    <m/>
    <m/>
    <m/>
    <m/>
    <m/>
    <m/>
    <m/>
    <m/>
    <m/>
    <n v="16"/>
    <m/>
    <m/>
    <n v="16"/>
  </r>
  <r>
    <x v="0"/>
    <x v="5"/>
    <s v="PO/MG"/>
    <s v="DGT"/>
    <s v="Jeferson"/>
    <s v="NA"/>
    <m/>
    <s v="Usinas - Aquisitor de dados multicanal para análise de parâmetros dinâmicos de unidades geradoras"/>
    <s v="Aquisitor de dados multicanal"/>
    <s v="Falha no diagnostico de equipamentos podendo levar a indisponibilidade operativa e consequente perda de receita da geração"/>
    <m/>
    <n v="0"/>
    <m/>
    <m/>
    <m/>
    <m/>
    <m/>
    <m/>
    <m/>
    <n v="0"/>
    <m/>
    <m/>
    <m/>
    <m/>
    <m/>
    <m/>
    <m/>
    <m/>
    <m/>
    <m/>
    <m/>
    <m/>
    <n v="0"/>
  </r>
  <r>
    <x v="1"/>
    <x v="6"/>
    <s v="MT/LE MT/SE"/>
    <s v="DGT"/>
    <s v="Joel Máximo Reis"/>
    <s v="NA"/>
    <m/>
    <s v="Aquisição de 2 lavadoras"/>
    <s v="Aquisição de uma lavadora de alta pressão e uma jateadora"/>
    <s v="Aumento com despesas com água._x000a_Acúmulo de óleo no chão, apresentando risco de queda de pessoas."/>
    <m/>
    <n v="0"/>
    <m/>
    <m/>
    <m/>
    <m/>
    <m/>
    <m/>
    <m/>
    <n v="0"/>
    <m/>
    <m/>
    <m/>
    <m/>
    <m/>
    <m/>
    <m/>
    <m/>
    <m/>
    <m/>
    <m/>
    <m/>
    <n v="0"/>
  </r>
  <r>
    <x v="1"/>
    <x v="6"/>
    <s v="MT/CN MT/LE"/>
    <s v="DGT"/>
    <s v="Joel Máximo Reis"/>
    <s v="NA"/>
    <m/>
    <s v="Aquisição de 4 Bebedouro industrial T"/>
    <s v="Aquisição de 4 Bebedouro industrial inox reservatório 50 litros"/>
    <s v="Não atender as normas de saúde e segurança._x000a_Indisponibilidade de água filtrada e refrigerada para equipes de manutenção de campo. Necessidade de comprar grande volume de água mineral refrigerada para equipes durante serviços em campo."/>
    <m/>
    <n v="0"/>
    <m/>
    <m/>
    <m/>
    <m/>
    <m/>
    <m/>
    <m/>
    <n v="0"/>
    <m/>
    <m/>
    <m/>
    <m/>
    <m/>
    <m/>
    <m/>
    <m/>
    <m/>
    <m/>
    <m/>
    <m/>
    <n v="0"/>
  </r>
  <r>
    <x v="1"/>
    <x v="6"/>
    <s v="MT/CN MT/SE MT/LE MT/TA"/>
    <s v="DGT"/>
    <s v="Joel Máximo Reis"/>
    <s v="NA"/>
    <m/>
    <s v="Aquisição de 5 projetores multimídia"/>
    <s v="Aquisição de 5 projetores multimídia"/>
    <s v="Deficiência nos treinamentos da equipe e de terceiros_x000a_Demora na realização de reuniões que necessitam de projeção de imagem  e também dificuldade na apresentação do processo de primeiro acesso para atendimento ao sistema de gestão._x000a_Manobras indevidas e falha na identificação dos alremes e eventos gerados pelo SSCD."/>
    <m/>
    <n v="0"/>
    <m/>
    <m/>
    <m/>
    <m/>
    <m/>
    <m/>
    <m/>
    <n v="0"/>
    <m/>
    <m/>
    <m/>
    <m/>
    <m/>
    <m/>
    <m/>
    <m/>
    <m/>
    <m/>
    <m/>
    <m/>
    <n v="0"/>
  </r>
  <r>
    <x v="1"/>
    <x v="6"/>
    <s v="MT/CN MT/SE"/>
    <s v="DGT"/>
    <s v="Joel Máximo Reis"/>
    <s v="NA"/>
    <m/>
    <s v="Aquisição de 5 TV LED"/>
    <s v="Aquisição de 5 TV LED 40' com entrada HDMI"/>
    <s v="Precarização da segurança da instalação, dificuldade de ministrar treinamentos, não conformidade em auditorias do SIG devido à qualidade/entendimento dos treinamentos e apresentações para visitantes."/>
    <m/>
    <n v="0"/>
    <m/>
    <m/>
    <m/>
    <m/>
    <m/>
    <m/>
    <m/>
    <n v="0"/>
    <m/>
    <m/>
    <m/>
    <m/>
    <m/>
    <m/>
    <m/>
    <m/>
    <m/>
    <m/>
    <m/>
    <m/>
    <n v="0"/>
  </r>
  <r>
    <x v="1"/>
    <x v="6"/>
    <s v="SC"/>
    <s v="DGE"/>
    <s v="Rogério Elias"/>
    <s v="NA"/>
    <m/>
    <s v="Aquisição de mobiliário para atendimento cliente interno T"/>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m/>
    <m/>
    <m/>
    <m/>
    <m/>
    <m/>
    <m/>
    <n v="0"/>
    <m/>
    <m/>
    <m/>
    <m/>
    <m/>
    <m/>
    <m/>
    <m/>
    <m/>
    <m/>
    <n v="13"/>
    <m/>
    <n v="13"/>
  </r>
  <r>
    <x v="1"/>
    <x v="6"/>
    <s v="MT/TA MT/SE"/>
    <s v="DGT"/>
    <s v="Joel Máximo Reis"/>
    <s v="NA"/>
    <m/>
    <s v="Aquisição e instalação de Sistema de vigilância"/>
    <s v="Aquisição de sistema de monitormamento por câmeras, video porteiro com vigilancia eletronica, sistema de intrusão e sensores"/>
    <s v="Furtos, roubos, perdas materiais e risco à integridade das pessoas da instalação"/>
    <m/>
    <n v="0"/>
    <m/>
    <m/>
    <m/>
    <m/>
    <m/>
    <m/>
    <m/>
    <n v="0"/>
    <m/>
    <m/>
    <n v="18"/>
    <m/>
    <m/>
    <m/>
    <m/>
    <m/>
    <m/>
    <m/>
    <m/>
    <m/>
    <n v="18"/>
  </r>
  <r>
    <x v="1"/>
    <x v="6"/>
    <s v="SC"/>
    <s v="DGE"/>
    <s v="Flávio Henrique Silva Rosário"/>
    <s v="NA"/>
    <m/>
    <s v="AR - Construção de muro de arrimo, passeio e sistema de drenagem"/>
    <s v="Contratação de projetos executivos e construção de muro de arrimo, sistema de drenagem e passeio externo no estacionamento adjascente ao P21 no AR"/>
    <s v="Tombamento do muro de toras de madeira, podendo ocasionar danos materiais e acidentes de trabalho."/>
    <m/>
    <n v="0"/>
    <m/>
    <m/>
    <m/>
    <m/>
    <m/>
    <m/>
    <m/>
    <n v="0"/>
    <m/>
    <m/>
    <m/>
    <m/>
    <m/>
    <m/>
    <m/>
    <m/>
    <m/>
    <m/>
    <m/>
    <m/>
    <n v="0"/>
  </r>
  <r>
    <x v="1"/>
    <x v="6"/>
    <s v="SC"/>
    <s v="DGE"/>
    <s v="Flávio Henrique Silva Rosário"/>
    <s v="NA"/>
    <m/>
    <s v="AR - P21 - Execução de 2 Muros de Arrimo"/>
    <s v="Obra de estabilização de 02 taludes ao lado das escadas entre o prédio 20 e 21 do Anel Rodoviário"/>
    <s v="Tombamento do muro; acidente com empregados e terceiros; danificar ativos da Cemig; deslizamento de solo"/>
    <m/>
    <n v="0"/>
    <m/>
    <m/>
    <m/>
    <m/>
    <m/>
    <m/>
    <m/>
    <n v="0"/>
    <m/>
    <m/>
    <m/>
    <m/>
    <m/>
    <m/>
    <m/>
    <m/>
    <m/>
    <m/>
    <m/>
    <m/>
    <n v="0"/>
  </r>
  <r>
    <x v="1"/>
    <x v="6"/>
    <s v="MT/TA"/>
    <s v="DGT"/>
    <s v="Joel Máximo Reis"/>
    <s v="NA"/>
    <m/>
    <s v="Construção de 2 abrigos para resíduos perigosos e inflamáveis"/>
    <s v="Construção de 2 abrigos para resíduos perigosos e inflamáveis na SE Emborcação"/>
    <s v="Perda do AVCB, multas ambientais, contaminação de solo"/>
    <m/>
    <n v="0"/>
    <m/>
    <m/>
    <m/>
    <m/>
    <m/>
    <m/>
    <m/>
    <n v="0"/>
    <m/>
    <m/>
    <m/>
    <m/>
    <m/>
    <m/>
    <n v="60"/>
    <m/>
    <m/>
    <m/>
    <m/>
    <m/>
    <n v="60"/>
  </r>
  <r>
    <x v="1"/>
    <x v="6"/>
    <s v="MT/LE"/>
    <s v="DGT"/>
    <s v="Joel Máximo Reis"/>
    <s v="NA"/>
    <m/>
    <s v="Construção de 2 muros"/>
    <s v="Construção de 2 muros: SE Mesquita e Taquaril"/>
    <s v="Risco de acidentes com a população, vandalismo, invasões e roubos na instalação"/>
    <m/>
    <n v="0"/>
    <m/>
    <m/>
    <m/>
    <m/>
    <m/>
    <m/>
    <m/>
    <n v="0"/>
    <m/>
    <m/>
    <n v="268.53983000000017"/>
    <m/>
    <m/>
    <m/>
    <m/>
    <m/>
    <m/>
    <m/>
    <m/>
    <m/>
    <n v="268.53983000000017"/>
  </r>
  <r>
    <x v="1"/>
    <x v="6"/>
    <s v="MT/TA"/>
    <s v="DGT"/>
    <s v="Joel Máximo Reis"/>
    <s v="NA"/>
    <m/>
    <s v="Construção de ferramentaria"/>
    <s v="Construção de ferramentaria para EMLT Ituiutaba"/>
    <s v="Danos ao ferramental da equipe devido ao mal acondicionamento e riscos de lesões devido à posturas inadequadas"/>
    <m/>
    <n v="0"/>
    <m/>
    <m/>
    <m/>
    <m/>
    <m/>
    <m/>
    <m/>
    <n v="0"/>
    <m/>
    <m/>
    <m/>
    <m/>
    <m/>
    <m/>
    <m/>
    <m/>
    <m/>
    <m/>
    <m/>
    <m/>
    <n v="0"/>
  </r>
  <r>
    <x v="1"/>
    <x v="6"/>
    <s v="MT/TA"/>
    <s v="DGT"/>
    <s v="Joel Máximo Reis"/>
    <s v="NA"/>
    <m/>
    <s v="Perfuração de um novo Poço artesiano"/>
    <s v="Perfuração de um novo Poço artesiano"/>
    <s v="Faltar água na SE São Gotardo 2."/>
    <m/>
    <n v="0"/>
    <m/>
    <m/>
    <m/>
    <m/>
    <m/>
    <m/>
    <m/>
    <n v="0"/>
    <m/>
    <m/>
    <n v="70"/>
    <m/>
    <m/>
    <m/>
    <m/>
    <m/>
    <m/>
    <m/>
    <m/>
    <m/>
    <n v="70"/>
  </r>
  <r>
    <x v="1"/>
    <x v="6"/>
    <s v="MT/CN MT/TA"/>
    <s v="DGT"/>
    <s v="Joel Máximo Reis"/>
    <s v="NA"/>
    <m/>
    <s v="Substituição de aparelhos de ar condicionado"/>
    <s v="Substituição de aparelhos de ar condicionado"/>
    <s v="Ruído elevado, calor excessivo no ambiente de trabalho, prejudicando o desempenho dos empregados._x000a_Risco de falha e danos nos equipamentos digitais por alta temperatura e condiçoes ergonômicas desfavoráveis, baixa qualidade do ar, desconforto térmico."/>
    <m/>
    <n v="0"/>
    <m/>
    <m/>
    <m/>
    <m/>
    <m/>
    <m/>
    <m/>
    <n v="0"/>
    <m/>
    <m/>
    <m/>
    <m/>
    <m/>
    <m/>
    <m/>
    <m/>
    <m/>
    <m/>
    <m/>
    <m/>
    <n v="0"/>
  </r>
  <r>
    <x v="1"/>
    <x v="7"/>
    <s v="TI/TC"/>
    <s v="DGE"/>
    <s v="Francisco Elson"/>
    <s v="NA"/>
    <s v="-"/>
    <s v="Comunicação via Satélite (Telefonia)"/>
    <s v="Aparelho para serviços de telefonia via satélite."/>
    <s v="Demora no restabelecimento de linhas de transmissão, onde não é possivel comunicar com a equipe, Risco de não execução de serviços e permanência da equipe na instalação sem poder executar manutenções em linhas de transmissão."/>
    <m/>
    <n v="0"/>
    <n v="0"/>
    <n v="0"/>
    <n v="0"/>
    <n v="0"/>
    <n v="142.21934999999999"/>
    <n v="0"/>
    <n v="0"/>
    <n v="142.21934999999999"/>
    <n v="0"/>
    <n v="0"/>
    <n v="0"/>
    <n v="0"/>
    <n v="0"/>
    <n v="0"/>
    <n v="0"/>
    <n v="0"/>
    <n v="0"/>
    <n v="0"/>
    <n v="0"/>
    <n v="0"/>
    <n v="0"/>
  </r>
  <r>
    <x v="1"/>
    <x v="7"/>
    <s v="TI/TC"/>
    <s v="DGE"/>
    <s v="Francisco Elson"/>
    <s v="NA"/>
    <s v="-"/>
    <s v="Redes Ópticas da Transmissora"/>
    <s v="Construção de Redes Ópticas da Geradora para interligação ao backbone de comunicação"/>
    <s v="Perda de comunicação por falta de alimentação comercial, penalidades previstas em contrato"/>
    <m/>
    <n v="0"/>
    <m/>
    <n v="0"/>
    <n v="0"/>
    <n v="0"/>
    <n v="29"/>
    <n v="0"/>
    <n v="0"/>
    <n v="29"/>
    <n v="0"/>
    <n v="0"/>
    <n v="0"/>
    <n v="0"/>
    <n v="0"/>
    <n v="0"/>
    <n v="0"/>
    <n v="0"/>
    <n v="0"/>
    <n v="0"/>
    <n v="0"/>
    <n v="45.5"/>
    <n v="45.5"/>
  </r>
  <r>
    <x v="1"/>
    <x v="7"/>
    <s v="TI/IO"/>
    <s v="DGE"/>
    <s v="Tiago Leite"/>
    <s v="NA"/>
    <m/>
    <s v="Sistemas de Ar Condicionado da Transmissora - Ses"/>
    <m/>
    <m/>
    <m/>
    <m/>
    <m/>
    <m/>
    <m/>
    <m/>
    <m/>
    <m/>
    <n v="19.5"/>
    <n v="19.5"/>
    <m/>
    <m/>
    <m/>
    <m/>
    <m/>
    <m/>
    <m/>
    <m/>
    <m/>
    <m/>
    <m/>
    <m/>
    <n v="0"/>
  </r>
  <r>
    <x v="1"/>
    <x v="8"/>
    <s v="TI/IO"/>
    <s v="DGE"/>
    <s v="Carlos Araújo"/>
    <s v="TI04418"/>
    <s v="TINV.18.T.045.MP"/>
    <s v="Modernização do Parque Microinformática (CORPORATIVO) T"/>
    <s v="Atualização do parque de microinformática para atender a política de substituição de 20% ao ano. Visa possibilitar a realização plena das atividades da força de trabalho, dentro dos processos da empresa, com a utilização de equipamentos."/>
    <s v="-"/>
    <m/>
    <n v="0"/>
    <n v="0"/>
    <n v="0"/>
    <n v="415"/>
    <n v="0"/>
    <n v="0"/>
    <n v="0"/>
    <n v="0"/>
    <n v="415"/>
    <n v="0"/>
    <n v="0"/>
    <n v="0"/>
    <n v="0"/>
    <n v="0"/>
    <n v="0"/>
    <n v="0"/>
    <n v="55"/>
    <n v="0"/>
    <n v="0"/>
    <n v="0"/>
    <n v="0"/>
    <n v="55"/>
  </r>
  <r>
    <x v="1"/>
    <x v="9"/>
    <s v="TI/TC"/>
    <s v="DGE"/>
    <s v="Roberto Sebastião"/>
    <s v="TI06118"/>
    <s v="TINV.18.T.054.FW"/>
    <s v="Atualizações de versão de software para Solução de Firewall Check Point "/>
    <s v="Proteção do ambiente corporativo da CEMIG contra ataques, invasões oriundas da Internet e terceiros; Autorização e controle de acesso remoto ao ambiente corporativo; Garantir a comunicação da Cemig com a CCEE e com os grandes consumidores de energia da Cemig."/>
    <s v="Exposição inadequada das informações da Cemig; Contaminação dos dados da Rede Corporativa; Indisponibilidade de sistemas corporativos."/>
    <m/>
    <n v="0"/>
    <n v="97.797319999999999"/>
    <n v="0"/>
    <n v="0"/>
    <n v="0"/>
    <n v="0"/>
    <n v="0"/>
    <m/>
    <n v="97.797319999999999"/>
    <n v="0"/>
    <n v="0"/>
    <n v="0"/>
    <n v="0"/>
    <n v="0"/>
    <m/>
    <n v="0"/>
    <n v="0"/>
    <n v="0"/>
    <n v="110.7733299999999"/>
    <n v="0"/>
    <n v="0"/>
    <n v="110.7733299999999"/>
  </r>
  <r>
    <x v="1"/>
    <x v="9"/>
    <s v="TI/SI"/>
    <s v="DGE"/>
    <s v="Álisson Costa"/>
    <s v="NA"/>
    <m/>
    <s v="Projeto PMT"/>
    <m/>
    <m/>
    <m/>
    <m/>
    <m/>
    <m/>
    <m/>
    <m/>
    <m/>
    <m/>
    <m/>
    <n v="0"/>
    <m/>
    <m/>
    <n v="50"/>
    <n v="50"/>
    <n v="100"/>
    <m/>
    <m/>
    <m/>
    <m/>
    <m/>
    <m/>
    <m/>
    <n v="200"/>
  </r>
  <r>
    <x v="1"/>
    <x v="10"/>
    <s v="MT/LE"/>
    <s v="DGT"/>
    <s v="Joel Máximo Reis"/>
    <s v="MT00218"/>
    <s v="INAT/18/VE"/>
    <s v="Equipamentos e veículos para a MT"/>
    <s v="Aquisição de equipamentos como plataformas aérea articuladas e guindastes para o processo de manutenção da Transmissão._x000a_Aquisição (físico):_x000a_- 5 (cinco) Guindastes até 14 toneladas para instalação em caminhão existente;_x000a_- 1 (um) Guindaste até 23 toneladas para instalação no caminhão existente com opcionais de guincho e controle remoto. (preço Hyva);_x000a_- 5 (cinco) Guindastes até 23 toneladas para instalação no caminhão existente com opcionais de guincho e controle remoto;_x000a_- 2 (duas) Plataformas aéreas articuladas  20 metros;_x000a_- 3 (três) Plataformas aéreas articuladas, máxima altura (Acima de 14m);_x000a_- 2 (dois) Veículos para instalação da plataforma._x000a__x000a_Necessidade de substituição dos atuais equipamentos pelos seguintes problemas:_x000a__x000a_-Cesto simples, apenas um executante, aumento no tempo de execução das tarefas._x000a_-Dificuldade de entrar ao cesto, risco de queda. Foto 1._x000a_-Limite de altura do Cesto simples de 10 metros, insuficiente para acesso aos equipamentos acima de 345kV e alguns equipamentos de 230kV._x000a_-Cesto simples sem acesso ao piso. Caso ocorra queda de alguma ferramenta ou material no piso do cesto é necessário baixar a lança até o solo. Foto 1._x000a_-Movimentos bruscos da lança, não linear, principalmente no início do movimento tem provocado aumento no tempo de posicionamento dos equipamentos içados e consequentemente possibilidade de danos aos equipamentos e risco para pessoas. _x000a_-Falta de articulações na lança, dificultando o acesso nos equipamentos e nas manobras nos pátios de 138 kV, aumentando o tempo de execução com perda de produtividade. Cestas Masal possui apenas uma articulação, foto 2._x000a_-Acidente com a equipe da CEMIG-D na cidade de Lafaiete, provocou recall, falha de projeto, em todas as cestas aéreas, provocando transtorno nas equipes e reprogramação de diversos serviços._x000a__x000a_"/>
    <s v="Comprometimento da produtividade, segurança e condições ergonômicas para a realização das atividades de manutenção do sistema elétrico;_x000a_Falta de ferramentas de trabalho para as equipes de manutenção, e a não adequação legal, comprometendo a segurança de empregados e a produtividade das equipes;_x000a_Manter na frota veículos obsoletos, com alto índice de indisponibilidade, podendo até mesmo comprometer a segurança dos empregados e sua produtividade._x000a_"/>
    <s v="Projeto com início previsto para 2018 (R$ 1.513 mil) postergado para 2019 devido a dificuldades com adaptação dos implementos nos veículos disponíveis e diferença de prazo de entrega, que era 60 dias e nos novos orçamentos foi de 150."/>
    <n v="0"/>
    <m/>
    <m/>
    <m/>
    <m/>
    <m/>
    <m/>
    <m/>
    <n v="0"/>
    <m/>
    <m/>
    <m/>
    <m/>
    <n v="1513"/>
    <m/>
    <m/>
    <m/>
    <m/>
    <m/>
    <m/>
    <m/>
    <n v="1513"/>
  </r>
  <r>
    <x v="1"/>
    <x v="10"/>
    <s v="SC"/>
    <s v="DGE"/>
    <s v="Ormindo Coutinho Filho"/>
    <s v="NA"/>
    <m/>
    <s v="Substituição de Veículos da Diretoria Executiva - Transmissão"/>
    <s v="Renovação da frota de veículos da Diretoria Executiva - Transmiss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m/>
    <m/>
    <m/>
    <m/>
    <m/>
    <m/>
    <m/>
    <n v="0"/>
    <m/>
    <m/>
    <m/>
    <m/>
    <m/>
    <m/>
    <n v="105.44"/>
    <m/>
    <m/>
    <m/>
    <m/>
    <m/>
    <n v="105.44"/>
  </r>
  <r>
    <x v="1"/>
    <x v="11"/>
    <s v="MT/CT"/>
    <s v="DGT"/>
    <s v="Gustavo Soares/Leandro Veloso Cunha/Joel Máximo"/>
    <s v="NA"/>
    <m/>
    <s v="Aquisição de 04 cestas aéreas"/>
    <s v="Aquisição de 04 Cestas aérea para trabalho em Linha viva 345/500 kV até 18m em substituição as extensões isolantes para grua."/>
    <s v="Multas do MTE; Restrição de ferramentas para execução de serviços em linha viva; elevação dos custos de Parcela Variável."/>
    <m/>
    <n v="0"/>
    <n v="0"/>
    <n v="0"/>
    <n v="0"/>
    <n v="0"/>
    <n v="0"/>
    <n v="0"/>
    <n v="0"/>
    <n v="0"/>
    <n v="0"/>
    <n v="0"/>
    <n v="0"/>
    <n v="0"/>
    <n v="0"/>
    <n v="0"/>
    <n v="0"/>
    <n v="0"/>
    <n v="0"/>
    <n v="0"/>
    <n v="0"/>
    <n v="0"/>
    <n v="0"/>
  </r>
  <r>
    <x v="1"/>
    <x v="11"/>
    <s v="MT/CT"/>
    <s v="DGT"/>
    <s v="Gustavo Soares/Joel Máximo"/>
    <s v="MT01017"/>
    <s v="INAT/18/FE"/>
    <s v="Aquisição de ferramentas de manutenção diversas"/>
    <s v="Ferramentas de manutenção MT"/>
    <s v="Produtividade das rotinas de manutenção, mantendo-se as condições de segurança para os empregados, e cumprimento dos requisitos da ReN Aneel nº 669/2015 - Requisitos Mínimos de Manutenção"/>
    <m/>
    <n v="18.819390416145325"/>
    <m/>
    <m/>
    <n v="15.390969999999999"/>
    <n v="54.116079999999997"/>
    <n v="98.5"/>
    <m/>
    <n v="896.68239460319501"/>
    <n v="1083.5088350193403"/>
    <n v="77.703347499999992"/>
    <n v="77.703347499999992"/>
    <n v="77.703347499999992"/>
    <n v="77.703347499999992"/>
    <n v="77.703347499999992"/>
    <n v="77.703347499999992"/>
    <n v="77.703347499999992"/>
    <n v="77.703347499999992"/>
    <n v="77.703347499999992"/>
    <n v="77.703347499999992"/>
    <n v="77.703347499999992"/>
    <n v="77.703347499999992"/>
    <n v="932.44016999999974"/>
  </r>
  <r>
    <x v="1"/>
    <x v="11"/>
    <s v="MT"/>
    <s v="DGT"/>
    <s v="Gustavo Soares/Eduardo Martins/Adriana de Castro"/>
    <s v="MT00516"/>
    <s v="INAT/16/FE"/>
    <s v="Ferramentas 2016 - MT"/>
    <m/>
    <m/>
    <m/>
    <n v="4.3380299806594849"/>
    <m/>
    <m/>
    <m/>
    <m/>
    <m/>
    <m/>
    <m/>
    <n v="4.3380299806594849"/>
    <m/>
    <m/>
    <m/>
    <m/>
    <m/>
    <m/>
    <m/>
    <m/>
    <m/>
    <m/>
    <m/>
    <m/>
    <n v="0"/>
  </r>
  <r>
    <x v="1"/>
    <x v="11"/>
    <s v="PO/MT"/>
    <s v="DGT"/>
    <s v="Gustavo Soares/Eduardo Martins/Adriana de Castro"/>
    <s v="PO00417"/>
    <s v="INGT/18/783/FERR"/>
    <s v="Ferramentas para o Centro de Monitoramento Preditivo e para o Laboratório de integração de novos ativos de Proteção, Controle, Supervisão e Automação da PO/MT"/>
    <s v="Ferramentas PO/MT_CMP e PCSA"/>
    <s v="Produtividade; atraso na realização e análises de testes de integração/monitoramento de ativos; segurança de pessoal; "/>
    <m/>
    <n v="87.617710113525391"/>
    <n v="4.5140000000000002"/>
    <n v="0"/>
    <n v="13"/>
    <n v="47.237050000000004"/>
    <n v="196.03399999999999"/>
    <n v="330"/>
    <n v="48.967739886474803"/>
    <n v="727.37050000000011"/>
    <n v="0"/>
    <n v="0"/>
    <n v="0"/>
    <n v="0"/>
    <n v="0"/>
    <n v="0"/>
    <n v="0"/>
    <n v="0"/>
    <n v="0"/>
    <n v="0"/>
    <n v="0"/>
    <n v="363.29999999999995"/>
    <n v="363.29999999999995"/>
  </r>
  <r>
    <x v="2"/>
    <x v="12"/>
    <s v="RH/EC"/>
    <s v="DRH"/>
    <s v="Romeraldo"/>
    <s v="NA"/>
    <m/>
    <s v="2 Alicates amperímetros digital com tecnologia wi-fi."/>
    <s v="Equipamento para o curso de Termografia aplicada ao Sistema Elétrico."/>
    <s v="A falta de treinamento das equipes impossibilitará as manutenções preventivas dos equipamentos de subestações, ocasionando altos índices de defeitos e indisponibilidade do sistema elétrico."/>
    <m/>
    <n v="0"/>
    <m/>
    <m/>
    <m/>
    <m/>
    <m/>
    <m/>
    <m/>
    <n v="0"/>
    <m/>
    <m/>
    <m/>
    <m/>
    <m/>
    <m/>
    <m/>
    <m/>
    <m/>
    <m/>
    <m/>
    <m/>
    <n v="0"/>
  </r>
  <r>
    <x v="2"/>
    <x v="12"/>
    <s v="RH/EC"/>
    <s v="DRH"/>
    <s v="Januario"/>
    <s v="NA"/>
    <m/>
    <s v="2 HI-POTT CA até 60 kV"/>
    <s v="Equipamento para o treinamento de rede aerea isolada."/>
    <s v="A falta de treinamento das equipes impossibilitará as manutenções preventivas dos equipamentos de subestações, ocasionando altos índices de defeitos e indisponibilidade do sistema elétrico."/>
    <m/>
    <n v="0"/>
    <m/>
    <m/>
    <m/>
    <m/>
    <m/>
    <m/>
    <m/>
    <n v="0"/>
    <m/>
    <m/>
    <m/>
    <m/>
    <m/>
    <m/>
    <m/>
    <m/>
    <m/>
    <m/>
    <m/>
    <n v="10"/>
    <n v="10"/>
  </r>
  <r>
    <x v="2"/>
    <x v="12"/>
    <s v="GR/PC"/>
    <s v="DDC"/>
    <s v="Ronaldo Oliveira"/>
    <s v="GR00118"/>
    <s v="INFR.341.01918"/>
    <s v="Aquisição camara climática"/>
    <s v="Equipamento de testes de materiais e componentes eletricos e eletronicos em laboratorio, com temperatura e umidade programaveis"/>
    <s v="Tem como objetivo utilizar critérios para homologação de medidores eletrônicos visando levantar sua vida útil(13 anos), por meio do ensaio de vida acelerada, onde o medidor é submetido a câmara climática com temperatura de 85°C e 87% de umidade, durante um período de tempo calculado com referencia na NBR16078. A aquisição de uma câmara climática pela CEMIG é de essencial importância para o acompanhamento/verificação da conformidade do modelo aprovado no projeto Sinergia, ou seja, possibilitar as verificações posteriores nos medidores de fornecimento, garantindo a conformidade com o produto aprovado nos ensaios de vida acelerada. Estes testes evitaram erro no faturamento e de custos de manutenção. "/>
    <m/>
    <n v="0"/>
    <m/>
    <m/>
    <m/>
    <m/>
    <m/>
    <m/>
    <n v="350"/>
    <n v="350"/>
    <m/>
    <m/>
    <m/>
    <m/>
    <m/>
    <m/>
    <m/>
    <m/>
    <m/>
    <m/>
    <m/>
    <m/>
    <n v="0"/>
  </r>
  <r>
    <x v="2"/>
    <x v="12"/>
    <s v="EA/EO"/>
    <s v="DDC"/>
    <s v="Beline Q. A. Fonseca"/>
    <s v="NA"/>
    <m/>
    <s v="Aquisição de 2 computadores do tipo Notebook."/>
    <s v="Substituição de dois notebooks obsoletos (Agnaldo Neves e Ricardo Dourado)._x000a_"/>
    <s v="Demora na disponibilização de informações de campo e prestação de contas em sistemas corporativos._x000a_"/>
    <m/>
    <n v="0"/>
    <m/>
    <m/>
    <m/>
    <m/>
    <n v="6.8"/>
    <m/>
    <m/>
    <n v="6.8"/>
    <m/>
    <m/>
    <m/>
    <m/>
    <m/>
    <m/>
    <m/>
    <m/>
    <m/>
    <m/>
    <m/>
    <m/>
    <n v="0"/>
  </r>
  <r>
    <x v="2"/>
    <x v="12"/>
    <s v="EA/EO"/>
    <s v="DDC"/>
    <s v="Beline Q. A. Fonseca"/>
    <s v="NA"/>
    <m/>
    <s v="Aquisição de 4 computadores  Notebook."/>
    <s v="Aquisição de 4 Notebook´s para utilização dos técnicos de automação e comissionamento (2 Xomni e 2 Softer analisador de protocolo) "/>
    <s v="Dependencia de software  e hardware (Notebooks) das equipes de manutenção regional que nem sempre estao disponiveis ."/>
    <m/>
    <n v="0"/>
    <m/>
    <m/>
    <m/>
    <m/>
    <n v="10"/>
    <m/>
    <m/>
    <n v="10"/>
    <m/>
    <m/>
    <m/>
    <m/>
    <m/>
    <m/>
    <m/>
    <m/>
    <m/>
    <m/>
    <m/>
    <m/>
    <n v="0"/>
  </r>
  <r>
    <x v="2"/>
    <x v="12"/>
    <s v="AD/AC"/>
    <s v="DDC"/>
    <s v="Thais Freire"/>
    <s v="NA"/>
    <m/>
    <s v="Aquisição de medidores de qualidade de energia classe A para atendimento aos requisitos dos Procedimentos de Rede e da revisão 8 do Módulo 8 do PRODIST."/>
    <s v="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
    <s v="Risco de penalidades por descumprimento da legislação ANEEL e ONS."/>
    <m/>
    <n v="0"/>
    <m/>
    <m/>
    <m/>
    <m/>
    <n v="300"/>
    <m/>
    <m/>
    <n v="300"/>
    <n v="180"/>
    <m/>
    <m/>
    <m/>
    <m/>
    <m/>
    <m/>
    <m/>
    <m/>
    <m/>
    <m/>
    <m/>
    <n v="180"/>
  </r>
  <r>
    <x v="2"/>
    <x v="12"/>
    <s v="RH/EC"/>
    <s v="DRH"/>
    <s v="Marcela Augusta"/>
    <s v="RH00218"/>
    <s v="INFR.341.01718"/>
    <s v="Aquisição de recursos pedagógicos para Univercemig"/>
    <s v="Aquisição de recursos pedagógicos para Univercemig 2018"/>
    <m/>
    <m/>
    <n v="0"/>
    <m/>
    <m/>
    <m/>
    <m/>
    <n v="230"/>
    <m/>
    <m/>
    <n v="230"/>
    <m/>
    <m/>
    <m/>
    <m/>
    <m/>
    <m/>
    <m/>
    <m/>
    <m/>
    <m/>
    <m/>
    <m/>
    <n v="0"/>
  </r>
  <r>
    <x v="2"/>
    <x v="12"/>
    <s v="RH/EC"/>
    <s v="DRH"/>
    <s v="Marcela Augusta"/>
    <s v="NA"/>
    <m/>
    <s v="Aquisição de recursos pedagógicos para Univercemig"/>
    <s v="Aquisição de recursos pedagógicos para Univercemig"/>
    <m/>
    <m/>
    <n v="0"/>
    <m/>
    <m/>
    <m/>
    <m/>
    <m/>
    <m/>
    <m/>
    <n v="0"/>
    <m/>
    <m/>
    <m/>
    <m/>
    <m/>
    <m/>
    <m/>
    <m/>
    <m/>
    <m/>
    <m/>
    <n v="162"/>
    <n v="162"/>
  </r>
  <r>
    <x v="2"/>
    <x v="12"/>
    <s v="EA/EL"/>
    <s v="DDC"/>
    <s v="José William Campomizzi"/>
    <s v="NA"/>
    <m/>
    <s v="AquisIção de Smartfone para os fiscais de obra, com recurso de internet e boa resolução para registro fotográfico, acesso em campo aos sistemas GESET e GEDEX."/>
    <s v="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
    <s v="Contribui para a morosidade na tomada de decisão do engenheiro de obra."/>
    <m/>
    <n v="0"/>
    <m/>
    <m/>
    <m/>
    <m/>
    <n v="4.8"/>
    <m/>
    <n v="2.4"/>
    <n v="7.1999999999999993"/>
    <m/>
    <m/>
    <m/>
    <m/>
    <m/>
    <m/>
    <m/>
    <m/>
    <m/>
    <m/>
    <m/>
    <m/>
    <n v="0"/>
  </r>
  <r>
    <x v="2"/>
    <x v="12"/>
    <s v="EA/EO"/>
    <s v="DDC"/>
    <s v="Beline Q. A. Fonseca"/>
    <s v="NA"/>
    <m/>
    <s v="Aquisição de uma máquina fotográfica Semi profissional"/>
    <s v="Aquisição de 4 máquinas fotográficas digital com Zoom ótico maior que 28X"/>
    <s v="A fiscalização, no solo, da montagem de estrturas em LD´s , pórticos etc.. Durante o pre-comissionamento, ocasionando o retrabalho do comissionamento das equipes de LD´s regionais."/>
    <m/>
    <n v="0"/>
    <m/>
    <m/>
    <m/>
    <m/>
    <n v="5"/>
    <m/>
    <m/>
    <n v="5"/>
    <m/>
    <m/>
    <m/>
    <m/>
    <m/>
    <m/>
    <m/>
    <m/>
    <m/>
    <m/>
    <m/>
    <m/>
    <n v="0"/>
  </r>
  <r>
    <x v="2"/>
    <x v="12"/>
    <s v="RH/EC"/>
    <s v="DRH"/>
    <s v="Romeraldo"/>
    <s v="NA"/>
    <m/>
    <s v="Calibrador tipo Corpo Negro (Fonte de Calor)"/>
    <s v="Equipamento para o curso de Termografia aplicada ao Sistema Elétrico."/>
    <s v="A falta de treinamento das equipes impossibilitará as manutenções preventivas dos equipamentos de subestações, ocasionando altos índices de defeitos e indisponibilidade do sistema elétrico."/>
    <m/>
    <n v="0"/>
    <m/>
    <m/>
    <m/>
    <m/>
    <m/>
    <m/>
    <m/>
    <n v="0"/>
    <m/>
    <m/>
    <m/>
    <m/>
    <m/>
    <m/>
    <m/>
    <m/>
    <m/>
    <m/>
    <m/>
    <m/>
    <n v="0"/>
  </r>
  <r>
    <x v="2"/>
    <x v="12"/>
    <s v="TI/TC"/>
    <s v="DGE"/>
    <s v="Daniel Sena"/>
    <s v="NA"/>
    <m/>
    <s v="Cemig D - Regionais de manutenção"/>
    <s v="Aquisição de Ferramentas manuais e Instrumentos para regionais de manutenção"/>
    <m/>
    <m/>
    <n v="0"/>
    <m/>
    <m/>
    <m/>
    <m/>
    <m/>
    <m/>
    <n v="66.982799999999997"/>
    <n v="66.982799999999997"/>
    <m/>
    <m/>
    <m/>
    <m/>
    <m/>
    <m/>
    <m/>
    <m/>
    <m/>
    <m/>
    <m/>
    <n v="44.655199999999994"/>
    <n v="44.655199999999994"/>
  </r>
  <r>
    <x v="2"/>
    <x v="12"/>
    <s v="AD/AD"/>
    <s v="DDC"/>
    <s v="Flavio Henrique M. Vieira"/>
    <s v="NA"/>
    <m/>
    <s v="Equipamento analisador de nível de sinal celular - AQS "/>
    <s v="Aquisição de 25 equipamento analisador de nível de sinal celular - AQS "/>
    <s v="Elevação de custos de OPEX com serviço de campo para  manutenção do pontos que apresentam baixa performance para operação do COD.  Não será capturado melhoria dos indicadores de qualidade, dentre eles o DEC"/>
    <m/>
    <n v="0"/>
    <m/>
    <m/>
    <m/>
    <m/>
    <n v="125"/>
    <m/>
    <m/>
    <n v="125"/>
    <n v="0"/>
    <m/>
    <m/>
    <m/>
    <m/>
    <m/>
    <m/>
    <m/>
    <m/>
    <m/>
    <m/>
    <m/>
    <n v="0"/>
  </r>
  <r>
    <x v="2"/>
    <x v="12"/>
    <s v="CD "/>
    <s v="DDC"/>
    <s v="Fábio"/>
    <s v="CD00315"/>
    <m/>
    <s v="Ferramentas DDC 2015"/>
    <m/>
    <m/>
    <m/>
    <n v="11.104649901390076"/>
    <m/>
    <m/>
    <m/>
    <m/>
    <m/>
    <m/>
    <n v="1.6000000238418499"/>
    <n v="12.704649925231926"/>
    <m/>
    <m/>
    <m/>
    <m/>
    <m/>
    <m/>
    <m/>
    <m/>
    <m/>
    <m/>
    <m/>
    <m/>
    <n v="0"/>
  </r>
  <r>
    <x v="2"/>
    <x v="12"/>
    <s v="AD/AD"/>
    <s v="DDC"/>
    <s v="Flavio Henrique M. Vieira"/>
    <s v="NA"/>
    <m/>
    <s v="Ferramentas e equipamentos para Laboratório de testes de equipamentos  em Uberlândia"/>
    <s v="Aquisição de equipamentos para testes em equipamentos de rede em Uberlândia (Fonte de corrente 300A,Hipots 10kV, Alicates volt amperímetro CAT IV e fontes de tensão VCC estabilizada)"/>
    <s v="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
    <m/>
    <n v="0"/>
    <m/>
    <m/>
    <m/>
    <m/>
    <m/>
    <n v="48"/>
    <m/>
    <n v="48"/>
    <n v="0"/>
    <m/>
    <m/>
    <m/>
    <m/>
    <m/>
    <m/>
    <m/>
    <m/>
    <m/>
    <m/>
    <m/>
    <n v="0"/>
  </r>
  <r>
    <x v="2"/>
    <x v="12"/>
    <s v="AD/AD"/>
    <s v="DDC"/>
    <s v="Flavio Henrique M. Vieira"/>
    <s v="NA"/>
    <m/>
    <s v="Laboratório para homologação de equipamentos de automação "/>
    <s v="Aquisição de equipamentos para montagem do laboratório de homologação de equipamentos de automação na cidade industrial Q14"/>
    <s v="A automação da distribuição é essencial para atingir objetivos melhoria de processos. O não desenvolvimento de novas soluções e tecnologias para equipamentos de rede e SEs  implica em não obtenção da redução de custos operacionais e de agregação de receita bem como melhoria dos indicadores de qualidade, dentre eles o DEC."/>
    <m/>
    <n v="0"/>
    <m/>
    <m/>
    <m/>
    <m/>
    <m/>
    <m/>
    <m/>
    <n v="0"/>
    <m/>
    <m/>
    <m/>
    <m/>
    <m/>
    <m/>
    <m/>
    <m/>
    <m/>
    <m/>
    <m/>
    <m/>
    <n v="0"/>
  </r>
  <r>
    <x v="2"/>
    <x v="12"/>
    <s v="RH/EC"/>
    <s v="DRH"/>
    <s v="Denis"/>
    <s v="NA"/>
    <m/>
    <s v="Medidor de Relação de transformação digital"/>
    <s v="Equipamento para o curso de Ensaios Elétricos."/>
    <s v="A falta de treinamento das equipes impossibilitará as manutenções preventivas dos equipamentos de subestações, ocasionando altos índices de defeitos e indisponibilidade do sistema elétrico."/>
    <m/>
    <n v="0"/>
    <m/>
    <m/>
    <m/>
    <m/>
    <m/>
    <m/>
    <m/>
    <n v="0"/>
    <m/>
    <m/>
    <m/>
    <m/>
    <m/>
    <m/>
    <m/>
    <m/>
    <m/>
    <m/>
    <m/>
    <n v="33"/>
    <n v="33"/>
  </r>
  <r>
    <x v="2"/>
    <x v="12"/>
    <s v="EA/EP"/>
    <s v="DDC"/>
    <s v="Afonso Vanderlei Nunes Barbosa"/>
    <s v="NA"/>
    <m/>
    <s v="Modernização do parque tecnológio da EA/EP para serviços geodésicos."/>
    <s v="Aquisição de um par de Receptor GPS de dupla frequência L1/L2 - RTK  – Incluindo software de descarregamento e transformação dos dados brutos para formato RINEX e seus acessórios "/>
    <s v="Aumento do custo de mão-obra própria com o uso das tecnologias atuais;_x000a_Aumento do riscos de má qualidade do projetos;_x000a_Risco de atraso nas obras;_x000a_"/>
    <m/>
    <n v="0"/>
    <m/>
    <m/>
    <m/>
    <m/>
    <m/>
    <n v="50"/>
    <m/>
    <n v="50"/>
    <m/>
    <m/>
    <m/>
    <m/>
    <m/>
    <m/>
    <m/>
    <m/>
    <m/>
    <m/>
    <m/>
    <m/>
    <n v="0"/>
  </r>
  <r>
    <x v="2"/>
    <x v="12"/>
    <s v="EA/EP"/>
    <s v="DDC"/>
    <s v="Afonso Vanderlei Nunes Barbosa"/>
    <s v="NA"/>
    <m/>
    <s v="Modernização do parque tecnológio da EA/EP para serviços topográficos "/>
    <s v="Aquisição de uma estação total e seus acessórios  (mira, tripé, bolsae caixa de transporte, baliza e bastão de aluminio, baterias, controladora e trena eletrônica)"/>
    <s v="Aumento do custo de mão-obra própria com o uso das tecnologias atuais;_x000a_Aumento do riscos de má qualidade do projetos;_x000a_Risco de atraso nas obras;_x000a_"/>
    <m/>
    <n v="0"/>
    <m/>
    <m/>
    <m/>
    <m/>
    <m/>
    <n v="15"/>
    <m/>
    <n v="15"/>
    <m/>
    <m/>
    <m/>
    <m/>
    <m/>
    <m/>
    <m/>
    <m/>
    <m/>
    <m/>
    <m/>
    <m/>
    <n v="0"/>
  </r>
  <r>
    <x v="2"/>
    <x v="12"/>
    <s v="EM/CE"/>
    <s v="DDC"/>
    <s v="Emerson Sidney"/>
    <s v="EM00118"/>
    <s v="INFR.341.02718"/>
    <s v="Programa de Substituição e Modernização de Ferramentas EM/CE"/>
    <s v="Compra de ferramentas para as equipes de projetos e obras de resdes BT/MT(recomposição, prospecção)"/>
    <s v="Equipes produzindo menos"/>
    <m/>
    <n v="0"/>
    <m/>
    <m/>
    <m/>
    <m/>
    <n v="250"/>
    <m/>
    <m/>
    <n v="250"/>
    <m/>
    <m/>
    <m/>
    <m/>
    <m/>
    <m/>
    <m/>
    <m/>
    <m/>
    <m/>
    <m/>
    <m/>
    <n v="0"/>
  </r>
  <r>
    <x v="2"/>
    <x v="12"/>
    <s v="MD/CS"/>
    <s v="DDC"/>
    <s v="Emerson de Sales Cruz"/>
    <s v="MD00118"/>
    <s v="INFR.341.01118"/>
    <s v="Programa de Substituição e Modernização de Ferramentas MD/CS"/>
    <s v="Aquisição de ferramentas para as equipes das gerências de manutenção e serviços de campo da MD"/>
    <s v="Comprometer a produtividade das equipes, a qualidade dos serviços prestados  e atendimento aos indices de qualidade de fornecimento da Distribuição."/>
    <m/>
    <n v="0"/>
    <m/>
    <n v="423"/>
    <n v="0"/>
    <n v="517.29535007476807"/>
    <m/>
    <m/>
    <m/>
    <n v="940.29535007476807"/>
    <m/>
    <m/>
    <m/>
    <m/>
    <m/>
    <m/>
    <n v="1080"/>
    <n v="406"/>
    <n v="319"/>
    <m/>
    <m/>
    <m/>
    <n v="1805"/>
  </r>
  <r>
    <x v="2"/>
    <x v="13"/>
    <s v="SC"/>
    <s v="DGE"/>
    <s v="Rafael Braga"/>
    <s v="GE00214"/>
    <s v="INFR.342.00414.054.BEBED"/>
    <s v="2017 - Aquisição de Bebedouro e Itens 10 e 13 do PC 4500029072 Seal Telecom"/>
    <s v="2017 - Aquisição de Bebedouro e Itens 10 e 13 do PC 4500029072 Seal Telecom"/>
    <s v="2017 - Aquisição de Bebedouro e Itens 10 e 13 do PC 4500029072 Seal Telecom"/>
    <m/>
    <n v="1.7749999761581421"/>
    <n v="6.3078399999999997"/>
    <m/>
    <m/>
    <m/>
    <m/>
    <m/>
    <m/>
    <n v="8.0828399761581409"/>
    <m/>
    <m/>
    <m/>
    <m/>
    <m/>
    <m/>
    <m/>
    <m/>
    <m/>
    <m/>
    <m/>
    <m/>
    <n v="0"/>
  </r>
  <r>
    <x v="2"/>
    <x v="13"/>
    <s v="SC"/>
    <s v="DDC"/>
    <s v="Mariana Tanure"/>
    <s v="CD00215"/>
    <s v="PIGD.15.687.O1.GE"/>
    <s v="2017 - Prestobat - Itens 1 e 3 do Pedido de compras 4500029427 – 27 aparelhos de ar condicionado"/>
    <s v="2017 - Prestobat - Itens 1 e 3 do Pedido de compras 4500029427 – 27 aparelhos de ar condicionado"/>
    <s v="2017 - Prestobat - Itens 1 e 3 do Pedido de compras 4500029427 – 27 aparelhos de ar condicionado"/>
    <m/>
    <n v="54.296999216079712"/>
    <m/>
    <m/>
    <m/>
    <m/>
    <m/>
    <m/>
    <m/>
    <n v="54.296999216079712"/>
    <m/>
    <m/>
    <m/>
    <m/>
    <m/>
    <m/>
    <m/>
    <m/>
    <m/>
    <m/>
    <m/>
    <m/>
    <n v="0"/>
  </r>
  <r>
    <x v="2"/>
    <x v="14"/>
    <s v="CD/GP"/>
    <s v="DDC"/>
    <s v="Karla Louise"/>
    <s v="NA"/>
    <m/>
    <s v="Orçamento a ser priorizado pela DDC"/>
    <m/>
    <m/>
    <m/>
    <m/>
    <m/>
    <m/>
    <m/>
    <m/>
    <m/>
    <m/>
    <m/>
    <n v="0"/>
    <n v="0"/>
    <n v="0"/>
    <n v="0"/>
    <n v="0"/>
    <n v="0"/>
    <m/>
    <m/>
    <m/>
    <m/>
    <m/>
    <m/>
    <n v="2015.0433251530048"/>
    <n v="2015.0433251530048"/>
  </r>
  <r>
    <x v="2"/>
    <x v="13"/>
    <s v="SC"/>
    <s v="DGE"/>
    <s v="Flávio Henrique Silva Rosário"/>
    <s v="NA"/>
    <m/>
    <s v="Aquisição de baterias para os Nobreaks dos Edifícios Júlio Soares e Aureliano Chaves"/>
    <s v="Aquisição de baterias para os Nobreaks, que possuem vida útil média de 5 anos e precisam ser substituídas de periodicamente."/>
    <s v="Falha completa dos nobreaks, o que pode provocar interrupção no fornecimento de energia para áreas críticas da empresa, como COS, COD e TI, e consequentemente, diversos prejuízos em falhas operacionais e multas no Sistema Elétrica da Cemig."/>
    <m/>
    <n v="0"/>
    <m/>
    <m/>
    <m/>
    <m/>
    <m/>
    <m/>
    <m/>
    <n v="0"/>
    <m/>
    <m/>
    <m/>
    <m/>
    <m/>
    <m/>
    <m/>
    <m/>
    <m/>
    <m/>
    <m/>
    <m/>
    <n v="0"/>
  </r>
  <r>
    <x v="2"/>
    <x v="13"/>
    <s v="SC"/>
    <s v="DGE"/>
    <s v="Flávio Henrique Silva Rosário"/>
    <s v="NA"/>
    <m/>
    <s v="Aquisição de Bebedouros CEMIG"/>
    <s v="Aquisição de Bebedouros para várias unidades da Cemig."/>
    <s v="Dificuldade no fornecimento de bebedouros para as instalações da Cemig e consequentemente, no fornecimento de água para os funcionários conforme normas regulamentadores."/>
    <m/>
    <n v="0"/>
    <m/>
    <m/>
    <m/>
    <m/>
    <m/>
    <m/>
    <m/>
    <n v="0"/>
    <m/>
    <m/>
    <m/>
    <m/>
    <m/>
    <m/>
    <m/>
    <m/>
    <n v="25"/>
    <m/>
    <m/>
    <m/>
    <n v="25"/>
  </r>
  <r>
    <x v="2"/>
    <x v="13"/>
    <s v="SC"/>
    <s v="DGE"/>
    <s v="Daniel Bretas (31-35062945)"/>
    <s v="NA"/>
    <m/>
    <s v="AQUISIÇÃO DE ELETRODOMÉSTICOS"/>
    <s v="AQUISIÇÃO DE 18 ELETRODOMÉSTICOS (REFRIGERADORES E FOGÕES) PARA REGIONAIS DA DGE - INSTALAÇÕES DA CEMIG D"/>
    <s v="• Aumento nos custos de manutenção (despesa operacional), uma vez que os atuais equipamentos obsoletos são submetidos e reiterados consertos"/>
    <m/>
    <n v="0"/>
    <m/>
    <m/>
    <m/>
    <m/>
    <m/>
    <m/>
    <m/>
    <n v="0"/>
    <m/>
    <m/>
    <m/>
    <m/>
    <m/>
    <m/>
    <m/>
    <m/>
    <m/>
    <m/>
    <m/>
    <m/>
    <n v="0"/>
  </r>
  <r>
    <x v="2"/>
    <x v="13"/>
    <s v="SC"/>
    <s v="DGE"/>
    <s v="Flávio Henrique Silva Rosário/ Daniel Bretas"/>
    <s v="NA"/>
    <m/>
    <s v="Aquisição de Equipamento Geral - Ar Condicionado, Bebedouro, Projetor e Microondas - Distribuição"/>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s v="Alongamento da curva de desembolso, para atendimento à demanda financeira da empresa."/>
    <n v="0"/>
    <m/>
    <m/>
    <m/>
    <m/>
    <m/>
    <m/>
    <m/>
    <n v="0"/>
    <m/>
    <m/>
    <m/>
    <m/>
    <m/>
    <m/>
    <m/>
    <n v="200"/>
    <m/>
    <m/>
    <m/>
    <m/>
    <n v="200"/>
  </r>
  <r>
    <x v="2"/>
    <x v="13"/>
    <s v="SC"/>
    <s v="DGE"/>
    <s v="Flávio Henrique Silva Rosário/ Daniel Bretas"/>
    <s v="SC00418"/>
    <s v="INFR.342.01618"/>
    <s v="Aquisição de Equipamento Geral - Ar Condicionado, Bebedouro, Projetor e Microondas - Distribuição - SC00418"/>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m/>
    <n v="0"/>
    <n v="22.880000114440854"/>
    <n v="81"/>
    <n v="49.119999885559054"/>
    <m/>
    <m/>
    <m/>
    <m/>
    <n v="152.99999999999991"/>
    <m/>
    <m/>
    <m/>
    <m/>
    <m/>
    <m/>
    <m/>
    <m/>
    <m/>
    <m/>
    <m/>
    <m/>
    <n v="0"/>
  </r>
  <r>
    <x v="2"/>
    <x v="13"/>
    <s v="EM/CE"/>
    <s v="DDC"/>
    <s v="Emerson Sidney"/>
    <s v="EM00218"/>
    <s v="INFR.342.02818"/>
    <s v="Aquisição de Equipamento Geral (câmera fotográfica) para EM"/>
    <m/>
    <m/>
    <m/>
    <m/>
    <m/>
    <m/>
    <m/>
    <m/>
    <m/>
    <m/>
    <n v="125"/>
    <n v="125"/>
    <m/>
    <m/>
    <m/>
    <m/>
    <m/>
    <m/>
    <m/>
    <m/>
    <m/>
    <m/>
    <m/>
    <m/>
    <n v="0"/>
  </r>
  <r>
    <x v="2"/>
    <x v="13"/>
    <s v="CE"/>
    <s v="DRC"/>
    <s v="Tércia Moreira"/>
    <s v="CE00118"/>
    <s v="INFR.342.02618"/>
    <s v="Aquisição de equipamentos de video/imagem para CE"/>
    <m/>
    <m/>
    <m/>
    <n v="0"/>
    <m/>
    <m/>
    <n v="60"/>
    <m/>
    <m/>
    <m/>
    <m/>
    <n v="60"/>
    <m/>
    <m/>
    <m/>
    <m/>
    <m/>
    <m/>
    <m/>
    <m/>
    <m/>
    <m/>
    <m/>
    <m/>
    <n v="0"/>
  </r>
  <r>
    <x v="2"/>
    <x v="13"/>
    <s v="MS/QL"/>
    <s v="DGE"/>
    <s v="Rodrigo Marques"/>
    <s v="NA"/>
    <m/>
    <s v="Aquisição de Equipamentos e instrumentos para laboratório MS/QL"/>
    <s v="Aquisição de Equipamentos e instrumentos para laboratório MS/QL, para realização de ensaios e adequação às necessidades atuais."/>
    <s v="A não execução pode levar ao risco de baixar a qualidade dos materiais adquiridos pela CEMIG e até mesMO de paralizar a realização de ensaios dos laboratórios da MS/QL."/>
    <m/>
    <n v="0"/>
    <m/>
    <n v="114"/>
    <m/>
    <m/>
    <m/>
    <m/>
    <m/>
    <n v="114"/>
    <m/>
    <m/>
    <m/>
    <m/>
    <m/>
    <m/>
    <m/>
    <m/>
    <m/>
    <m/>
    <m/>
    <m/>
    <n v="0"/>
  </r>
  <r>
    <x v="2"/>
    <x v="13"/>
    <s v="TI/TC"/>
    <s v="DGE"/>
    <s v="Sebastião Jacinto"/>
    <s v="TI05018"/>
    <s v="INFR.342.01418"/>
    <s v="Aquisição de equipamentos e mobiliário para o CGR"/>
    <s v="Aquisição de 6 cadeiras e 1 geladeira para atender  aos operadores de Telecom durante a escala 24/7."/>
    <s v="Risco de afastamento de funcionário._x000a_Risco de processos contra a Cemig._x000a_Aumento do horário de intervalo de descanso do operador._x000a_Não atendimento as normas de operação."/>
    <m/>
    <n v="0"/>
    <n v="7.8109999999999999"/>
    <n v="2.2000000000000002"/>
    <n v="9.9890000000000008"/>
    <m/>
    <m/>
    <m/>
    <m/>
    <n v="20"/>
    <m/>
    <m/>
    <m/>
    <m/>
    <m/>
    <m/>
    <m/>
    <m/>
    <m/>
    <m/>
    <m/>
    <m/>
    <n v="0"/>
  </r>
  <r>
    <x v="2"/>
    <x v="13"/>
    <s v="SC"/>
    <s v="DGE"/>
    <s v="Rogério Elias"/>
    <s v="NA"/>
    <m/>
    <s v="Aquisição de mobiliário para atender ao Estudo Estratégico de Ativos (EEA)"/>
    <s v="Aquisição de mobiliário para atender cidades do interior do estado para otimização da ocupação predial, dando suporte ao Estudo Estratégico de Ativos"/>
    <s v="Aumento da área construída para viabilizar a liberação de um imóvel."/>
    <m/>
    <n v="0"/>
    <m/>
    <m/>
    <m/>
    <m/>
    <m/>
    <m/>
    <m/>
    <n v="0"/>
    <m/>
    <m/>
    <m/>
    <m/>
    <m/>
    <m/>
    <m/>
    <m/>
    <m/>
    <m/>
    <n v="63"/>
    <m/>
    <n v="63"/>
  </r>
  <r>
    <x v="2"/>
    <x v="13"/>
    <s v="SC"/>
    <s v="DGE"/>
    <s v="Rogério Elias"/>
    <s v="NA"/>
    <m/>
    <s v="Aquisição de mobiliário para atendimento cliente interno D"/>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n v="0"/>
    <m/>
    <m/>
    <m/>
    <m/>
    <m/>
    <m/>
    <m/>
    <n v="0"/>
    <m/>
    <m/>
    <m/>
    <m/>
    <m/>
    <m/>
    <m/>
    <m/>
    <m/>
    <m/>
    <n v="50"/>
    <m/>
    <n v="50"/>
  </r>
  <r>
    <x v="2"/>
    <x v="13"/>
    <s v="SC"/>
    <s v="DGE"/>
    <s v="Flávio Henrique Silva Rosário"/>
    <s v="NA"/>
    <m/>
    <s v="Aquisição de Sistema de Proteção contra Descargas Atmosféricas (SPDA)"/>
    <s v="O empreendimento compreende a aquisição de sistema de proteção contra descargas atmosféricas para prédios da Cemig que não o possuem ou que foram danificados, como prédios do Quarteirões 03 e 14, Anel Rodovíario e Edifício Itambé. A instalação desses sistemas é obrigatória conforme  as Normas NBR-5419/2005 e NR10/2004."/>
    <s v="A não execução do projeto traz risco de dano aos equipamentos e às pessoas que que trabalham nas edificações que não possuem SPDA caso ocorra a queda de um raio (descarga elétrica). Há também risco de multas pelos órgãos competentes, por não atender às normas de segurança."/>
    <m/>
    <n v="0"/>
    <m/>
    <m/>
    <m/>
    <m/>
    <m/>
    <m/>
    <m/>
    <n v="0"/>
    <m/>
    <m/>
    <m/>
    <m/>
    <m/>
    <m/>
    <m/>
    <m/>
    <n v="100"/>
    <m/>
    <m/>
    <m/>
    <n v="100"/>
  </r>
  <r>
    <x v="2"/>
    <x v="13"/>
    <s v="SC"/>
    <s v="DGE"/>
    <s v="Flávio Henrique Silva Rosário"/>
    <s v="SC00618"/>
    <s v="INFR.342.02418"/>
    <s v="Aquisição de Sistema multiponto RPCS VE  Equipado para 40 conexões HD ou 80 conexões SD "/>
    <s v="Aquisição de um sistema conexão multiponto para modernização e ampliação e substituição da unidade MCU - MGC 10,0 em utilização atualmente no sistema de videoconferência da Cemig."/>
    <s v="Impossibilidade de conexão entre todos os terminais de sistema de videoconferência. Negativa do fafricante Polycom, em prestar manutenção corretiva na MGC 100, por se tratar de equipamento ultrapassado e sem peças de reposição."/>
    <s v="Orçamento de mercado superior ao previsto em função de variação do dólar. O desembolso ocorre na entrega do pagamento, logo houve antecipação."/>
    <n v="0"/>
    <m/>
    <m/>
    <m/>
    <m/>
    <m/>
    <m/>
    <n v="1209"/>
    <n v="1209"/>
    <m/>
    <m/>
    <m/>
    <m/>
    <m/>
    <m/>
    <m/>
    <m/>
    <n v="62"/>
    <m/>
    <m/>
    <m/>
    <n v="62"/>
  </r>
  <r>
    <x v="2"/>
    <x v="13"/>
    <s v="SC"/>
    <s v="DGE"/>
    <s v="Flávio Henrique Silva Rosário"/>
    <s v="NA"/>
    <m/>
    <s v="Aquisição de Subestação Predial para o Quarteirão 14"/>
    <s v="Aquisição de equipamentos para as subestações dos prédios do Quarteirão 14."/>
    <s v="Caso os equipamentos entrem em falha, há risco de interrupção no fornecimento de energia, acidentes e incêndio nas edificações envolvidas. Há também riscos de multas por parte da Aneel pelas irregularidades nas medições de energia."/>
    <m/>
    <n v="0"/>
    <m/>
    <m/>
    <m/>
    <m/>
    <m/>
    <m/>
    <m/>
    <n v="0"/>
    <m/>
    <m/>
    <m/>
    <m/>
    <m/>
    <m/>
    <m/>
    <m/>
    <n v="200"/>
    <m/>
    <m/>
    <m/>
    <n v="200"/>
  </r>
  <r>
    <x v="2"/>
    <x v="13"/>
    <s v="SC"/>
    <s v="DGE"/>
    <s v="Mariana Tanure"/>
    <s v="SC00518"/>
    <s v="INFR.342.02118"/>
    <s v="AQUISIÇÃO EXTINTORES DE INCÊNDIO - SE's CEMIG D-REGIONAIS LESTE E VALE DO AÇO "/>
    <m/>
    <m/>
    <m/>
    <n v="0"/>
    <m/>
    <m/>
    <n v="23.331"/>
    <m/>
    <m/>
    <m/>
    <m/>
    <n v="23.331"/>
    <m/>
    <m/>
    <m/>
    <m/>
    <m/>
    <m/>
    <m/>
    <m/>
    <m/>
    <m/>
    <m/>
    <m/>
    <n v="0"/>
  </r>
  <r>
    <x v="2"/>
    <x v="13"/>
    <s v="MS/LA"/>
    <s v="DGE"/>
    <s v="José Flávio "/>
    <s v="NA"/>
    <m/>
    <s v="Aquisição/Instalção de Porta Pallets em Igarapé"/>
    <m/>
    <m/>
    <m/>
    <m/>
    <m/>
    <m/>
    <m/>
    <m/>
    <m/>
    <m/>
    <m/>
    <n v="0"/>
    <m/>
    <m/>
    <m/>
    <m/>
    <n v="500"/>
    <m/>
    <m/>
    <m/>
    <m/>
    <m/>
    <m/>
    <m/>
    <n v="500"/>
  </r>
  <r>
    <x v="2"/>
    <x v="13"/>
    <s v="SC"/>
    <s v="DGE"/>
    <s v="Flávio Henrique Silva Rosário"/>
    <s v="SC00118"/>
    <s v="INFR.342.00418"/>
    <s v="CDI - Sete Lagoas - Execução de bacia de contenção coberta"/>
    <s v="Obra de bacia de contenção em concreto armado impermeabilizada com cobertura e fechamento lateral metálicos"/>
    <s v="Contaminação do solo por óleo; passivo ambiental"/>
    <s v="É necessário contratação de projeto executivo para realização de obras. O projeto está previsto para 2018. No entanto, a obra será desembolsada em 2019."/>
    <n v="0"/>
    <m/>
    <m/>
    <m/>
    <m/>
    <n v="6"/>
    <n v="2"/>
    <n v="16"/>
    <n v="24"/>
    <m/>
    <m/>
    <m/>
    <m/>
    <m/>
    <m/>
    <m/>
    <m/>
    <n v="55"/>
    <n v="100"/>
    <n v="55"/>
    <m/>
    <n v="210"/>
  </r>
  <r>
    <x v="2"/>
    <x v="13"/>
    <s v="SC"/>
    <s v="DGE"/>
    <s v="Flávio Henrique Silva Rosário"/>
    <s v="SC00117"/>
    <s v="INFR.342.00117"/>
    <s v="CDI - Sete Lagoas - Execução de reforço do talude e obra de drenagem"/>
    <s v="Reforço do talude, demolição da escada externa e reforma do sistema de drenagem no CDI-Sete Lagoas"/>
    <s v="Queda da caixa de escada; desmoronamento do talude em que os caminhões de linha viva estacionam; transbordamento do sistema de drenagem pluvial e alagamento do pátio de estacionamento externo; enxurradas em épocas de chuva"/>
    <s v="É necessário contratação de projeto para definição de solução a ser dada, devido à complexidade do problema. A contratação conjunta de projeto e obra pode gerar conflito de interesse e não é recomendada pela empresa. Desta forma, o projeto está previsto para 2018. No entanto, a obra será desembolsada apenas em 2019."/>
    <m/>
    <m/>
    <m/>
    <m/>
    <m/>
    <n v="16"/>
    <n v="29"/>
    <n v="7"/>
    <n v="52"/>
    <m/>
    <m/>
    <m/>
    <m/>
    <m/>
    <m/>
    <m/>
    <m/>
    <n v="50"/>
    <n v="100"/>
    <n v="48"/>
    <m/>
    <n v="198"/>
  </r>
  <r>
    <x v="2"/>
    <x v="13"/>
    <s v="MS/QL"/>
    <s v="DGE"/>
    <s v="Rodrigo Marques"/>
    <s v="NA"/>
    <m/>
    <s v="Construção de Laboratório de Ensaios de Materiais da MS/QL em novo CDM."/>
    <s v="Construção de Laboratório de Ensaios de Materiais da MS/QL em novo CDM-Centro de Distribuiçaõ de Materiais da CEMIG, tendo em vista a vendo dos sites atuais (quarteirões 1 e 2 do Jatobá)."/>
    <s v="Caso o projeto não seja executado, haverá comprometimento da capacitação da CEMIG nos ensaios para a devida verificação da qualidade dos materiais adquiridos e aplicados no sistema elétrico, e não alcance de apoio aos forncecedores no desenvolvimento tecnológico do parque industrial brasileiro._x000a_Além disso, irá inviabilizar a desocupação do Q1, onde estão montados os laboratórios atuais, para alienação e consequentemente a apuração de receita para a companhia."/>
    <m/>
    <n v="0"/>
    <m/>
    <m/>
    <m/>
    <m/>
    <m/>
    <m/>
    <m/>
    <n v="0"/>
    <m/>
    <m/>
    <m/>
    <m/>
    <m/>
    <m/>
    <m/>
    <m/>
    <m/>
    <m/>
    <m/>
    <m/>
    <n v="0"/>
  </r>
  <r>
    <x v="2"/>
    <x v="13"/>
    <s v="SC"/>
    <s v="DGE"/>
    <s v="Ian Garcia"/>
    <s v="NA"/>
    <m/>
    <s v="Controle de Acesso - AR"/>
    <s v="Instalação de catracas na entrada principal e P21 do AR (depende do projeto de Infra._x000a_Infraestrutura para implantação de controle de acesso - AR_x000a_Instalação de infraestrutura para recebimento de controle de acesso no AR - Projeto elaborado_x000a_"/>
    <s v="Perda do controle da pontualidade dos empregados. Dificuldade no controle do fluxo de pessoas na unidade._x000a_Impossibilidade de implantação  do sistema eletrônico de controle de acesso. Dificuldade no controle do fluxo de pessoas na unidade."/>
    <s v="Alongamento da curva de desembolso, para atendimento à demanda financeira da empresa em conjunto com dificuldade de rastreamento do projeto, devido a desligamento de empregado pelo PDVP sem gestão do conhecimento."/>
    <n v="0"/>
    <m/>
    <m/>
    <m/>
    <m/>
    <m/>
    <m/>
    <m/>
    <n v="0"/>
    <m/>
    <m/>
    <m/>
    <m/>
    <m/>
    <m/>
    <m/>
    <m/>
    <m/>
    <m/>
    <m/>
    <m/>
    <n v="0"/>
  </r>
  <r>
    <x v="2"/>
    <x v="13"/>
    <s v="SC"/>
    <s v="DGE"/>
    <s v="Ian Garcia"/>
    <s v="NA"/>
    <m/>
    <s v="Controle de acesso Interior"/>
    <s v="Instalar catracas e controle de acesso nos prédios da Cemig localizados no interior do Estado"/>
    <s v="Dificuldade no controle e identificação de pessoas e, circulação no interior das unidades do interior."/>
    <s v="Cancelamento do projeto, devido a nova iniciativa que vem a substituir sua demanda. Previsto recurso mais baixo para aquisição de catraca para reposição em interiores, até a implantação total do projeto."/>
    <n v="0"/>
    <m/>
    <m/>
    <m/>
    <m/>
    <n v="0"/>
    <n v="0"/>
    <m/>
    <n v="0"/>
    <m/>
    <m/>
    <m/>
    <m/>
    <m/>
    <n v="60"/>
    <m/>
    <m/>
    <m/>
    <m/>
    <m/>
    <m/>
    <n v="60"/>
  </r>
  <r>
    <x v="2"/>
    <x v="13"/>
    <s v="SC"/>
    <s v="DGE"/>
    <s v="Flávio Henrique Silva Rosário"/>
    <s v="NA"/>
    <m/>
    <s v="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n v="0"/>
    <m/>
    <m/>
    <m/>
    <m/>
    <m/>
    <m/>
    <n v="191"/>
    <n v="191"/>
    <m/>
    <m/>
    <m/>
    <m/>
    <m/>
    <m/>
    <m/>
    <m/>
    <m/>
    <m/>
    <m/>
    <m/>
    <n v="0"/>
  </r>
  <r>
    <x v="2"/>
    <x v="13"/>
    <s v="SC"/>
    <s v="DGE"/>
    <s v="Flávio Henrique Silva Rosário"/>
    <s v="NA"/>
    <m/>
    <s v="Impermeabilização dos reservatórios de água"/>
    <s v="Impermeabilização interna dos reservatórios de água centrais inferiores e superior do Anel Rodoviário, Q14, Q10 e Q3 com manta líquida"/>
    <s v="Em pouco tempo deixará de atender normas da ANVISA; comprometer a qualidade da água potável consumida pelos trabalhadores do local"/>
    <s v="Necessidade de início dos serviços ainda em 2018. Parte do recurso foi antecipado em troca com planejamento previsto para o projeto &quot;Substituição do sistema de abastecimento de água das unidades AR, CI, IT e SE-NA&quot;."/>
    <n v="0"/>
    <m/>
    <m/>
    <m/>
    <m/>
    <n v="30"/>
    <n v="30"/>
    <m/>
    <n v="60"/>
    <m/>
    <m/>
    <m/>
    <n v="25"/>
    <n v="30"/>
    <m/>
    <n v="30"/>
    <m/>
    <m/>
    <m/>
    <m/>
    <m/>
    <n v="85"/>
  </r>
  <r>
    <x v="2"/>
    <x v="13"/>
    <s v="SC"/>
    <s v="DGE"/>
    <s v="Ian Garcia"/>
    <s v="NA"/>
    <m/>
    <s v="Implantação de Cancelas com acesso eletrônico e registro de veículos no edif. Julio Soares"/>
    <s v="Automatizar controle de entrada e saida de veículos da sede"/>
    <s v="Permanencia de controles manuais não precisos. Histórico comprometido."/>
    <m/>
    <n v="0"/>
    <m/>
    <m/>
    <m/>
    <m/>
    <m/>
    <m/>
    <m/>
    <n v="0"/>
    <m/>
    <m/>
    <m/>
    <m/>
    <m/>
    <m/>
    <m/>
    <m/>
    <m/>
    <m/>
    <m/>
    <m/>
    <n v="0"/>
  </r>
  <r>
    <x v="2"/>
    <x v="13"/>
    <s v="SC"/>
    <s v="DGE"/>
    <s v="Daniel Bretas (31-35062945)"/>
    <s v="NA"/>
    <m/>
    <s v="ITAJUBÁ - SUBSTITUIÇÃO DO TELHADO E MADEIRAMENTO DO PRÉDIO"/>
    <s v="SUBSTITUIÇÃO DO TELHADO E MADEIRAMENTO DO PRÉDIO"/>
    <s v="Aumento nos custos de manutenção (despesa operacional), danos a bens da Companhia quando de chuvas e vazamento dentro da instalação, impacto direto no clima organizacional com a insatisfação e reclamação dos empregados"/>
    <m/>
    <n v="0"/>
    <m/>
    <m/>
    <m/>
    <m/>
    <m/>
    <m/>
    <m/>
    <n v="0"/>
    <m/>
    <m/>
    <m/>
    <m/>
    <m/>
    <m/>
    <m/>
    <m/>
    <m/>
    <m/>
    <m/>
    <m/>
    <n v="0"/>
  </r>
  <r>
    <x v="2"/>
    <x v="13"/>
    <s v="SC"/>
    <s v="DGE"/>
    <s v="Daniel Bretas (31-35062945)"/>
    <s v="NA"/>
    <m/>
    <s v="JUIZ DE FORA - DRENAGEM DE SOLO E ASFALTAMENTO NA ÁREA DO SERVIÇO DE CAMPO"/>
    <s v="OBRA DE DRENAGEM, SUBSTITUIÇÃO DO ASFALTO EXISTENTE E IMPLANTAÇÃO DE ASFALTO ONDE NÃO HÁ"/>
    <s v="Aumento da execução de despesa operacional, visto que há constantes problemas (buracos) no alfalto existe, gerandos gastos em despesa operacional para correção, bem como alagamento de área quando de chuvas. Os buracos também causam dados a veículos que circulam no local e impacto no Clima dos empregados que utilizam a instalação."/>
    <s v="Alongamento da curva de desembolso, para atendimento à demanda financeira da empresa. Além de necessidade de contratação de projeto anterior a obra, o que traz a necessidade de postergação do valor da obra."/>
    <n v="0"/>
    <m/>
    <m/>
    <m/>
    <m/>
    <m/>
    <m/>
    <m/>
    <n v="0"/>
    <m/>
    <m/>
    <m/>
    <m/>
    <m/>
    <m/>
    <m/>
    <m/>
    <m/>
    <m/>
    <m/>
    <n v="120"/>
    <n v="120"/>
  </r>
  <r>
    <x v="2"/>
    <x v="13"/>
    <s v="SC"/>
    <s v="DGE"/>
    <s v="Flávio Henrique Silva Rosário"/>
    <s v="NA"/>
    <m/>
    <s v="Kit para teste de detecção de fumaça "/>
    <s v="Aquisição de equipamentos para testes dos sistemas de alarme e combate a incêndio das edificações."/>
    <s v="Dificuldade na realização das manutenções preventivas nos detectores de fumaça, e aumento na chance de falha desses detectores."/>
    <s v="Projeto em planejamento, desembolso previsto apenas para 2019."/>
    <n v="0"/>
    <m/>
    <m/>
    <m/>
    <m/>
    <m/>
    <m/>
    <m/>
    <n v="0"/>
    <m/>
    <m/>
    <m/>
    <m/>
    <m/>
    <m/>
    <m/>
    <n v="80"/>
    <m/>
    <m/>
    <m/>
    <m/>
    <n v="80"/>
  </r>
  <r>
    <x v="2"/>
    <x v="13"/>
    <s v="RH/EC"/>
    <s v="DRH"/>
    <s v="Uaded"/>
    <s v="NA"/>
    <m/>
    <s v="Lavadoura de pratos industrial"/>
    <s v="Lavadora de pratos para o refeitorio da Univercemig"/>
    <s v="Máquina é essencial para economia de mão de obra e tempo."/>
    <m/>
    <n v="0"/>
    <m/>
    <m/>
    <m/>
    <m/>
    <m/>
    <m/>
    <m/>
    <n v="0"/>
    <m/>
    <m/>
    <m/>
    <m/>
    <m/>
    <m/>
    <m/>
    <m/>
    <m/>
    <m/>
    <m/>
    <n v="21"/>
    <n v="21"/>
  </r>
  <r>
    <x v="2"/>
    <x v="13"/>
    <s v="RH/EC"/>
    <s v="DRH"/>
    <s v="Marcela Augusta"/>
    <s v="RH00118"/>
    <s v="INFR.342.00118"/>
    <s v="Modernização de equipamentos e mobiliário e construção da pista off road para o curso de direção defensiva na UNIVERCEMIG."/>
    <s v="Modernização de equipamentos e mobiliário e construção da pista off road para o curso de direção defensiva na UNIVERCEMIG - RH00118"/>
    <s v="A falta de treinamento das equipes impossibilitará as manutenções preventivas e corretivas dos disjuntores, ocasionando altos índices de defeitos e indisponibilidade do sistema elétrico."/>
    <m/>
    <n v="0"/>
    <m/>
    <m/>
    <n v="152"/>
    <m/>
    <m/>
    <m/>
    <m/>
    <n v="152"/>
    <m/>
    <m/>
    <n v="161"/>
    <n v="200"/>
    <m/>
    <m/>
    <m/>
    <m/>
    <m/>
    <m/>
    <m/>
    <m/>
    <n v="361"/>
  </r>
  <r>
    <x v="2"/>
    <x v="13"/>
    <s v="RH/EC"/>
    <s v="DRH"/>
    <s v="Marcela Augusta"/>
    <s v="NA"/>
    <m/>
    <s v="Modernização de equipamentos e mobiliário UNIVERCEMIG."/>
    <s v="Modernização de equipamentos e mobiliário e construção da pista off road para o curso de direção defensiva na UNIVERCEMIG."/>
    <s v="A falta de treinamento das equipes impossibilitará as manutenções preventivas e corretivas dos disjuntores, ocasionando altos índices de defeitos e indisponibilidade do sistema elétrico."/>
    <m/>
    <n v="0"/>
    <m/>
    <m/>
    <m/>
    <m/>
    <m/>
    <m/>
    <m/>
    <n v="0"/>
    <m/>
    <m/>
    <m/>
    <m/>
    <m/>
    <m/>
    <m/>
    <m/>
    <m/>
    <m/>
    <m/>
    <n v="8"/>
    <n v="8"/>
  </r>
  <r>
    <x v="2"/>
    <x v="13"/>
    <s v="RH/EC"/>
    <s v="DRH"/>
    <s v="Marcela Augusta"/>
    <s v="NA"/>
    <m/>
    <s v="Modernização de Recursos Pedagógicos"/>
    <s v="Modernização de salas de aula, paineis, equipamentos didáticos em geral."/>
    <s v="Impossibilitará reposição de materiais e equipamentos desgastados, impossibilitando os treinamentos."/>
    <m/>
    <n v="0"/>
    <m/>
    <m/>
    <m/>
    <m/>
    <m/>
    <m/>
    <m/>
    <n v="0"/>
    <m/>
    <m/>
    <m/>
    <m/>
    <m/>
    <m/>
    <m/>
    <m/>
    <m/>
    <m/>
    <m/>
    <m/>
    <n v="0"/>
  </r>
  <r>
    <x v="2"/>
    <x v="13"/>
    <s v="GE/IM"/>
    <s v="DGE"/>
    <s v="Loan Lauar"/>
    <s v="NA"/>
    <m/>
    <s v="Otimização dos Ativos de Almenara"/>
    <s v="Alienação do compartilhado e estacionamento transferência das atividades para o depósito de materiais e locação de imóvel para agência. Adequação do depósito de materiais para recebimento da equipe."/>
    <s v="Não cumprimento do Acordo de Metas da Iniciativa 9 do Programa de Adequação da Cemig D ao Regulatório, a qual prevê a obtenção de receita com a alienação de imóvel inservível, e à redução de despesas operacionais."/>
    <m/>
    <n v="0"/>
    <m/>
    <m/>
    <m/>
    <m/>
    <m/>
    <m/>
    <m/>
    <n v="0"/>
    <m/>
    <n v="51.1"/>
    <m/>
    <m/>
    <m/>
    <m/>
    <m/>
    <m/>
    <m/>
    <m/>
    <m/>
    <m/>
    <n v="51.1"/>
  </r>
  <r>
    <x v="2"/>
    <x v="13"/>
    <s v="GE/IM"/>
    <s v="DGE"/>
    <s v="Evandro Jardim"/>
    <s v="NA"/>
    <m/>
    <s v="Otimização dos Ativos de Araxá"/>
    <s v="Execução de obra civil de nova instalação de escritório no imóvel anexo à Subestação para recebimento do pessoal do imóvel do Centro."/>
    <s v="Não cumprimento do Acordo de Metas da Iniciativa 9 do Programa de Adequação da Cemig D ao Regulatório, a qual prevê a obtenção de receita com a alienação de imóvel inservível, e à redução de despesas operacionais."/>
    <m/>
    <n v="0"/>
    <m/>
    <m/>
    <m/>
    <m/>
    <m/>
    <m/>
    <n v="16"/>
    <n v="16"/>
    <m/>
    <n v="66.37"/>
    <m/>
    <m/>
    <m/>
    <m/>
    <m/>
    <m/>
    <m/>
    <n v="103.00284166100001"/>
    <n v="125.19"/>
    <n v="227.02715833899987"/>
    <n v="521.58999999999992"/>
  </r>
  <r>
    <x v="2"/>
    <x v="13"/>
    <s v="GE/IM"/>
    <s v="DGE"/>
    <s v="Evandro Jardim"/>
    <s v="NA"/>
    <m/>
    <s v="Otimização dos Ativos de Barbacena"/>
    <s v="Execução de adequações/reforma civil do imóvel da SE Barbacena 2."/>
    <s v="Não cumprimento do Acordo de Metas da Iniciativa 9 do Programa de Adequação da Cemig D ao Regulatório, a qual prevê a obtenção de receita com a alienação de imóvel inservível, e à redução de despesas operacionais."/>
    <m/>
    <n v="0"/>
    <m/>
    <m/>
    <m/>
    <m/>
    <m/>
    <m/>
    <m/>
    <n v="0"/>
    <m/>
    <m/>
    <m/>
    <m/>
    <m/>
    <m/>
    <n v="30"/>
    <m/>
    <m/>
    <n v="70"/>
    <m/>
    <m/>
    <n v="100"/>
  </r>
  <r>
    <x v="2"/>
    <x v="13"/>
    <s v="GE/IM"/>
    <s v="DGE"/>
    <s v="Samuel Matos"/>
    <s v="NA"/>
    <m/>
    <s v="Otimização dos Ativos de Betim"/>
    <m/>
    <m/>
    <m/>
    <m/>
    <m/>
    <m/>
    <m/>
    <m/>
    <m/>
    <m/>
    <n v="100"/>
    <n v="100"/>
    <m/>
    <m/>
    <m/>
    <n v="49.5"/>
    <n v="116"/>
    <n v="100"/>
    <n v="150"/>
    <n v="70"/>
    <n v="93.4"/>
    <m/>
    <m/>
    <m/>
    <n v="578.9"/>
  </r>
  <r>
    <x v="2"/>
    <x v="13"/>
    <s v="GE/IM"/>
    <s v="DGE"/>
    <s v="Samuel Matos"/>
    <s v="GE01018"/>
    <s v="INFR.342.01818"/>
    <s v="Otimização dos Ativos de Divinópolis"/>
    <s v="Obras para viabilização da transferência dos funcionários lotados na UHE Gafanhoto para o imóvel situado na Rua Itapecerica, e para o imóvel SE Divinópolis 02, visando à desocupação de parte da área do imóvel da Usina, prescindível aos negócios da empresa, para alienação, além da redução de despesas com contratos de transporte por ônibus e de vigilância armada."/>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total da área do imóvel da UHE Gafanhoto, prevista para ser alienada, inviabilizando a sua alienação e à redução de custos operacionais como serviço de transporte de ônibus, vigilância armada, conservação e limpeza, impostos e taxas, entre outros."/>
    <m/>
    <n v="0"/>
    <m/>
    <m/>
    <m/>
    <n v="10"/>
    <n v="70"/>
    <m/>
    <n v="20"/>
    <n v="100"/>
    <m/>
    <n v="181.11600000000001"/>
    <m/>
    <n v="246.62400000000002"/>
    <m/>
    <m/>
    <m/>
    <m/>
    <m/>
    <n v="20.659999999999982"/>
    <n v="60.96"/>
    <n v="100.31284166100014"/>
    <n v="609.67284166100012"/>
  </r>
  <r>
    <x v="2"/>
    <x v="13"/>
    <s v="GE/IM"/>
    <s v="DGE"/>
    <s v="Loan Lauar"/>
    <s v="NA"/>
    <m/>
    <s v="Otimização dos Ativos de Governador Valadares"/>
    <s v="Alienação do imóvel do centro, transferência para o imóvel da Vila Mariana, onde será construída edificação,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n v="0"/>
    <m/>
    <m/>
    <m/>
    <m/>
    <n v="34.07"/>
    <m/>
    <n v="82.84"/>
    <n v="116.91"/>
    <m/>
    <m/>
    <m/>
    <m/>
    <m/>
    <m/>
    <m/>
    <n v="102.20399999999999"/>
    <n v="102.20399999999999"/>
    <n v="102.20399999999999"/>
    <n v="102.20399999999999"/>
    <n v="204.40799999999999"/>
    <n v="613.22399999999993"/>
  </r>
  <r>
    <x v="2"/>
    <x v="13"/>
    <s v="GE/IM"/>
    <s v="DGE"/>
    <s v="Samuel Matos"/>
    <s v="NA"/>
    <m/>
    <s v="Otimização dos Ativos de Itajubá"/>
    <s v="Obra de construção de edificação no imóvel Depósito de Postes para recebimento dos funcionários atualmente lotados no imóvel Base Operativa/Agência, o qual será liberado para alienação por estar superdimensionado e ser prescindível aos negócios da empresa. Alienação de parte do terreno Depósito de Postes para alienação, após desmembramento."/>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de imóvel superdimensionado, previsto para ser alienado, inviabilizando a sua alienação e à redução de custos operacionais."/>
    <m/>
    <n v="0"/>
    <m/>
    <n v="0"/>
    <n v="0"/>
    <n v="0"/>
    <n v="0"/>
    <n v="0"/>
    <m/>
    <n v="0"/>
    <m/>
    <m/>
    <m/>
    <m/>
    <m/>
    <m/>
    <n v="20"/>
    <n v="60"/>
    <n v="32"/>
    <m/>
    <m/>
    <m/>
    <n v="112"/>
  </r>
  <r>
    <x v="2"/>
    <x v="13"/>
    <s v="GE/IM"/>
    <s v="DGE"/>
    <s v="Samuel Matos"/>
    <s v="GE01118"/>
    <s v="INFR.342.02018"/>
    <s v="Otimização dos Ativos de Lavras para atendimento da Cemig GT"/>
    <s v="Obras para viabilização da transferência da equipe da MG/CS do imóvel locado da Cemig GT, situado na rua Comendador José Esteves, nº 40, para o imóvel próprio da Cemig D, situado na Rua Chagas Doria, nº 95, atualmente ocupado pela MD/VR, visando à_x000a_rescisão do contrato de locação do imóvel da MG/CS, que possui custo mensal de R$ 9 mil e à otimização da ocupação do imóvel da Cemig D. Serão executadas obras na edificação visando  o adequado funcionamento das atividades das gerências locais."/>
    <s v="Não redução de despesa operacional, relativa à locação de imóvel para a Cemig GT, no município de Lavras."/>
    <m/>
    <n v="0"/>
    <m/>
    <m/>
    <m/>
    <m/>
    <n v="15"/>
    <n v="20"/>
    <n v="46"/>
    <n v="81"/>
    <m/>
    <m/>
    <m/>
    <m/>
    <m/>
    <m/>
    <n v="116.699"/>
    <n v="108.699"/>
    <n v="137.39699999999999"/>
    <n v="206.096"/>
    <n v="137.39699999999999"/>
    <m/>
    <n v="706.28800000000001"/>
  </r>
  <r>
    <x v="2"/>
    <x v="13"/>
    <s v="GE/IM"/>
    <s v="DGE"/>
    <s v="Evandro Jardim"/>
    <s v="NA"/>
    <m/>
    <s v="Otimização dos Ativos de Montes Claros"/>
    <s v="Alienação do compartilhado e transferência das atividades para o imóvel situado no bairro Vila Mauricéia e locação de imóvel para agência. Adequação do imóvel para recebimento da equipe."/>
    <s v="Não cumprimento do Acordo de Metas da Iniciativa 9 do Programa de Adequação da Cemig D ao Regulatório, a qual prevê a obtenção de receita com a alienação de imóvel inservível, e à redução de despesas operacionais."/>
    <m/>
    <n v="0"/>
    <m/>
    <m/>
    <m/>
    <m/>
    <m/>
    <m/>
    <n v="50"/>
    <n v="50"/>
    <m/>
    <m/>
    <m/>
    <m/>
    <m/>
    <m/>
    <m/>
    <n v="35"/>
    <n v="35"/>
    <n v="70"/>
    <n v="70"/>
    <n v="105"/>
    <n v="315"/>
  </r>
  <r>
    <x v="2"/>
    <x v="13"/>
    <s v="GE/IM"/>
    <s v="DGE"/>
    <s v="Loan Lauar"/>
    <s v="NA"/>
    <m/>
    <s v="Otimização dos Ativos de Passos"/>
    <s v="Obra de adequação do imóvel compartilhado e alienação de parte do terreno do imóvel compartilhado."/>
    <s v="Não cumprimento do Acordo de Metas da Iniciativa 9 do Programa de Adequação da Cemig D ao Regulatório, a qual prevê a obtenção de receita com a alienação de imóvel inservível, e à redução de despesas operacionais."/>
    <m/>
    <n v="0"/>
    <m/>
    <n v="0"/>
    <m/>
    <m/>
    <m/>
    <m/>
    <m/>
    <n v="0"/>
    <m/>
    <n v="50"/>
    <m/>
    <m/>
    <m/>
    <m/>
    <n v="90"/>
    <m/>
    <m/>
    <m/>
    <m/>
    <m/>
    <n v="140"/>
  </r>
  <r>
    <x v="2"/>
    <x v="13"/>
    <s v="GE/IM"/>
    <s v="DGE"/>
    <s v="Loan Lauar"/>
    <s v="NA"/>
    <m/>
    <s v="Otimização dos Ativos de Patrocínio"/>
    <s v="Alienação do imóvel próprio, construção de edificação na SE e locação de agência de atendimento."/>
    <s v="Não cumprimento do Acordo de Metas da Iniciativa 9 do Programa de Adequação da Cemig D ao Regulatório, a qual prevê a obtenção de receita com a alienação de imóvel inservível, e à redução de despesas operacionais."/>
    <m/>
    <n v="0"/>
    <m/>
    <m/>
    <m/>
    <m/>
    <m/>
    <m/>
    <n v="50"/>
    <n v="50"/>
    <m/>
    <m/>
    <m/>
    <n v="91.322000000000003"/>
    <n v="101.762"/>
    <n v="95"/>
    <m/>
    <m/>
    <m/>
    <m/>
    <m/>
    <m/>
    <n v="288.084"/>
  </r>
  <r>
    <x v="2"/>
    <x v="13"/>
    <s v="GE/IM"/>
    <s v="DGE"/>
    <s v="Loan Lauar"/>
    <s v="NA"/>
    <m/>
    <s v="Otimização dos Ativos de Três Corações"/>
    <s v="Alienação do imóvel compartilhado, construção na SE e locação de imóvel para agência de atendimento."/>
    <s v="Não cumprimento do Acordo de Metas da Iniciativa 9 do Programa de Adequação da Cemig D ao Regulatório, a qual prevê a obtenção de receita com a alienação de imóvel inservível, e à redução de despesas operacionais."/>
    <m/>
    <n v="0"/>
    <m/>
    <m/>
    <m/>
    <m/>
    <m/>
    <m/>
    <m/>
    <n v="0"/>
    <m/>
    <n v="30"/>
    <m/>
    <n v="71"/>
    <m/>
    <m/>
    <m/>
    <m/>
    <m/>
    <m/>
    <m/>
    <m/>
    <n v="101"/>
  </r>
  <r>
    <x v="2"/>
    <x v="13"/>
    <s v="GE/IM"/>
    <s v="DGE"/>
    <s v="Loan Lauar"/>
    <s v="NA"/>
    <m/>
    <s v="Otimização dos Ativos de Varginha"/>
    <s v="Alienação do imóvel do centro, obras de adequação da SE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n v="0"/>
    <m/>
    <m/>
    <m/>
    <m/>
    <m/>
    <m/>
    <m/>
    <n v="0"/>
    <m/>
    <n v="39.462000000000003"/>
    <m/>
    <n v="92.078000000000003"/>
    <m/>
    <m/>
    <m/>
    <m/>
    <n v="87.144999999999996"/>
    <n v="87.144999999999996"/>
    <n v="174.29"/>
    <n v="174.29"/>
    <n v="654.41"/>
  </r>
  <r>
    <x v="2"/>
    <x v="13"/>
    <s v="SC"/>
    <s v="DGE"/>
    <s v="Flávio Henrique Silva Rosário"/>
    <s v="NA"/>
    <m/>
    <s v="Q14/P2 e 3 e P2/Adelaide - Obra de recuperação estrutural e instalações"/>
    <s v="Obra de instalação do sistema de combate a incêndio, Sistema de Proteção conta Descargas Atmosféricas - SPDA e substituição de telhado."/>
    <s v="Infiltração do telhado podendo avariar equipamentos e materiais; segurança em relação a combate a incêndio, SPDA e instalações elétricas"/>
    <s v="Alongamento da curva de desembolso, para atendimento à demanda financeira da empresa. Além disso, está sendo elaborada pelo SC ata de registro de preços para obras, a fim de viabilizar execução dos trabalhos a partir de 2018."/>
    <n v="0"/>
    <m/>
    <m/>
    <m/>
    <m/>
    <m/>
    <m/>
    <m/>
    <n v="0"/>
    <m/>
    <m/>
    <m/>
    <m/>
    <m/>
    <m/>
    <m/>
    <m/>
    <m/>
    <m/>
    <m/>
    <n v="369"/>
    <n v="369"/>
  </r>
  <r>
    <x v="2"/>
    <x v="13"/>
    <s v="SC"/>
    <s v="DGE"/>
    <s v="Flávio Henrique Silva Rosário"/>
    <s v="NA"/>
    <m/>
    <s v="Reforma total e impermeabilização do telhado do imóvel Q3 - Bloco A e B - Agência de Atendimento"/>
    <s v="Desintalação e remoção do telhado existente e troca total por telhado metálico novo e impermeabilização de áreas abertas."/>
    <s v="Infiltração do telhado podendo avariar equipamentos e materiais; segurança em relação a combate a incêndio, SPDA e instalações elétricas"/>
    <m/>
    <n v="0"/>
    <m/>
    <m/>
    <m/>
    <m/>
    <m/>
    <m/>
    <m/>
    <n v="0"/>
    <n v="10"/>
    <n v="10"/>
    <m/>
    <m/>
    <m/>
    <m/>
    <m/>
    <m/>
    <m/>
    <m/>
    <m/>
    <m/>
    <n v="20"/>
  </r>
  <r>
    <x v="2"/>
    <x v="13"/>
    <s v="SC"/>
    <s v="DGE"/>
    <s v="DANILO SOARES DA SILVA "/>
    <s v="SC00718"/>
    <s v="INFR.342.02518"/>
    <s v="Registrador eletrônico de ponto"/>
    <m/>
    <m/>
    <m/>
    <n v="0"/>
    <m/>
    <n v="16"/>
    <m/>
    <m/>
    <m/>
    <m/>
    <m/>
    <n v="16"/>
    <m/>
    <m/>
    <m/>
    <m/>
    <m/>
    <m/>
    <m/>
    <m/>
    <m/>
    <m/>
    <m/>
    <m/>
    <n v="0"/>
  </r>
  <r>
    <x v="2"/>
    <x v="13"/>
    <s v="GE/IM"/>
    <s v="DGE"/>
    <s v="Francely Duarte Sales Marques dos Santos _x000a__x000a_Rodrigo Elias S.  Santos"/>
    <s v="NA"/>
    <m/>
    <s v="Regularização de Pendência com Imóveis - Distribuição"/>
    <s v="Casos Atípicos - Qualquer solicitação que fuja das atividades rotineiras. Ex.: Solicitação de indenização para empreendimento já construído, Averbação de Servidão existente, Solicitação de indenização por danos em imóveis de terceiros."/>
    <s v="Processos Judiciais, insatisfação do cliente, aumento de gastos para empresas."/>
    <m/>
    <n v="0"/>
    <m/>
    <m/>
    <m/>
    <m/>
    <m/>
    <m/>
    <n v="60"/>
    <n v="60"/>
    <m/>
    <m/>
    <m/>
    <m/>
    <m/>
    <m/>
    <m/>
    <m/>
    <m/>
    <m/>
    <m/>
    <n v="60"/>
    <n v="60"/>
  </r>
  <r>
    <x v="2"/>
    <x v="13"/>
    <s v="SC"/>
    <s v="DGE"/>
    <s v="Daniel Bretas (31-35062945)"/>
    <s v="NA"/>
    <m/>
    <s v="SÃO JOÃO DEL REI - SUBSTITUIÇÃO DE TELHADO  "/>
    <s v="SUBSTITUIÇÃO COMPLETA DE TELHADO  "/>
    <s v="Aumento nos custos de manutenção (despesa operacional), danos a bens da Companhia quando de chuvas e vazamento dentro da instalação, impacto direto no clima organizacional com a insatisfação e reclamação dos empregados"/>
    <m/>
    <n v="0"/>
    <m/>
    <m/>
    <m/>
    <m/>
    <m/>
    <m/>
    <m/>
    <n v="0"/>
    <m/>
    <m/>
    <m/>
    <m/>
    <m/>
    <m/>
    <m/>
    <m/>
    <m/>
    <m/>
    <m/>
    <n v="250"/>
    <n v="250"/>
  </r>
  <r>
    <x v="2"/>
    <x v="13"/>
    <s v="SC"/>
    <s v="DGE"/>
    <s v="Flávio Henrique Silva Rosário"/>
    <s v="NA"/>
    <m/>
    <s v="Substituição do sistema de abastecimento de água das unidades AR, CI, IT e SE-NA"/>
    <s v="Substituição de toda a malha hidráulica dos prédios dentro das unidades AR, CI, IT e SE-NA dentro dos novos padrões de mercado e de produto"/>
    <s v="Rompimento de tubulações; interrupção de abastecimento em local de trabalho; contaminação em água potável; atendimentos emergenciais aos vazamentos; dificuldade para manutenção; impacto em outros sistemas construtivos, aumentando custo de manutenção"/>
    <s v="Alongamento da curva de desembolso, para atendimento à demanda financeira da empresa. Além disso, está sendo elaborada pelo SC ata de registro de preços para obras, a fim de viabilizar execução dos trabalhos a partir de 2018."/>
    <n v="0"/>
    <m/>
    <m/>
    <m/>
    <m/>
    <m/>
    <m/>
    <m/>
    <n v="0"/>
    <m/>
    <m/>
    <m/>
    <m/>
    <m/>
    <m/>
    <m/>
    <m/>
    <n v="40"/>
    <n v="48"/>
    <n v="50"/>
    <n v="55"/>
    <n v="193"/>
  </r>
  <r>
    <x v="2"/>
    <x v="13"/>
    <s v="GE/IM"/>
    <s v="DGE"/>
    <s v="Samuel Matos"/>
    <s v="NA"/>
    <m/>
    <s v="Transferência de Base Operativa da MD/MM do Itambé para o Anel Rodoviário e Barro Preto (Projeto de Centralização Administrativa)"/>
    <s v="Transferência das equipes de manutenção de rede subterrânea, da MD/MM, do prédio Itambé para a instalação Anel Rodoviário, bem como montagem de base avançada na na instalação do Barro Preto, visando à liberação do prédio Itambé e do lote situado na rua Juiz de Fora para alienação."/>
    <s v="Não cumprimento de meta estabelecida no Projeto de Centralização Administrativa da Cemig no Edifício Aureliano Chaves, relativa à obtenção de receita com a alienação do prédio Itambé. "/>
    <m/>
    <n v="0"/>
    <m/>
    <m/>
    <m/>
    <m/>
    <m/>
    <m/>
    <n v="48"/>
    <n v="48"/>
    <m/>
    <m/>
    <m/>
    <m/>
    <m/>
    <m/>
    <n v="68.698999999999998"/>
    <m/>
    <m/>
    <m/>
    <m/>
    <m/>
    <n v="68.698999999999998"/>
  </r>
  <r>
    <x v="2"/>
    <x v="13"/>
    <s v="SC"/>
    <s v="DGE"/>
    <s v="Daniel Bretas (31-35062945)"/>
    <s v="NA"/>
    <m/>
    <s v="UBERLÂNDIA - SUBSTITUIÇÃO TELHADO NO CRIU"/>
    <s v="SUBSTITUIÇÃO DO TELHADO EXISTENTE, QUE ESTÁ MUITO DANIFICADO - BLOCO B, COMPREENDIDO PELA OFICINA, EQUIPES DA MD/UL, SA/SE E TI/TC"/>
    <s v="Aumento nos custos de manutenção (despesa operacional), danos a bens da Companhia quando de chuvas e vazamento dentro da instalação, impacto direto no clima organizacional com a insatisfação e reclamação dos empregados"/>
    <s v="Em 2018 haverá apenas a contratação de laudo técnico para avaliação da causa do problema e identificação de solução apropriada. A obra está prevista para 2019. Valor original: 350. Valor previsto com base em orçamentos de mercado: 400. A alteração de orçamento se deve à gravidade do problema que abrange parte da estrutura do telhado e dificuldade de identificação de solução mais apropriada."/>
    <n v="0"/>
    <m/>
    <m/>
    <m/>
    <m/>
    <m/>
    <m/>
    <n v="7"/>
    <n v="7"/>
    <m/>
    <n v="93"/>
    <n v="100"/>
    <n v="100"/>
    <n v="100"/>
    <m/>
    <m/>
    <m/>
    <m/>
    <m/>
    <m/>
    <m/>
    <n v="393"/>
  </r>
  <r>
    <x v="2"/>
    <x v="15"/>
    <s v="TI/TC"/>
    <s v="DGE"/>
    <s v="Francisco Elson"/>
    <s v="NA"/>
    <s v="-"/>
    <s v="ALMENARA E OURO PRETO - CENTRAL TELEFÔNICA PARA INSTALAÇAO DDR"/>
    <s v="AQUISIÇÃO E INSTALAÇAO DE DDR NA CENTRAL TELEFÔNICA "/>
    <s v="Continuidade de gastos em despesa operacional com custo mensal de Recepcionista para atendimento telefônico"/>
    <m/>
    <n v="0"/>
    <n v="0"/>
    <n v="0"/>
    <n v="0"/>
    <n v="100"/>
    <s v="                         -  "/>
    <n v="300"/>
    <s v="                         -  "/>
    <n v="400"/>
    <n v="0"/>
    <n v="0"/>
    <n v="0"/>
    <n v="0"/>
    <n v="0"/>
    <n v="0"/>
    <n v="0"/>
    <n v="0"/>
    <n v="0"/>
    <n v="0"/>
    <n v="0"/>
    <n v="0"/>
    <n v="0"/>
  </r>
  <r>
    <x v="2"/>
    <x v="15"/>
    <s v="TI/TC"/>
    <s v="DGE"/>
    <s v="Luciano Nunes"/>
    <s v="TI02918"/>
    <s v="TINV.18.D.054.SG"/>
    <s v="Atendimento de Telecom da Base Operativa do São Gabriel"/>
    <s v="Aquisição de uma central telefônica para migração do Sistema de Telecomunicações da Sala de Telecomunicações para a Sala de Telefonia."/>
    <s v="Perda do Sistema de Telefonia para os usuários do São Gabriel e/ou multa contratual"/>
    <m/>
    <n v="0"/>
    <n v="367"/>
    <n v="0"/>
    <n v="0"/>
    <n v="0"/>
    <n v="0"/>
    <n v="0"/>
    <n v="0"/>
    <n v="367"/>
    <n v="0"/>
    <n v="0"/>
    <n v="0"/>
    <n v="0"/>
    <n v="0"/>
    <n v="0"/>
    <n v="0"/>
    <n v="0"/>
    <n v="0"/>
    <n v="0"/>
    <n v="0"/>
    <n v="0"/>
    <n v="0"/>
  </r>
  <r>
    <x v="2"/>
    <x v="15"/>
    <s v="TI/TC"/>
    <s v="DGE"/>
    <s v="Francisco Elson"/>
    <s v="NA"/>
    <s v="-"/>
    <s v="Bancos de Baterias da Distribuidora"/>
    <s v="Aquisição de conjuntos de Bancos de Baterias da Distribuidora para estações de comunicação"/>
    <s v="Perda de comunicação por falta de alimentação comercial, penalidades previstas em copntrato"/>
    <m/>
    <n v="0"/>
    <n v="0"/>
    <n v="12.346"/>
    <m/>
    <n v="0"/>
    <n v="12.346"/>
    <n v="0"/>
    <n v="0"/>
    <n v="24.692"/>
    <n v="0"/>
    <n v="0"/>
    <n v="0"/>
    <n v="0"/>
    <n v="0"/>
    <n v="0"/>
    <n v="0"/>
    <n v="0"/>
    <n v="0"/>
    <n v="0"/>
    <n v="0"/>
    <n v="38.408999999999999"/>
    <n v="38.408999999999999"/>
  </r>
  <r>
    <x v="2"/>
    <x v="15"/>
    <s v="TI/TC"/>
    <s v="DGE"/>
    <s v="Francisco Elson"/>
    <s v="NA"/>
    <s v="-"/>
    <s v="Centrais Telefônicas da Distribuidora"/>
    <s v="Aquisição de Centrais Telefônicas da Distribuidora"/>
    <s v="Falha de comunicação com as equipes regionais, aumento do custo de O&amp;M"/>
    <m/>
    <n v="0"/>
    <n v="0"/>
    <n v="0"/>
    <n v="0"/>
    <n v="0"/>
    <n v="62.261200000000002"/>
    <n v="0"/>
    <n v="0"/>
    <n v="62.261200000000002"/>
    <n v="0"/>
    <n v="0"/>
    <n v="0"/>
    <n v="0"/>
    <n v="0"/>
    <n v="0"/>
    <n v="0"/>
    <n v="0"/>
    <n v="0"/>
    <n v="0"/>
    <n v="0"/>
    <n v="265.02199999999999"/>
    <n v="265.02199999999999"/>
  </r>
  <r>
    <x v="2"/>
    <x v="15"/>
    <s v="TI/TC"/>
    <s v="DGE"/>
    <s v="Francisco Elson"/>
    <s v="NA"/>
    <s v="-"/>
    <s v="Equipamentos de Linha Óptica da Distribuidora"/>
    <s v="Aquisição de Equipamentos de Linha Óptica da Distribuidora para estações de comunicação"/>
    <s v="Perda de comunicação por falta de alimentação comercial, penalidades previstas em copntrato"/>
    <m/>
    <n v="0"/>
    <n v="0"/>
    <n v="17.946000000000002"/>
    <n v="0"/>
    <n v="0"/>
    <n v="0"/>
    <n v="0"/>
    <n v="0"/>
    <n v="17.946000000000002"/>
    <n v="0"/>
    <n v="0"/>
    <n v="0"/>
    <n v="0"/>
    <n v="0"/>
    <n v="0"/>
    <n v="0"/>
    <n v="0"/>
    <n v="0"/>
    <n v="0"/>
    <n v="0"/>
    <n v="27.916"/>
    <n v="27.916"/>
  </r>
  <r>
    <x v="2"/>
    <x v="15"/>
    <s v="TI/TC"/>
    <s v="DGE"/>
    <s v="Francisco Elson"/>
    <s v="NA1"/>
    <s v="-"/>
    <s v="Ferramentas manual da Distribuidora"/>
    <s v="Aquisição Ferramentas manual da Distribuidora para suporte e manutenação em estações de comunicação"/>
    <s v="Aumento de tempo de reparo, riscos ergométricos"/>
    <m/>
    <n v="0"/>
    <n v="0"/>
    <n v="0.46800000000000003"/>
    <n v="0"/>
    <n v="0"/>
    <n v="0"/>
    <n v="0"/>
    <n v="0"/>
    <n v="0.46800000000000003"/>
    <n v="0"/>
    <n v="0"/>
    <n v="0"/>
    <n v="0"/>
    <n v="0"/>
    <n v="0"/>
    <n v="0"/>
    <n v="0"/>
    <n v="0"/>
    <n v="0"/>
    <n v="0"/>
    <n v="0.72799999999999998"/>
    <n v="0.72799999999999998"/>
  </r>
  <r>
    <x v="2"/>
    <x v="15"/>
    <s v="TI/TC"/>
    <s v="DGE"/>
    <s v="Francisco Elson"/>
    <s v="NA"/>
    <s v="-"/>
    <s v="Fontes de Alimentação da Distribuidora"/>
    <s v="Fontes de Alimentação da Distribuidora"/>
    <s v="Perda de comunicação por falta de alimentação comercial, penalidades previstas em copntrato"/>
    <m/>
    <n v="0"/>
    <n v="0"/>
    <n v="16.963000000000001"/>
    <n v="0"/>
    <n v="0"/>
    <n v="0"/>
    <n v="0"/>
    <n v="0"/>
    <n v="16.963000000000001"/>
    <n v="0"/>
    <n v="0"/>
    <n v="0"/>
    <n v="0"/>
    <n v="0"/>
    <n v="0"/>
    <n v="0"/>
    <n v="0"/>
    <n v="0"/>
    <n v="0"/>
    <n v="0"/>
    <n v="26.387"/>
    <n v="26.387"/>
  </r>
  <r>
    <x v="2"/>
    <x v="15"/>
    <s v="TI/TC"/>
    <s v="DGE"/>
    <s v="Francisco Elson"/>
    <s v="NA"/>
    <s v="-"/>
    <s v="Instrumentos da Distribuidora"/>
    <s v="Aquisição de Instrumentos da Distribuidora  para suporte e manutenção em estações de comunicação"/>
    <s v="Auemento do tempo de reparo, risco de queima de equipamentos por uso de instrumentos inadequados"/>
    <m/>
    <n v="0"/>
    <n v="0"/>
    <n v="13.95"/>
    <m/>
    <n v="0"/>
    <n v="13.95"/>
    <n v="0"/>
    <n v="0"/>
    <n v="27.9"/>
    <n v="0"/>
    <n v="0"/>
    <n v="0"/>
    <n v="0"/>
    <n v="0"/>
    <n v="0"/>
    <n v="0"/>
    <n v="0"/>
    <n v="0"/>
    <n v="0"/>
    <n v="0"/>
    <n v="43.399000000000001"/>
    <n v="43.399000000000001"/>
  </r>
  <r>
    <x v="2"/>
    <x v="15"/>
    <s v="TI/TC"/>
    <s v="DGE"/>
    <s v="Francisco Elson"/>
    <s v="NA"/>
    <s v="-"/>
    <s v="Multiplexadores da Distribuidora"/>
    <s v="Aquisição de Multiplexadores da Distribuidora para estações de comunicação"/>
    <s v="Perda de comunicação por falta de alimentação comercial, penalidades previstas em copntrato"/>
    <m/>
    <n v="0"/>
    <n v="0"/>
    <n v="35"/>
    <m/>
    <n v="0"/>
    <n v="34.883000000000003"/>
    <n v="0"/>
    <n v="0"/>
    <n v="69.88300000000001"/>
    <n v="0"/>
    <n v="0"/>
    <n v="0"/>
    <n v="0"/>
    <n v="0"/>
    <n v="0"/>
    <n v="0"/>
    <n v="0"/>
    <n v="0"/>
    <n v="0"/>
    <n v="0"/>
    <n v="108.526"/>
    <n v="108.526"/>
  </r>
  <r>
    <x v="2"/>
    <x v="15"/>
    <s v="TI/TC"/>
    <s v="DGE"/>
    <s v="Luciano Nunes"/>
    <s v="TI03118"/>
    <s v="TINV.18.D.054.PS"/>
    <s v="Projeto Sigma - Substituição dos Gateways Mediant 1000"/>
    <s v="Possibilitar a continuidade dos serviços de voz dos escritórios da Cemig Distribuição com o sistema de telefonia adquirido da CEMIGTelecom."/>
    <s v="Aumento de Opex com serviços de reparos e manutenção dos atuais equipamentos (Gateways Mediant 1000)."/>
    <m/>
    <n v="0"/>
    <n v="0"/>
    <n v="0"/>
    <n v="0"/>
    <n v="43.06"/>
    <n v="64.864800000000002"/>
    <n v="0"/>
    <n v="0"/>
    <n v="107.9248"/>
    <m/>
    <m/>
    <m/>
    <m/>
    <m/>
    <m/>
    <m/>
    <m/>
    <m/>
    <m/>
    <m/>
    <m/>
    <n v="0"/>
  </r>
  <r>
    <x v="2"/>
    <x v="15"/>
    <s v="TI/TC"/>
    <s v="DGE"/>
    <s v="Francisco Elson"/>
    <s v="TI05918"/>
    <s v="TINV.18.D.054.RO"/>
    <s v="Redes Ópticas da Distribuidora"/>
    <s v="Construção de Redes Ópticas da Distribuidora para interligação ao backbone de comunicação e redução de alugueis de links"/>
    <s v="Perda de comunicação por falta de alimentação comercial, penalidades previstas em copntrato"/>
    <m/>
    <n v="0"/>
    <m/>
    <n v="0"/>
    <n v="0"/>
    <n v="1755"/>
    <n v="0"/>
    <n v="1170"/>
    <n v="0"/>
    <n v="2925"/>
    <n v="0"/>
    <n v="0"/>
    <n v="0"/>
    <n v="0"/>
    <n v="0"/>
    <n v="2000"/>
    <n v="0"/>
    <n v="0"/>
    <n v="0"/>
    <n v="0"/>
    <n v="0"/>
    <n v="2550"/>
    <n v="4550"/>
  </r>
  <r>
    <x v="2"/>
    <x v="15"/>
    <s v="TI/TC"/>
    <s v="DGE"/>
    <s v="Francisco Elson"/>
    <s v="NA"/>
    <s v="-"/>
    <s v="Remotas de Telecontrole da Distribuidora"/>
    <s v="Aquisição de Remotas de Telecontrole da Distribuidora para estações de comunicação"/>
    <s v="Perda de comunicação por falta de alimentação comercial, penalidades previstas em copntrato"/>
    <m/>
    <n v="0"/>
    <m/>
    <n v="0"/>
    <n v="8.4369999999999994"/>
    <n v="0"/>
    <n v="0"/>
    <n v="0"/>
    <n v="0"/>
    <n v="8.4369999999999994"/>
    <n v="0"/>
    <n v="0"/>
    <n v="0"/>
    <n v="0"/>
    <n v="0"/>
    <n v="0"/>
    <n v="0"/>
    <n v="0"/>
    <n v="0"/>
    <n v="0"/>
    <n v="0"/>
    <n v="13.124000000000001"/>
    <n v="13.124000000000001"/>
  </r>
  <r>
    <x v="2"/>
    <x v="15"/>
    <s v="TI/TC"/>
    <s v="DGE"/>
    <s v="Francisco Elson"/>
    <s v="NA"/>
    <s v="-"/>
    <s v="Sistemas de Ar Condicionado da Distribuidora"/>
    <s v="Aquisição de Sistemas de Ar Condicionado da Distribuidora para estações de comunicação"/>
    <s v="Queima dos equipametos de comunicaçõ por temperatura alta nas estações de comunicação"/>
    <m/>
    <n v="0"/>
    <n v="0"/>
    <n v="14"/>
    <m/>
    <n v="0"/>
    <n v="15.228"/>
    <n v="0"/>
    <n v="0"/>
    <n v="29.228000000000002"/>
    <n v="0"/>
    <n v="0"/>
    <n v="0"/>
    <n v="0"/>
    <n v="0"/>
    <n v="0"/>
    <n v="0"/>
    <n v="0"/>
    <n v="0"/>
    <n v="0"/>
    <n v="0"/>
    <n v="45.465000000000003"/>
    <n v="45.465000000000003"/>
  </r>
  <r>
    <x v="2"/>
    <x v="15"/>
    <s v="TI/IO"/>
    <s v="DGE"/>
    <s v="Tiago Leite"/>
    <s v="NA"/>
    <s v="-"/>
    <s v="Sistemas de Ar Condicionado SEs"/>
    <m/>
    <m/>
    <m/>
    <m/>
    <m/>
    <m/>
    <m/>
    <m/>
    <m/>
    <m/>
    <n v="42.9"/>
    <n v="42.9"/>
    <m/>
    <m/>
    <m/>
    <m/>
    <m/>
    <m/>
    <m/>
    <m/>
    <m/>
    <m/>
    <m/>
    <m/>
    <n v="0"/>
  </r>
  <r>
    <x v="2"/>
    <x v="15"/>
    <s v="TI/TC"/>
    <s v="DGE"/>
    <s v="Francisco Elson"/>
    <s v="NA"/>
    <s v="-"/>
    <s v="Sistemas de Balisamento Noturno da Distribuidora"/>
    <s v="Aquisição de Sistemas de Balisamento Noturno da Distribuidora para estações de comunicação"/>
    <s v="Colisão de aeronaves, multas pelos órgãos competentes"/>
    <m/>
    <n v="0"/>
    <n v="0"/>
    <n v="0.9"/>
    <n v="0"/>
    <n v="0"/>
    <n v="0"/>
    <n v="0"/>
    <n v="0"/>
    <n v="0.9"/>
    <n v="0"/>
    <n v="0"/>
    <n v="0"/>
    <n v="0"/>
    <n v="0"/>
    <n v="0"/>
    <n v="0"/>
    <n v="0"/>
    <n v="0"/>
    <n v="0"/>
    <n v="0"/>
    <n v="1.4"/>
    <n v="1.4"/>
  </r>
  <r>
    <x v="2"/>
    <x v="15"/>
    <s v="TI/TC"/>
    <s v="DGE"/>
    <s v="Francisco Elson"/>
    <s v="NA"/>
    <s v="-"/>
    <s v="Sistemas Rádios da Distribuidora"/>
    <s v="Aquisição de Sistemas Rádios da Distribuidora para estações de comunicação"/>
    <s v="Perda de comunicação por falta de alimentação comercial, penalidades previstas em copntrato"/>
    <m/>
    <n v="0"/>
    <n v="0"/>
    <n v="0"/>
    <n v="53.244999999999997"/>
    <n v="0"/>
    <n v="0"/>
    <n v="0"/>
    <n v="0"/>
    <n v="53.244999999999997"/>
    <n v="0"/>
    <n v="0"/>
    <n v="0"/>
    <n v="0"/>
    <n v="0"/>
    <n v="0"/>
    <n v="0"/>
    <n v="0"/>
    <n v="0"/>
    <n v="0"/>
    <n v="0"/>
    <n v="82.825999999999993"/>
    <n v="82.825999999999993"/>
  </r>
  <r>
    <x v="2"/>
    <x v="16"/>
    <s v="TI/IO"/>
    <s v="DDC"/>
    <s v="Carlos Araújo"/>
    <s v="NA"/>
    <s v="-"/>
    <s v="Aquisição Berço"/>
    <s v="Equipamento para leitura de consumo dos cosumidores do mercado cativo"/>
    <s v="Não faturamento, afetando diretamente o caixa da empresa_x000a_Descomprimento da regulação - Multa"/>
    <m/>
    <n v="0"/>
    <n v="0"/>
    <n v="0"/>
    <n v="0"/>
    <n v="0"/>
    <n v="0"/>
    <n v="0"/>
    <n v="0"/>
    <n v="0"/>
    <n v="0"/>
    <n v="0"/>
    <n v="0"/>
    <m/>
    <n v="0"/>
    <n v="0"/>
    <n v="0"/>
    <n v="1000"/>
    <n v="0"/>
    <n v="0"/>
    <n v="0"/>
    <n v="0"/>
    <n v="1000"/>
  </r>
  <r>
    <x v="2"/>
    <x v="16"/>
    <s v="TI/SI"/>
    <s v="DGE"/>
    <s v="Roberto Proença"/>
    <s v="TI01816"/>
    <s v="TINV.16.D.045.TB"/>
    <s v="Aquisição de Equipamento Móvel para Inspeção de Rede"/>
    <s v="Aquisição de equipamento móvel (tablets) para inspeção, desenho de projetos e recebimento de obras de rede distribuição em campo."/>
    <s v="Perda de oportunidade de ganho de produtividade na inspeção da manutenção, processo de elaboração e execução de projetos de expansão da rede de distribuição; Perda de oportunidade de melhoria de qualidade e segurança na operação de rede subterrânea; Perdas comerciais, devido à maior dificuldade na identificação de fraudes em serviços de inspeção de rede por empresas contratadas."/>
    <m/>
    <n v="0"/>
    <n v="0"/>
    <m/>
    <n v="0"/>
    <n v="0"/>
    <n v="0"/>
    <n v="0"/>
    <n v="0"/>
    <n v="0"/>
    <n v="0"/>
    <n v="0"/>
    <n v="280"/>
    <n v="0"/>
    <n v="0"/>
    <n v="0"/>
    <n v="0"/>
    <n v="0"/>
    <n v="0"/>
    <n v="0"/>
    <n v="0"/>
    <n v="0"/>
    <n v="280"/>
  </r>
  <r>
    <x v="2"/>
    <x v="16"/>
    <s v="TI/IO"/>
    <s v="DDC"/>
    <s v="Carlos Araújo"/>
    <s v="NA"/>
    <s v="-"/>
    <s v="Aquisição Impressora LES"/>
    <s v="Equipamento para leitura de consumo dos cosumidores do mercado cativo"/>
    <s v="Não faturamento, afetando diretamente o caixa da empresa_x000a_Descomprimento da regulação - Multa"/>
    <m/>
    <n v="0"/>
    <n v="0"/>
    <n v="0"/>
    <n v="0"/>
    <n v="0"/>
    <n v="0"/>
    <n v="0"/>
    <n v="0"/>
    <n v="0"/>
    <n v="0"/>
    <n v="0"/>
    <n v="0"/>
    <m/>
    <n v="0"/>
    <n v="0"/>
    <n v="0"/>
    <n v="4000"/>
    <n v="0"/>
    <n v="0"/>
    <n v="0"/>
    <n v="0"/>
    <n v="4000"/>
  </r>
  <r>
    <x v="2"/>
    <x v="16"/>
    <s v="TI/IO"/>
    <s v="DDC"/>
    <s v="Carlos Araújo"/>
    <s v="NA"/>
    <s v="-"/>
    <s v="Aquisição Microcoletores"/>
    <s v="Equipamento para leitura de consumo dos cosumidores do mercado cativo"/>
    <s v="Não faturamento, afetando diretamente o caixa da empresa_x000a_Descomprimento da regulação - Multa"/>
    <m/>
    <n v="0"/>
    <n v="0"/>
    <n v="0"/>
    <n v="0"/>
    <n v="0"/>
    <n v="0"/>
    <n v="0"/>
    <n v="0"/>
    <n v="0"/>
    <n v="0"/>
    <n v="0"/>
    <n v="0"/>
    <m/>
    <n v="0"/>
    <n v="0"/>
    <n v="0"/>
    <n v="10000"/>
    <n v="0"/>
    <n v="0"/>
    <n v="0"/>
    <n v="0"/>
    <n v="10000"/>
  </r>
  <r>
    <x v="2"/>
    <x v="16"/>
    <s v="TI/IO"/>
    <s v="DGE"/>
    <s v="Carlos Araújo"/>
    <s v="TI04318"/>
    <s v="TINV.18.D.045.MP"/>
    <s v="Modernização do Parque Microinformática (CORPORATIVO) D"/>
    <s v="O projeto de modernização do parque de microinformática refere-se à aquisição de ativos de hardware e software para atendimento ao chamado kit empregado. Em virtude da alta variação do dólar observada ao longo de 2015, o balizamento de preços demonstrou-se inferior à expectativa dos licitantes para lotes específicos, resultando no fracasso de dois pregões eletrônicos (cerca de 30% do quantitativo previsto para aquisição no corrente ano). Ressalta-se, assim, que a taxa de obsolescência do parque em 2016 manter-se-á em patamar extremamente elevado, alcançando cerca de 50% do ativo."/>
    <s v="Intensificação da taxa de obsolescência do parque de microinformática; aumento da frequência de falhas e mau funcionamento dos equipamentos; aumento da indisponibilidade de equipamentos para manutenção ou reposição; restrições na instalação e execução de novos programas ou versões; aumento da exposição de riscos de segurança da informação; perda do suporte especializado do fornecedor; degradação do desempenho e produtividade da força de trabalho."/>
    <m/>
    <n v="0"/>
    <n v="0"/>
    <n v="0"/>
    <n v="4184"/>
    <n v="0"/>
    <n v="0"/>
    <n v="0"/>
    <n v="0"/>
    <n v="4184"/>
    <n v="0"/>
    <n v="0"/>
    <n v="50"/>
    <n v="0"/>
    <n v="0"/>
    <n v="0"/>
    <n v="50"/>
    <n v="0"/>
    <n v="0"/>
    <n v="50"/>
    <n v="0"/>
    <n v="100"/>
    <n v="250"/>
  </r>
  <r>
    <x v="2"/>
    <x v="16"/>
    <s v="TI/IO"/>
    <s v="DGE"/>
    <s v="Carlos Araújo"/>
    <s v="NA"/>
    <s v="-"/>
    <s v="Notebooks Laboratório MS/QL"/>
    <m/>
    <m/>
    <m/>
    <m/>
    <m/>
    <m/>
    <n v="30"/>
    <m/>
    <m/>
    <m/>
    <m/>
    <n v="30"/>
    <m/>
    <m/>
    <m/>
    <m/>
    <m/>
    <m/>
    <m/>
    <m/>
    <m/>
    <m/>
    <m/>
    <n v="6"/>
    <n v="6"/>
  </r>
  <r>
    <x v="2"/>
    <x v="14"/>
    <s v="TI/SI"/>
    <s v="DGE"/>
    <s v="Álisson Costa"/>
    <s v="TI02817"/>
    <s v="TINV.17.D.042.RT"/>
    <s v="Análise e Desenvolvimento Sistema Retrocálculo"/>
    <s v="Contratação dos serviços de desenvolvimento nos ambientes SAP ECC e SAP CCS."/>
    <s v=" Atrasos nos procedimentos e processos das equipes nas áreas de negócio (engenharia e recursos humanos); Multas pelo não atendimento dos compromissos obrigatórios dentro do prazo esperado pelos agentes governamentais."/>
    <m/>
    <n v="599.97772216796875"/>
    <n v="0"/>
    <n v="0"/>
    <n v="0"/>
    <n v="0"/>
    <n v="0"/>
    <n v="0"/>
    <n v="0"/>
    <n v="599.97772216796875"/>
    <n v="0"/>
    <n v="0"/>
    <n v="0"/>
    <n v="0"/>
    <n v="0"/>
    <n v="0"/>
    <n v="0"/>
    <n v="0"/>
    <n v="0"/>
    <n v="0"/>
    <n v="0"/>
    <n v="0"/>
    <n v="0"/>
  </r>
  <r>
    <x v="2"/>
    <x v="14"/>
    <s v="TI/TC"/>
    <s v="DGE"/>
    <s v="Roberto Sebastião"/>
    <s v="NA"/>
    <s v="-"/>
    <s v="Antivirus para 9500 estações de trabalho e servidores"/>
    <s v="Aquisição de licenciamento de _x000a_software Antivirus "/>
    <s v="Infecção de microcomputadores da Cemig, provocando indisponibiloidade e roubo de informações"/>
    <m/>
    <n v="0"/>
    <n v="0"/>
    <n v="0"/>
    <n v="0"/>
    <n v="0"/>
    <n v="0"/>
    <n v="0"/>
    <n v="0"/>
    <n v="0"/>
    <n v="0"/>
    <n v="0"/>
    <n v="0"/>
    <n v="0"/>
    <n v="0"/>
    <n v="0"/>
    <n v="0"/>
    <n v="0"/>
    <n v="0"/>
    <n v="0"/>
    <n v="0"/>
    <n v="0"/>
    <n v="0"/>
  </r>
  <r>
    <x v="2"/>
    <x v="14"/>
    <s v="TI/SI"/>
    <s v="DGE"/>
    <s v="Álisson Costa"/>
    <s v="NA"/>
    <s v="-"/>
    <s v="Aquisição da plataforma de geoprocessamento da ESRI na modalidade ELA"/>
    <s v="Contratação do licenciamento, suporte e atualização de versões dos produtos ESRI, prover as equipes de serviços de campo da Cemig D com software para gestão execução das atividades, atender as demandas de diversos projetos de P&amp;D com as ferramentas de geoprocessamento especificas, fornecer software para as equipes de espansão e operação da Cemig D."/>
    <s v="Uso de software não adequado para a geração de informaçãoes ao órgão regulador"/>
    <m/>
    <n v="0"/>
    <n v="0"/>
    <n v="0"/>
    <n v="0"/>
    <n v="0"/>
    <n v="0"/>
    <n v="0"/>
    <n v="0"/>
    <n v="0"/>
    <n v="0"/>
    <n v="0"/>
    <n v="0"/>
    <n v="0"/>
    <n v="0"/>
    <n v="0"/>
    <n v="0"/>
    <n v="0"/>
    <n v="0"/>
    <n v="0"/>
    <n v="300"/>
    <n v="0"/>
    <n v="300"/>
  </r>
  <r>
    <x v="2"/>
    <x v="14"/>
    <s v="TI/IO"/>
    <s v="DGE"/>
    <s v="Carlos Araújo"/>
    <s v="NA"/>
    <s v="-"/>
    <s v="Aquisição de licenças de Sharepoint EPM"/>
    <s v="Considerando o cenário 2018/19 para migração de versão, a Microsoft deve soltar uma nova versão em 2019, o que automaticamente para atualização do 2013, sendo neste caso necessário irmos para o mínimo 2016. Se formos para outras tecnologia, devemos pensar no EPM também, pois a base dele é o SharePoint. Não que ele precisa ser substituído por causa da alteração do SharePoint, mas é um ponto a observar."/>
    <s v="Sobre recurso é preciso saber se isso é colocado na conta da casa ou se é algo que devemos aumentar e já inserir no rateio percentual, visto que o SharePoint, assim como EPM, estão com versão 2010 que já não mais recebe atualização. "/>
    <m/>
    <n v="0"/>
    <n v="0"/>
    <n v="0"/>
    <n v="0"/>
    <n v="0"/>
    <n v="0"/>
    <n v="0"/>
    <n v="0"/>
    <n v="0"/>
    <n v="0"/>
    <n v="0"/>
    <n v="1500"/>
    <n v="0"/>
    <n v="0"/>
    <n v="0"/>
    <n v="0"/>
    <n v="0"/>
    <n v="0"/>
    <n v="0"/>
    <n v="0"/>
    <n v="0"/>
    <n v="1500"/>
  </r>
  <r>
    <x v="2"/>
    <x v="14"/>
    <s v="TI/SI"/>
    <s v="DGE"/>
    <s v="Álisson Costa"/>
    <s v="NA"/>
    <s v="-"/>
    <s v="Aquisição de Licenças QlikView"/>
    <s v="Aquisição de novas licenças do softare de painéis de informação - QlikView"/>
    <s v="Falta de licenças para atendimento das áreas solicitantes de painéis de informação."/>
    <m/>
    <n v="0"/>
    <n v="0"/>
    <n v="0"/>
    <n v="0"/>
    <n v="0"/>
    <n v="0"/>
    <n v="0"/>
    <n v="0"/>
    <n v="0"/>
    <n v="0"/>
    <n v="0"/>
    <n v="0"/>
    <n v="0"/>
    <n v="0"/>
    <n v="0"/>
    <n v="0"/>
    <n v="0"/>
    <n v="0"/>
    <n v="0"/>
    <n v="0"/>
    <n v="0"/>
    <n v="0"/>
  </r>
  <r>
    <x v="2"/>
    <x v="14"/>
    <s v="TI/TC"/>
    <s v="DGE"/>
    <s v="Roberto Sebastião"/>
    <s v="TI01118"/>
    <s v="TINV.18.D.054.SO"/>
    <s v="Aquisição de Produtos e Serviços de Segurança da Informação."/>
    <s v="Renovação dos produtos que garantem a segurança da Informação na Cemig; Renovação do Serviço de Operação da Infraestrutura de Segurança de Informação da Cemig; Renovação do serviço de análise de Vulnerabilidade dos sistemas da rede Cemig."/>
    <s v="Descontinuidade de serviços informatizados_x000a_Roubo de informações confidenciais e invasão de redes corporativas"/>
    <m/>
    <n v="1236.459716796875"/>
    <n v="0"/>
    <n v="0"/>
    <n v="0"/>
    <n v="0"/>
    <n v="0"/>
    <n v="0"/>
    <n v="0"/>
    <n v="1236.459716796875"/>
    <n v="0"/>
    <n v="0"/>
    <n v="0"/>
    <n v="0"/>
    <n v="0"/>
    <n v="0"/>
    <n v="0"/>
    <n v="0"/>
    <n v="0"/>
    <n v="0"/>
    <n v="0"/>
    <n v="0"/>
    <n v="0"/>
  </r>
  <r>
    <x v="2"/>
    <x v="14"/>
    <s v="TI/IO"/>
    <s v="DGE"/>
    <s v="Carlos Araújo"/>
    <s v="NA"/>
    <s v="-"/>
    <s v="Aquisição de Servidores x86 "/>
    <s v="Os servidores x86 são os equipamentos de hardware utilizados com vistas a suportar aplicações específicas, como o Correio Eletrônico, Servidores de Arquivos, Internet, Intranet, Portal de Compras, Agência Virtual, GPJuri, Impressão Corporativa, Bancos de Dados SQL, dentre outros. O projeto objetiva substituir os equipamentos obsoletos, visando comportar o crescimento vegetativo dessas aplicações; Aquisição de novos servidores visando a atualização tecnológica do interior do estado; Permitir o crescimento vegetativo da infraestrutura do interior do estado; Atendimento as demandas por recursos tecnológicos das áreas clientes, que estão cada dia mais crescentes e a atual infraestrutura não suporta."/>
    <s v="Comprometimento da capacidade de processamento das aplicações atendidas, com degradação de desempenho das mesmas; O crescimento vegetativo da infraestrutura será inviabilizada devido a obsolescência do hardware, bem como, a impossibilidade de crescimento da capacidade de processamento."/>
    <m/>
    <n v="0"/>
    <n v="0"/>
    <n v="0"/>
    <n v="0"/>
    <n v="0"/>
    <n v="0"/>
    <n v="0"/>
    <n v="0"/>
    <n v="0"/>
    <n v="0"/>
    <n v="0"/>
    <n v="0"/>
    <n v="0"/>
    <n v="0"/>
    <n v="0"/>
    <n v="0"/>
    <n v="0"/>
    <n v="0"/>
    <n v="0"/>
    <n v="0"/>
    <n v="500"/>
    <n v="500"/>
  </r>
  <r>
    <x v="2"/>
    <x v="14"/>
    <s v="TI/TC"/>
    <s v="DGE"/>
    <s v="Francisco Elson"/>
    <s v="NA"/>
    <s v="-"/>
    <s v="Aquisição de software específicos para estudos de enlace e cobertura"/>
    <s v="-"/>
    <s v="-"/>
    <m/>
    <n v="0"/>
    <n v="0"/>
    <n v="0"/>
    <n v="0"/>
    <n v="0"/>
    <n v="0"/>
    <n v="0"/>
    <n v="0"/>
    <n v="0"/>
    <n v="0"/>
    <n v="0"/>
    <n v="0"/>
    <n v="0"/>
    <n v="0"/>
    <n v="0"/>
    <n v="0"/>
    <n v="0"/>
    <n v="0"/>
    <n v="0"/>
    <n v="250"/>
    <n v="0"/>
    <n v="250"/>
  </r>
  <r>
    <x v="2"/>
    <x v="14"/>
    <s v="TI/TC"/>
    <s v="DGE"/>
    <s v="Roberto Sebastião"/>
    <s v="NA"/>
    <s v="-"/>
    <s v="Aquisição do SIEM "/>
    <s v="Solução de Gerenciamento e Correlação de Eventos de Segurança"/>
    <s v="Descumprimento de controles de Auditoria e riscos de ataques em função de não correlação de logs de segurança"/>
    <m/>
    <n v="0"/>
    <n v="0"/>
    <n v="0"/>
    <n v="0"/>
    <n v="0"/>
    <n v="0"/>
    <n v="0"/>
    <n v="0"/>
    <n v="0"/>
    <n v="0"/>
    <n v="0"/>
    <n v="0"/>
    <n v="0"/>
    <n v="0"/>
    <n v="0"/>
    <n v="0"/>
    <n v="0"/>
    <n v="0"/>
    <n v="0"/>
    <n v="0"/>
    <n v="0"/>
    <n v="0"/>
  </r>
  <r>
    <x v="2"/>
    <x v="14"/>
    <s v="TI/SI"/>
    <s v="DDC"/>
    <s v="Álisson Costa"/>
    <s v="NA"/>
    <s v="-"/>
    <s v="Aquisição do Sistema Cyme"/>
    <s v="O projeto consiste na contratação do fornecimento, manutenção e suporte de aplicativos especializados para cálculos e análise de sistemas de distribuição de energia elétrica a serem disponibilizados em rede."/>
    <s v="Dificuldade da realização do planejamento de expansão do sistema elétrico e análises de atendimento de carga da Malha Centro (2.034 MVA). Versões desktop não possui capacidade de executar os cálculos de fluxo de potência de todos os dados da Malha Centro. Esse problema é solucionado com o Cyme Server._x000a_Descontinuidade dos Dados históricos de demanda, existentes desde 1984, comprometendo a projeção da distribuição espacial da carga e consequente a otimização dos investimentos._x000a_Não otimização da rede implicando em aumento de Perdas Técnicas, investimentos adicionais, violação de Requisitos Regulatórios como DEC, DIC/FIC/DMIC, DRC/DRP, perda de Flexibilidade Operativa._x000a_A atual quantidade de licenças Cyme é insuficiente para permitir a produção adequada das equipes de Planejamento, Operação e Engenharia, ocasionando descumprimento dos prazos regulatórios._x000a_Continuidade do dispêndio de Hh com o processo de obtenção e validação de dados, já que os casos ajustados ficam disponíveis apenas nas estações de trabalho."/>
    <m/>
    <n v="0"/>
    <n v="0"/>
    <n v="0"/>
    <n v="0"/>
    <n v="0"/>
    <n v="0"/>
    <n v="0"/>
    <n v="0"/>
    <n v="0"/>
    <n v="0"/>
    <n v="0"/>
    <n v="0"/>
    <n v="0"/>
    <n v="0"/>
    <n v="0"/>
    <n v="3261"/>
    <n v="0"/>
    <n v="0"/>
    <n v="0"/>
    <n v="0"/>
    <n v="0"/>
    <n v="3261"/>
  </r>
  <r>
    <x v="2"/>
    <x v="14"/>
    <s v="TI/IO"/>
    <s v="DDC"/>
    <s v="Carlos Araújo"/>
    <s v="NA"/>
    <s v="-"/>
    <s v="Aquisição do Software analisador de protocolo. Ex.: ASE2000._x000a__x000a_NOTA - Este software pode ser adquirido dentro do contrato das SECIs. Para isso, há necessidade da solicitação através do gerente para a EA/EP._x000a_"/>
    <s v="Aquisição de 2 licenças de  Software analisador de protocolos Industriais e redes Ethernet industriais_x000a_"/>
    <s v="Contribui para a morosidade na identificação de problemas de integração de equipamentos e conexão via redes de automação das novas SEs."/>
    <m/>
    <n v="0"/>
    <n v="0"/>
    <n v="50"/>
    <n v="0"/>
    <n v="0"/>
    <n v="0"/>
    <n v="0"/>
    <n v="0"/>
    <n v="50"/>
    <n v="0"/>
    <n v="0"/>
    <n v="0"/>
    <n v="0"/>
    <n v="0"/>
    <n v="0"/>
    <n v="0"/>
    <n v="0"/>
    <n v="0"/>
    <n v="0"/>
    <n v="0"/>
    <n v="0"/>
    <n v="0"/>
  </r>
  <r>
    <x v="2"/>
    <x v="14"/>
    <s v="TI/SI"/>
    <s v="DGE"/>
    <s v="Álisson Costa"/>
    <s v="TI04117"/>
    <s v="TINV.17.D.042.RE"/>
    <s v="Aquisição Solução REINF"/>
    <s v="Aquisição da solução para atendimento à obrigação junto à RFB, relativa a Escrituração Fiscal Digital - REINF"/>
    <s v="Descumprimento de obrigações perante órgão federais."/>
    <m/>
    <n v="0"/>
    <n v="0"/>
    <n v="16"/>
    <n v="0"/>
    <n v="0"/>
    <n v="0"/>
    <n v="0"/>
    <n v="0"/>
    <n v="16"/>
    <n v="0"/>
    <n v="0"/>
    <n v="0"/>
    <n v="0"/>
    <n v="0"/>
    <n v="150"/>
    <n v="0"/>
    <n v="0"/>
    <n v="0"/>
    <n v="0"/>
    <n v="0"/>
    <n v="150"/>
    <n v="300"/>
  </r>
  <r>
    <x v="2"/>
    <x v="14"/>
    <s v="TI/SI"/>
    <s v="DGE"/>
    <s v="Álisson Costa"/>
    <s v="NA"/>
    <s v="-"/>
    <s v="Aquisição Solução SAP Mobile"/>
    <s v="Aquisição de solução SAP para o uso e aprovações em dispositivos móveis"/>
    <s v="Falta de usa solução mais moderna para as aprovações gerenciais relativas ao sistema SAP na Cemig."/>
    <m/>
    <n v="0"/>
    <n v="0"/>
    <n v="0"/>
    <n v="0"/>
    <n v="0"/>
    <n v="0"/>
    <n v="0"/>
    <n v="0"/>
    <n v="0"/>
    <n v="0"/>
    <n v="0"/>
    <n v="0"/>
    <n v="0"/>
    <n v="0"/>
    <n v="0"/>
    <n v="0"/>
    <n v="0"/>
    <n v="0"/>
    <n v="0"/>
    <n v="0"/>
    <n v="0"/>
    <n v="0"/>
  </r>
  <r>
    <x v="2"/>
    <x v="14"/>
    <s v="TI/IO"/>
    <s v="DGE"/>
    <s v="Carlos Araújo"/>
    <s v="NA"/>
    <s v="-"/>
    <s v="Aquisição Storage (armazenamento)"/>
    <s v="O projeto concerne à aquisição de equipamentos de hardware com vistas a suportar o crescimento vegetativo das demandas de armazenamento de dados das diversas aplicações empresa, como os sistemas SAP, Condis, SAS, Arquivos, GDOC, bem como novas aplicações. A previsão de expansão do parque decorre do crescimento vegetativo observado para as aplicações existentes, além da demanda proveniente da entrada de novas aplicações. Salienta-se que várias aplicações, entre elas os sistemas SAP, requerem alto desempenho devido ao processamento de dados em grande volume."/>
    <s v="Limitação da capacidade de processamento de dados das soluções da empresa. Como ressaltado, trata-se de aplicações de desempenho crítico e que, por essa razão, requerem alto nível de performance. "/>
    <m/>
    <n v="0"/>
    <n v="0"/>
    <n v="0"/>
    <n v="0"/>
    <n v="0"/>
    <n v="0"/>
    <n v="0"/>
    <n v="20000"/>
    <n v="20000"/>
    <n v="0"/>
    <n v="0"/>
    <n v="0"/>
    <n v="0"/>
    <n v="0"/>
    <n v="0"/>
    <n v="0"/>
    <n v="0"/>
    <n v="0"/>
    <n v="0"/>
    <n v="0"/>
    <n v="0"/>
    <n v="0"/>
  </r>
  <r>
    <x v="2"/>
    <x v="14"/>
    <s v="TI/IO"/>
    <s v="DGE"/>
    <s v="Carlos Araújo"/>
    <s v="NA"/>
    <s v="-"/>
    <s v="Aquisição/Upgrade do ambiente de backup "/>
    <s v="Melhoria no ambiente de backup (hardware e software) para atendimento ao crescimento vegetativo e novas aplicações"/>
    <s v="-"/>
    <m/>
    <n v="0"/>
    <n v="0"/>
    <n v="0"/>
    <n v="0"/>
    <n v="0"/>
    <n v="0"/>
    <n v="0"/>
    <n v="0"/>
    <n v="0"/>
    <n v="0"/>
    <n v="0"/>
    <n v="0"/>
    <n v="0"/>
    <n v="0"/>
    <n v="0"/>
    <n v="0"/>
    <n v="0"/>
    <n v="0"/>
    <n v="0"/>
    <n v="0"/>
    <n v="0"/>
    <n v="0"/>
  </r>
  <r>
    <x v="2"/>
    <x v="14"/>
    <s v="TI/SI"/>
    <s v="DGE"/>
    <s v="Álisson Costa"/>
    <s v="TI04718"/>
    <s v="TINV.18.D.042.AG"/>
    <s v="Arquitetura GEO (LayerCast + OpenLayers Cemig)"/>
    <s v="Construção de uma arquitetura para otimização de camadas geográficas com armazenamento e controle de cache."/>
    <s v="Aumento do tempo de abertura dos painéis de informação; Time out nas solicitações para processamento das informações geográficas."/>
    <m/>
    <n v="0"/>
    <n v="0"/>
    <n v="23.5"/>
    <n v="23.5"/>
    <n v="23.5"/>
    <n v="23.5"/>
    <n v="23.5"/>
    <n v="23.5"/>
    <n v="141"/>
    <n v="23.58"/>
    <n v="23.58"/>
    <n v="23.58"/>
    <n v="23.58"/>
    <n v="23.58"/>
    <n v="23.58"/>
    <n v="23.58"/>
    <n v="23.58"/>
    <n v="23.58"/>
    <n v="23.58"/>
    <n v="23.58"/>
    <n v="23.58"/>
    <n v="282.95999999999992"/>
  </r>
  <r>
    <x v="2"/>
    <x v="14"/>
    <s v="TI/SI"/>
    <s v="DGE"/>
    <s v="Roberto Proença"/>
    <s v="TI02115"/>
    <s v="TINV.15.D.042.AT"/>
    <s v="ATLÂNTIS - Aquisição de uma plataforma GIS (Geographic Information System) para suporte aos processos da Cemig Distribuição, em substituição ao atual sistema GEMINI e aquisição da infraestrutura necessária para suportar a nova solução."/>
    <s v="Contratação dos novos módulos de Mapeamento, Cadastro, Projeto e Planejamento do Sistema de Gestão de Redes e da infraestrutura para suportá-los controlando a possibilidade de análise, estudo, simulação, valoração e processamento das informações em um ambiente integrado, além de propiciar o correto provimento das informações periodicamente solicitadas pelo órgão regulador (ANEEL) no seu novo ambiente georreferenciado; Integrar os sistemas Atlantis e o SAP CCS; Expor serviços de negócio reutilizáveis aderentes a este contexto de integração;  Permitir a identificação de logradouros que ainda não possuam consumidores cadastrados."/>
    <s v="Perda de sincronismo de processos entre Cemig e Light; limitação e desempenho degradado da solução atual; baixa produtividade para provimento de novas soluções para gestão dos ativos da rede de distribuição; limitação da quantidade de usuários com acesso à aplicação; obsolescência da ferramenta atual, com mais de uma década de uso; perda de oportunidade de redução de custos operacionais; incapacidade de atendimento a algumas demandas do órgão regulador (Aneel/Prodist);_x000a_perda da melhoria do processo de capitalização e gestão de ativos da Cemig Distribuidora._x000a_"/>
    <m/>
    <n v="456.630859375"/>
    <n v="350"/>
    <n v="160"/>
    <n v="600"/>
    <n v="400"/>
    <n v="650"/>
    <n v="150"/>
    <n v="1000"/>
    <n v="3766.630859375"/>
    <n v="1150"/>
    <n v="1261"/>
    <n v="1200"/>
    <n v="1250"/>
    <n v="1200"/>
    <n v="1250"/>
    <n v="1200"/>
    <n v="0"/>
    <n v="0"/>
    <n v="0"/>
    <n v="0"/>
    <n v="0"/>
    <n v="8511"/>
  </r>
  <r>
    <x v="2"/>
    <x v="14"/>
    <s v="TI/SI"/>
    <s v="DGE"/>
    <s v="Álisson Costa"/>
    <s v="NA"/>
    <s v="-"/>
    <s v="Atualização da Cemignet/Portal Cemig"/>
    <s v="Atualização do site da Cemig na internet e do site da intranet corporativa (Cemignet 2.0)."/>
    <s v="Imagem da Empresa prejudicada e associada ao antigo e desatualizado."/>
    <m/>
    <n v="0"/>
    <n v="0"/>
    <n v="0"/>
    <n v="0"/>
    <n v="0"/>
    <n v="0"/>
    <n v="0"/>
    <n v="0"/>
    <n v="0"/>
    <n v="0"/>
    <n v="0"/>
    <n v="0"/>
    <n v="150"/>
    <n v="0"/>
    <n v="0"/>
    <n v="0"/>
    <n v="159"/>
    <n v="0"/>
    <n v="0"/>
    <n v="0"/>
    <n v="250"/>
    <n v="559"/>
  </r>
  <r>
    <x v="2"/>
    <x v="14"/>
    <s v="TI/SI"/>
    <s v="DGE"/>
    <s v="Álisson Costa"/>
    <s v="TI03117"/>
    <s v="TINV.17.D.042.BC"/>
    <s v="Barramento Comercial (Canais de Atendimento Virtuais e Comunicação Bancária)"/>
    <s v="Desenvolvimento de um barramento de serviços comerciais usando a Arquitetura Orientada a Serviços - SOA"/>
    <s v="Respostas divergentes considerando um mesmo tipo de solicitação; Impacto no atendimento comercial da Cemig, pelo aumento do uso dos canais virtuais; Alto custo para manter interfaces replicadas e despadronizadas."/>
    <m/>
    <n v="11.423999786376953"/>
    <n v="54"/>
    <n v="0"/>
    <n v="0"/>
    <n v="42.576000000000001"/>
    <n v="54"/>
    <n v="0"/>
    <n v="54"/>
    <n v="215.99999978637695"/>
    <n v="0"/>
    <n v="0"/>
    <n v="36"/>
    <n v="0"/>
    <n v="0"/>
    <n v="36"/>
    <n v="0"/>
    <n v="0"/>
    <n v="36"/>
    <n v="0"/>
    <n v="0"/>
    <n v="36"/>
    <n v="144"/>
  </r>
  <r>
    <x v="2"/>
    <x v="14"/>
    <s v="TI/SI"/>
    <s v="DGE"/>
    <s v="Roberto Proença"/>
    <s v="TI03015"/>
    <s v="TINV.15.D.042.BR"/>
    <s v="Barramento de Serviços G-DIS"/>
    <s v="O projeto refere-se à criação de um barramento de serviços para o Sistema G-DIS como SOA - Service Oriented Achitecture, conforme necessidade apontada pelo Programa Conexão - Implantação de sistemas em sinergia com outras empresas do Grupo Cemig."/>
    <s v="Perda de sinergia no compartilhamento de serviços; despadronização de fornecedores e tecnologias; piora no tempo de resposta e no processamento das requisições; perda na distribuição de carga de solicitações em outro ambiente computacional."/>
    <m/>
    <n v="96.815998077392578"/>
    <n v="26"/>
    <n v="15"/>
    <n v="15"/>
    <n v="15"/>
    <n v="15"/>
    <n v="15"/>
    <n v="15"/>
    <n v="212.81599807739258"/>
    <n v="50"/>
    <n v="50"/>
    <n v="50"/>
    <n v="50"/>
    <n v="87"/>
    <n v="0"/>
    <n v="150"/>
    <n v="100"/>
    <n v="0"/>
    <n v="0"/>
    <n v="0"/>
    <n v="0"/>
    <n v="537"/>
  </r>
  <r>
    <x v="2"/>
    <x v="14"/>
    <s v="TI/SI"/>
    <s v="DGE"/>
    <s v="Álisson Costa"/>
    <s v="NA"/>
    <s v="-"/>
    <s v="Barramentos de Integração de Sistemas"/>
    <s v="Construção de barramentos de serviço para a integração e padronização de acessos às informações corporativas mais consumidas, usando o conceito SOA - Arquitetura Orientada a Serviços"/>
    <s v="Multiplicação de interfaces e duplicidade ou desencontro de informações"/>
    <m/>
    <n v="0"/>
    <n v="0"/>
    <n v="0"/>
    <n v="0"/>
    <n v="0"/>
    <n v="0"/>
    <n v="0"/>
    <n v="0"/>
    <n v="0"/>
    <n v="0"/>
    <n v="0"/>
    <n v="0"/>
    <n v="0"/>
    <n v="0"/>
    <n v="0"/>
    <n v="0"/>
    <n v="0"/>
    <n v="0"/>
    <n v="0"/>
    <n v="0"/>
    <n v="0"/>
    <n v="0"/>
  </r>
  <r>
    <x v="2"/>
    <x v="14"/>
    <s v="TI/SI"/>
    <s v="DGE"/>
    <s v="Álisson Costa"/>
    <s v="NA"/>
    <s v="-"/>
    <s v="Canais de Atendimento Cemig - AGV/AGB/AGA"/>
    <s v="Desenvolvimento web de novos serviços comerciais nos canais de atendimento oficiais da Cemig"/>
    <s v="Falta de canais de atendimento disponíveis, aumento de clientes nas agências de atendimento presencial da Cemig."/>
    <m/>
    <n v="0"/>
    <n v="0"/>
    <n v="0"/>
    <n v="0"/>
    <n v="0"/>
    <n v="0"/>
    <n v="0"/>
    <n v="0"/>
    <n v="0"/>
    <n v="0"/>
    <n v="0"/>
    <n v="0"/>
    <n v="0"/>
    <n v="0"/>
    <n v="0"/>
    <n v="0"/>
    <n v="0"/>
    <n v="0"/>
    <n v="0"/>
    <n v="0"/>
    <n v="0"/>
    <n v="0"/>
  </r>
  <r>
    <x v="2"/>
    <x v="14"/>
    <s v="TI/SI"/>
    <s v="DGE"/>
    <s v="Álisson Costa"/>
    <s v="TI00517"/>
    <s v="TINV.17.D.042.FR"/>
    <s v="Construção de Framework de Desenvolvimento"/>
    <s v="Elaborar e Construir um Framework de Desenvolvimento de Sistemas"/>
    <s v="Variedade de modelos e estruturas para os novos sistemas"/>
    <m/>
    <n v="64.575159072875977"/>
    <n v="72.628309999999999"/>
    <n v="33.799999999999997"/>
    <n v="0"/>
    <n v="0"/>
    <n v="0"/>
    <n v="0"/>
    <n v="0"/>
    <n v="171.00346907287599"/>
    <n v="30"/>
    <n v="30"/>
    <n v="0"/>
    <n v="0"/>
    <n v="0"/>
    <n v="0"/>
    <n v="0"/>
    <n v="0"/>
    <n v="0"/>
    <n v="0"/>
    <n v="0"/>
    <n v="0"/>
    <n v="60"/>
  </r>
  <r>
    <x v="2"/>
    <x v="14"/>
    <s v="TI/SI"/>
    <s v="DGE"/>
    <s v="Roberto Proença"/>
    <s v="NA"/>
    <s v="-"/>
    <s v="Crescimento do Hardware G-DIS"/>
    <s v="Aquisição de novos servidores  visando adequar a infraestrutura a especificação dos projetos G-DIS 2.0 e Atlantis; Permitir o crescimento vegetativo do sistema; Atendimento ao órgão regulador permitindo melhorias no batimento físico-contábil dos ativos da Cemig Distribuição."/>
    <s v="Os projetos G-DIS 2.0 e Atlantis estão em andamento com contratos anuidos pela Aneel. Não fornecer o hardware implica em descontinuidade desses projetos e perda do investimento realizado nos projetos G-DIS 2.0 e Atlantis; Várias demandas estão aguardando a implantação do G-DIS 2.0 e Atlantis, sem hardware teremos que implementar soluções duas vezes, sendo uma na versão atual."/>
    <m/>
    <n v="0"/>
    <n v="0"/>
    <n v="0"/>
    <n v="0"/>
    <n v="0"/>
    <n v="0"/>
    <n v="0"/>
    <n v="0"/>
    <n v="0"/>
    <n v="0"/>
    <n v="0"/>
    <n v="0"/>
    <n v="0"/>
    <n v="0"/>
    <n v="0"/>
    <n v="0"/>
    <n v="0"/>
    <n v="0"/>
    <n v="0"/>
    <n v="0"/>
    <n v="0"/>
    <n v="0"/>
  </r>
  <r>
    <x v="2"/>
    <x v="14"/>
    <s v="TI/IO"/>
    <s v="DGE"/>
    <s v="Carlos Araújo"/>
    <s v="NA"/>
    <s v="-"/>
    <s v="Crescimento vegetativo ambiente SAP"/>
    <s v="O projeto decorre da necessidade de upgrade da capacidade de processamento e memória dos servidores que hospedam a solução SAP da Cemig, em face do crescimento vegetativo.  Alguns sistemas integrados com a solução SAP são: SAP ECC IS-U/CCS for Utilities (SGC – Sistema de Gestão comercial), SAP Customer Relationship Management - CRM e SAP Enterprise Resource Planning (ECC 6.0 EHP4). À parte do crescimento vegetativo da solução SAP, o projeto atende também a necessidade de processamento de projetos específicos, como Altântis e G-DIS."/>
    <s v="Incapacidade de processamento dos servidores para absorção das demandas vegetativas, regulatórias e fiscais, tais como crescimento do número de consumidores; projeto de leitura e impressão simultânea de faturas; nota fiscal eletrônica de entrada; além da necessidade de processamento de dados de projetos críticos, como Atlântis e G-DIS. Não sendo possível sua realização em 2016, restará prejudicado o dimensionamento adequado do parque de servidores, assim como a garantia da capacidade de processamento de dados requisitada pelos diversos sistemas operacionais da Cemig D."/>
    <m/>
    <n v="0"/>
    <n v="0"/>
    <n v="0"/>
    <n v="0"/>
    <n v="0"/>
    <n v="0"/>
    <n v="0"/>
    <n v="0"/>
    <n v="0"/>
    <n v="0"/>
    <n v="0"/>
    <n v="0"/>
    <n v="0"/>
    <n v="0"/>
    <n v="0"/>
    <n v="0"/>
    <n v="0"/>
    <n v="0"/>
    <n v="0"/>
    <n v="0"/>
    <n v="0"/>
    <n v="0"/>
  </r>
  <r>
    <x v="2"/>
    <x v="14"/>
    <s v="TI/SI"/>
    <s v="DGE"/>
    <s v="Álisson Costa"/>
    <s v="TI00416"/>
    <s v="TINV.15.D.042.PT"/>
    <s v="Desenvolvimento de Melhorias do Sistema Part-APR"/>
    <s v="Faturamento Residual Ciclo 2013-2019"/>
    <s v="-"/>
    <m/>
    <n v="10.502650260925293"/>
    <n v="0"/>
    <n v="0"/>
    <n v="0"/>
    <n v="0"/>
    <n v="0"/>
    <n v="0"/>
    <n v="0"/>
    <n v="10.502650260925293"/>
    <n v="0"/>
    <n v="0"/>
    <n v="0"/>
    <n v="0"/>
    <n v="0"/>
    <n v="0"/>
    <n v="0"/>
    <n v="0"/>
    <n v="0"/>
    <n v="0"/>
    <n v="0"/>
    <n v="0"/>
    <n v="0"/>
  </r>
  <r>
    <x v="2"/>
    <x v="14"/>
    <s v="TI/SI"/>
    <s v="DGE"/>
    <s v="Álisson Costa"/>
    <s v="NA"/>
    <s v="-"/>
    <s v="Desenvolvimento de Sistemas Corporativos em BPMS"/>
    <s v="Criação de soluções baseadas nos fluxos criados pela notação de modelagem de processo de negócios - BPM"/>
    <s v="Falta de otimização e evolução para os processos empresariais"/>
    <m/>
    <n v="0"/>
    <n v="0"/>
    <n v="0"/>
    <n v="0"/>
    <n v="0"/>
    <n v="0"/>
    <n v="0"/>
    <n v="0"/>
    <n v="0"/>
    <n v="20"/>
    <n v="20"/>
    <n v="40"/>
    <n v="20"/>
    <n v="20"/>
    <n v="40"/>
    <n v="40"/>
    <n v="40"/>
    <n v="40"/>
    <n v="40"/>
    <n v="40"/>
    <n v="40"/>
    <n v="400"/>
  </r>
  <r>
    <x v="2"/>
    <x v="14"/>
    <s v="TI/SI"/>
    <s v="DGE"/>
    <s v="Álisson Costa"/>
    <s v="TI00216"/>
    <s v="TINV.15.D.042.NE"/>
    <s v="Desenvolvimento do Módulo Gestão da Inadimplência"/>
    <s v="Faturamento Residual Ciclo 2013-2017"/>
    <s v="-"/>
    <m/>
    <n v="14.010740280151367"/>
    <n v="0"/>
    <n v="0"/>
    <n v="0"/>
    <n v="0"/>
    <n v="0"/>
    <n v="0"/>
    <n v="0"/>
    <n v="14.010740280151367"/>
    <n v="0"/>
    <n v="0"/>
    <n v="0"/>
    <n v="0"/>
    <n v="0"/>
    <n v="0"/>
    <n v="0"/>
    <n v="0"/>
    <n v="0"/>
    <n v="0"/>
    <n v="0"/>
    <n v="0"/>
    <n v="0"/>
  </r>
  <r>
    <x v="2"/>
    <x v="14"/>
    <s v="TI/SI"/>
    <s v="DGE"/>
    <s v="Álisson Costa"/>
    <s v="TI00316"/>
    <s v="TINV.15.D.042.NC"/>
    <s v="Desenvolvimento do Módulo Negociação da Inadimplência"/>
    <s v="Faturamento Residual Ciclo 2013-2020"/>
    <s v="-"/>
    <m/>
    <n v="9.5870800018310547"/>
    <n v="0"/>
    <n v="0"/>
    <n v="0"/>
    <n v="0"/>
    <n v="0"/>
    <n v="0"/>
    <n v="0"/>
    <n v="9.5870800018310547"/>
    <n v="0"/>
    <n v="0"/>
    <n v="0"/>
    <n v="0"/>
    <n v="0"/>
    <n v="0"/>
    <n v="0"/>
    <n v="0"/>
    <n v="0"/>
    <n v="0"/>
    <n v="0"/>
    <n v="0"/>
    <n v="0"/>
  </r>
  <r>
    <x v="2"/>
    <x v="14"/>
    <s v="TI/SI"/>
    <s v="DGE"/>
    <s v="Álisson Costa"/>
    <s v="TI03617"/>
    <s v="TINV.17.D.042.RP"/>
    <s v="Desenvolvimento do Sistema de Recuperação de Perdas Comerciais"/>
    <s v="Construção de um sistema para a prevenção e recuperação de perdas comerciais."/>
    <s v="Crescimento das perdas comerciais que impactam a receita; Diminuição da arrecadação."/>
    <m/>
    <n v="0"/>
    <n v="30"/>
    <n v="31.8"/>
    <n v="31.8"/>
    <n v="30"/>
    <n v="30"/>
    <n v="31.8"/>
    <n v="61.8"/>
    <n v="247.2"/>
    <n v="0"/>
    <n v="0"/>
    <n v="92.7"/>
    <n v="0"/>
    <n v="0"/>
    <n v="92.7"/>
    <n v="0"/>
    <n v="0"/>
    <n v="0"/>
    <n v="0"/>
    <n v="0"/>
    <n v="0"/>
    <n v="185.4"/>
  </r>
  <r>
    <x v="2"/>
    <x v="14"/>
    <s v="TI/SI"/>
    <s v="DGE"/>
    <s v="Álisson Costa"/>
    <s v="TI00417"/>
    <s v="TINV.17.D.042.PI"/>
    <s v="Desenvolvimento do sistema PIC-Portal da Imagem Cemig"/>
    <s v="Prover o desenvolvimento do sistema PIC - Portal da Imagem Cemig"/>
    <s v="Gastos sem controle nos anúncios e comunicados da Empresa"/>
    <m/>
    <n v="52.566009163856506"/>
    <n v="63.433999999999997"/>
    <n v="30"/>
    <n v="0"/>
    <n v="0"/>
    <n v="0"/>
    <n v="0"/>
    <n v="0"/>
    <n v="146.0000091638565"/>
    <n v="20"/>
    <n v="35"/>
    <n v="0"/>
    <n v="0"/>
    <n v="0"/>
    <n v="0"/>
    <n v="0"/>
    <n v="0"/>
    <n v="0"/>
    <n v="0"/>
    <n v="0"/>
    <n v="0"/>
    <n v="55"/>
  </r>
  <r>
    <x v="2"/>
    <x v="14"/>
    <s v="TI/SI"/>
    <s v="DGE"/>
    <s v="Álisson Costa"/>
    <s v="TI02217"/>
    <s v="TINV.17.D.042.GX"/>
    <s v="Desenvolvimento GEDEX"/>
    <s v="Desenvolvimento da solução GEDEX"/>
    <s v="Indisponibilidade das soluções tecnológicas para todos os usuários; Atrasos nos procedimentos e processos das equipes nas áreas de negócio; Ociosidade dos usuários que ficam aguardando a liberação das licenças em uso (fila de espera)."/>
    <m/>
    <n v="0"/>
    <n v="45"/>
    <n v="0"/>
    <n v="45"/>
    <n v="0"/>
    <n v="30"/>
    <n v="0"/>
    <n v="0"/>
    <n v="120"/>
    <n v="0"/>
    <n v="15"/>
    <m/>
    <n v="45"/>
    <n v="0"/>
    <n v="0"/>
    <n v="0"/>
    <n v="0"/>
    <n v="0"/>
    <n v="0"/>
    <n v="0"/>
    <n v="0"/>
    <n v="60"/>
  </r>
  <r>
    <x v="2"/>
    <x v="14"/>
    <s v="TI/TC"/>
    <s v="DGE"/>
    <s v="Sebastião Jacinto"/>
    <s v="NA"/>
    <s v="-"/>
    <s v="Equipamento de Transmissão COD/COS"/>
    <m/>
    <m/>
    <m/>
    <n v="0"/>
    <n v="0"/>
    <n v="0"/>
    <n v="0"/>
    <n v="0"/>
    <n v="400"/>
    <n v="0"/>
    <n v="0"/>
    <n v="400"/>
    <n v="0"/>
    <n v="0"/>
    <n v="0"/>
    <n v="0"/>
    <n v="0"/>
    <n v="0"/>
    <n v="0"/>
    <n v="0"/>
    <n v="0"/>
    <n v="0"/>
    <n v="0"/>
    <n v="0"/>
    <n v="0"/>
  </r>
  <r>
    <x v="2"/>
    <x v="14"/>
    <s v="TI/TC"/>
    <s v="DGE"/>
    <s v="Roberto Sebastião"/>
    <s v="TI02618"/>
    <s v="TINV.18.D.054.RD"/>
    <s v="Equipamentos e Softwares da Rede de Dados"/>
    <m/>
    <m/>
    <m/>
    <n v="0"/>
    <n v="0"/>
    <n v="0"/>
    <n v="0"/>
    <n v="1080"/>
    <n v="145"/>
    <n v="0"/>
    <n v="0"/>
    <n v="1225"/>
    <n v="0"/>
    <n v="0"/>
    <n v="0"/>
    <n v="0"/>
    <n v="0"/>
    <n v="0"/>
    <n v="0"/>
    <n v="0"/>
    <n v="0"/>
    <n v="0"/>
    <n v="0"/>
    <n v="0"/>
    <n v="0"/>
  </r>
  <r>
    <x v="2"/>
    <x v="14"/>
    <s v="TI/TC"/>
    <s v="DGE"/>
    <s v="Roberto Sebastião"/>
    <s v="NA"/>
    <s v="-"/>
    <s v="Equipamentos para as redes LAN e WAN dos sites do interior"/>
    <s v="Troca de equipamentos de rede LAN de sites do interior de Minas, em função de obsolescência do parque"/>
    <s v="Alto índice de defeitos e falhas nestes equipamentos provocando indisponibilidades de rede das localidades onde eles estão instalados."/>
    <m/>
    <n v="0"/>
    <n v="0"/>
    <n v="0"/>
    <n v="0"/>
    <n v="0"/>
    <n v="0"/>
    <n v="0"/>
    <n v="0"/>
    <n v="0"/>
    <n v="0"/>
    <n v="200"/>
    <n v="1760"/>
    <n v="222"/>
    <n v="0"/>
    <n v="0"/>
    <n v="0"/>
    <n v="0"/>
    <n v="0"/>
    <n v="0"/>
    <n v="0"/>
    <n v="0"/>
    <n v="2182"/>
  </r>
  <r>
    <x v="2"/>
    <x v="14"/>
    <s v="TI/TC"/>
    <s v="DGE"/>
    <s v="Roberto Sebastião"/>
    <s v="TI05518"/>
    <s v="TINV.18.D.054.EP"/>
    <s v="Equipamentos SPARE (Readequações Rede Operativa)"/>
    <s v="Aquisição e implantação de equipamentos para atualização tecnológica de estruturas de redes Operativas e Corporativas envolvendo Rede Subterrânea e SCADA; Melhoria da disponibilidade e do desempenho de estruturas de rede que suportam aplicações críticas."/>
    <s v="Indisponibilidade de estruturas Operativas e Corporativas  em função de falhas de rede e falta de equipamentos Reserva para substituição; Indisponibilidade de estruturas Operativas e Corporativas  em função de falhas  de equipamentos por obsolescência."/>
    <m/>
    <n v="0"/>
    <n v="0"/>
    <n v="0"/>
    <n v="0"/>
    <n v="0"/>
    <n v="620"/>
    <n v="140"/>
    <n v="0"/>
    <n v="760"/>
    <n v="0"/>
    <n v="0"/>
    <n v="0"/>
    <n v="0"/>
    <n v="0"/>
    <n v="0"/>
    <n v="0"/>
    <n v="0"/>
    <n v="0"/>
    <n v="0"/>
    <n v="0"/>
    <n v="0"/>
    <n v="0"/>
  </r>
  <r>
    <x v="2"/>
    <x v="14"/>
    <s v="TI/SI"/>
    <s v="DGE"/>
    <s v="Álisson Costa"/>
    <s v="TI03517"/>
    <s v="TINV.17.D.042.CF"/>
    <s v="Evolução do Sistema de Gestão - Cemig Fácil"/>
    <s v=" Implementação de melhorias no sistema Cemig Fácil."/>
    <s v="Ocorrência de falhas na operação e na gestão do sistema; Impacto no fluxo de arrecadação da empresa."/>
    <m/>
    <n v="0"/>
    <n v="38"/>
    <n v="0"/>
    <n v="0"/>
    <n v="38"/>
    <n v="0"/>
    <n v="38"/>
    <n v="40.5"/>
    <n v="154.5"/>
    <n v="20"/>
    <n v="20"/>
    <n v="23"/>
    <n v="30"/>
    <n v="0"/>
    <n v="0"/>
    <n v="0"/>
    <n v="0"/>
    <n v="0"/>
    <n v="0"/>
    <n v="0"/>
    <n v="0"/>
    <n v="93"/>
  </r>
  <r>
    <x v="2"/>
    <x v="14"/>
    <s v="TI/SI"/>
    <s v="DGE"/>
    <s v="Roberto Proença"/>
    <s v="NA"/>
    <s v="-"/>
    <s v="Evolução e Sustentação JAVA - Magik"/>
    <s v="Desenvolvimento de funcionalidades inerentes aos processos da DDC dentro do sistema Atlantis"/>
    <s v="Inconformidade do sistema com o processo da distribuição"/>
    <m/>
    <n v="0"/>
    <n v="0"/>
    <n v="0"/>
    <n v="0"/>
    <n v="0"/>
    <n v="0"/>
    <n v="0"/>
    <n v="0"/>
    <n v="0"/>
    <n v="0"/>
    <n v="0"/>
    <n v="50"/>
    <n v="100"/>
    <n v="100"/>
    <n v="100"/>
    <n v="100"/>
    <n v="100"/>
    <n v="100"/>
    <n v="100"/>
    <n v="100"/>
    <n v="150"/>
    <n v="1000"/>
  </r>
  <r>
    <x v="2"/>
    <x v="14"/>
    <s v="TI/SI"/>
    <s v="DGE"/>
    <s v="Álisson Costa"/>
    <s v="TI00914"/>
    <s v="TINV.14.D.042.ES"/>
    <s v="Evolução e Sustentação SAP TI00914"/>
    <s v="Faturamento Residual Ciclo 2013-2018"/>
    <s v="-"/>
    <m/>
    <n v="0.70901525020599365"/>
    <n v="0"/>
    <n v="0"/>
    <n v="0"/>
    <n v="0"/>
    <n v="0"/>
    <n v="0"/>
    <n v="0"/>
    <n v="0.70901525020599365"/>
    <n v="0"/>
    <n v="0"/>
    <n v="0"/>
    <n v="0"/>
    <n v="0"/>
    <n v="0"/>
    <n v="0"/>
    <n v="0"/>
    <n v="0"/>
    <n v="0"/>
    <n v="0"/>
    <n v="0"/>
    <n v="0"/>
  </r>
  <r>
    <x v="2"/>
    <x v="14"/>
    <s v="TI/SI"/>
    <s v="DGE"/>
    <s v="Álisson Costa"/>
    <s v="TI03217"/>
    <s v="TINV.17.D.042.ES"/>
    <s v="Evolução e Sustentação SAP TI03217"/>
    <s v="Evoluir as soluções tecnológicas referentes aos processos de gestão empresarial, comercial e de informações empresariais; Modernizar as integrações dos sistemas SAP ERP, CCS/CRM e BW/BO com os sistemas legados (GDIS, AGV, CTI, URA, PEC, entre outros); Atender às leis, normas, resoluções e diretrizes governamentais ou corporativas."/>
    <s v="Risco de multa e/ou penalidades pelo órgão regulador e outras instituições, devido ao não atendimento das resoluções normativas e legais; Perda da oportunidade de redução de custo para as áreas operacionais; Impacto financeiro nas áreas de negócio dos processos de gestão."/>
    <m/>
    <n v="0"/>
    <n v="0"/>
    <n v="0"/>
    <n v="0"/>
    <n v="450"/>
    <n v="450"/>
    <n v="600"/>
    <n v="600"/>
    <n v="2100"/>
    <n v="600"/>
    <n v="0"/>
    <n v="0"/>
    <n v="0"/>
    <n v="0"/>
    <n v="0"/>
    <n v="0"/>
    <n v="600"/>
    <n v="600"/>
    <n v="600"/>
    <n v="600"/>
    <n v="600"/>
    <n v="3600"/>
  </r>
  <r>
    <x v="2"/>
    <x v="14"/>
    <s v="TI/SI"/>
    <s v="DGE"/>
    <s v="Álisson Costa"/>
    <s v="TI06218"/>
    <s v="TINV.18.D.042.PC"/>
    <s v="Evolução Portal Cemig (Sharepoint)"/>
    <s v="Reconstrução do Portal Cemig na internet"/>
    <s v="Diminuição do acesso ao site da empresa na internet; Time out nas solicitações para processamento das informações."/>
    <m/>
    <n v="0"/>
    <n v="0"/>
    <n v="0"/>
    <n v="0"/>
    <n v="0"/>
    <n v="0"/>
    <n v="0"/>
    <n v="0"/>
    <n v="0"/>
    <n v="23.965199999999999"/>
    <n v="23.965199999999999"/>
    <n v="23.965199999999999"/>
    <n v="23.965199999999999"/>
    <n v="23.965199999999999"/>
    <n v="23.965199999999999"/>
    <n v="23.965199999999999"/>
    <n v="23.965199999999999"/>
    <n v="23.965199999999999"/>
    <n v="23.965199999999999"/>
    <n v="23.965199999999999"/>
    <n v="27.3888"/>
    <n v="291.00600000000003"/>
  </r>
  <r>
    <x v="2"/>
    <x v="14"/>
    <s v="TI/SI"/>
    <s v="DGE"/>
    <s v="Álisson Costa"/>
    <s v="TI06318"/>
    <s v=" TINV.18.D.042.SG"/>
    <s v="Evolução SGCP - Sistema de Gestão e Controle de Patrocínio"/>
    <s v="Desenvolvimento de novas funcionalidades no sistema SGCP; Adequação do processo de gestão dos patrocínios na empresa."/>
    <s v="Obsolescência da solução de gestão de patrocínios da empresa; Ocorrência de erros que podem gerar inconformidades; Falta de compatibilidade do sistema com os processos vigentes na empresa."/>
    <m/>
    <n v="0"/>
    <n v="0"/>
    <n v="0"/>
    <n v="8.56"/>
    <n v="0"/>
    <n v="8.56"/>
    <n v="0"/>
    <n v="8.56"/>
    <n v="25.68"/>
    <n v="8.5589999999999993"/>
    <n v="0"/>
    <n v="8.5589999999999993"/>
    <n v="8.5589999999999993"/>
    <n v="8.5589999999999993"/>
    <n v="0"/>
    <n v="8.5589999999999993"/>
    <n v="8.5589999999999993"/>
    <n v="8.5589999999999993"/>
    <n v="0"/>
    <n v="8.5589999999999993"/>
    <n v="8.5589999999999993"/>
    <n v="77.030999999999992"/>
  </r>
  <r>
    <x v="2"/>
    <x v="14"/>
    <s v="TI/SI"/>
    <s v="DGE"/>
    <s v="Álisson Costa"/>
    <s v="TI00617"/>
    <s v="TINV.17.D.042.AG"/>
    <s v="Expansão e Sustentação da AGV"/>
    <s v="Aumentar os serviços disponíveis na Agência Virtual da Cemig"/>
    <s v="Migração dos consumidores para canais de atendimento de maior custo para a Cemig D"/>
    <m/>
    <n v="159.43008804321289"/>
    <n v="30"/>
    <n v="25"/>
    <n v="20"/>
    <n v="52.07"/>
    <n v="32.200000000000003"/>
    <n v="43.497280000000003"/>
    <n v="75"/>
    <n v="437.19736804321286"/>
    <n v="15"/>
    <n v="20"/>
    <n v="15"/>
    <n v="12"/>
    <n v="15"/>
    <n v="15"/>
    <n v="30"/>
    <n v="30"/>
    <n v="20"/>
    <n v="20"/>
    <n v="25"/>
    <n v="40"/>
    <n v="257"/>
  </r>
  <r>
    <x v="2"/>
    <x v="14"/>
    <s v="TI/TC"/>
    <s v="DGE"/>
    <s v="Roberto Sebastião"/>
    <s v="TI03318"/>
    <s v="TINV.18.D.054.FW"/>
    <s v="Firewall Corporativo"/>
    <s v="Solução de Rede Baseada em Firewall para proteção de Rede Corporativa"/>
    <s v="Computadores infectados ou usuários não autorizados podem ter acesso à rede, provocando infecções, roubo de informações, indisponibilidade de serviços etc..."/>
    <m/>
    <n v="0"/>
    <n v="0"/>
    <n v="0"/>
    <n v="245"/>
    <n v="0"/>
    <n v="0"/>
    <n v="0"/>
    <n v="0"/>
    <n v="245"/>
    <n v="0"/>
    <n v="0"/>
    <n v="0"/>
    <n v="0"/>
    <n v="0"/>
    <n v="0"/>
    <n v="0"/>
    <n v="0"/>
    <n v="935"/>
    <n v="0"/>
    <n v="0"/>
    <n v="0"/>
    <n v="935"/>
  </r>
  <r>
    <x v="2"/>
    <x v="14"/>
    <s v="TI/TC"/>
    <s v="DGE"/>
    <s v="Roberto Sebastião"/>
    <s v="TI06518"/>
    <s v="TINV.18.D.054.FI"/>
    <s v="Firewall para implantação de Internet Descentralizada"/>
    <s v="Solução de Rede Baseada em Firewall para implantação de acesso descentralizado à Internet"/>
    <s v="Necessidades constantes de aumento de links, sem opção de trafegar dados menos prioritários por canais de mais baixo custo."/>
    <m/>
    <n v="0"/>
    <n v="0"/>
    <n v="0"/>
    <n v="0"/>
    <n v="0"/>
    <n v="0"/>
    <n v="700"/>
    <n v="160"/>
    <n v="860"/>
    <n v="250"/>
    <n v="250"/>
    <n v="0"/>
    <n v="0"/>
    <n v="0"/>
    <n v="0"/>
    <n v="0"/>
    <n v="0"/>
    <n v="0"/>
    <n v="0"/>
    <n v="0"/>
    <n v="0"/>
    <n v="500"/>
  </r>
  <r>
    <x v="2"/>
    <x v="14"/>
    <s v="TI/TC"/>
    <s v="DGE"/>
    <s v="Roberto Sebastião"/>
    <s v="NA"/>
    <s v="-"/>
    <s v="Firewall para Segurança de SEs e Salas de Telemática"/>
    <s v="Solução de Rede Baseada em Firewall paragarantir segurança de borda para Ses"/>
    <s v="Riscos de Invasão a redes de Ses provocando indisponibilidade e perda de Operação por parte dos Centros de Gerência"/>
    <m/>
    <n v="0"/>
    <n v="0"/>
    <n v="0"/>
    <n v="0"/>
    <n v="0"/>
    <n v="0"/>
    <n v="0"/>
    <n v="0"/>
    <n v="0"/>
    <n v="0"/>
    <n v="0"/>
    <n v="0"/>
    <n v="0"/>
    <n v="0"/>
    <n v="1880"/>
    <n v="451"/>
    <n v="0"/>
    <n v="0"/>
    <n v="0"/>
    <n v="0"/>
    <n v="0"/>
    <n v="2331"/>
  </r>
  <r>
    <x v="2"/>
    <x v="14"/>
    <s v="TI/SI"/>
    <s v="DGE"/>
    <s v="Álisson Costa"/>
    <s v="TI06418"/>
    <s v="TINV.18.D.042.SS"/>
    <s v="Front End - Saúde e Segurança do Trabalho (EH&amp;S)"/>
    <s v="Desenvolvimento de um Front Ende para o Portal Médico; Acesso a laudos e informações médicas por meio da internet."/>
    <s v="Utilização de papel no envio das informações; Maior tempo para a divulgação das informações aos interessados; Extravios e acesso indevido às informações pessoais."/>
    <m/>
    <n v="0"/>
    <n v="0"/>
    <n v="0"/>
    <n v="0"/>
    <n v="17.117999999999999"/>
    <n v="17.117999999999999"/>
    <n v="17.117999999999999"/>
    <n v="17.117999999999999"/>
    <n v="68.471999999999994"/>
    <n v="17.117999999999999"/>
    <n v="17.117999999999999"/>
    <n v="17.117999999999999"/>
    <n v="4.2794999999999996"/>
    <n v="4.2794999999999996"/>
    <n v="4.2794999999999996"/>
    <n v="4.2794999999999996"/>
    <n v="4.2794999999999996"/>
    <n v="4.2794999999999996"/>
    <n v="4.2794999999999996"/>
    <n v="4.2794999999999996"/>
    <n v="4.2794999999999996"/>
    <n v="89.869499999999988"/>
  </r>
  <r>
    <x v="2"/>
    <x v="14"/>
    <s v="TI/TC"/>
    <s v="DGE"/>
    <s v="Roberto Sebastião"/>
    <s v="TI00818"/>
    <s v="TINV.18.D.054.GW"/>
    <s v="Gateway de Acesso à Internet e Acesso a Email"/>
    <s v="Solução de Proxys de acesso à_x000a_ Internet e gateway de correio eletrônico, que visa proteger a rede interna da Cemig contra acessos Indevidos à Internet."/>
    <s v="Impossibilidade de controle no acesso à Internet e risco de Invasões decorrentes de acessos a sites e páginas com virus e conteúdos maliciosos."/>
    <m/>
    <n v="0"/>
    <n v="0"/>
    <n v="0"/>
    <n v="0"/>
    <n v="0"/>
    <n v="0"/>
    <n v="0"/>
    <n v="0"/>
    <n v="0"/>
    <n v="0"/>
    <n v="0"/>
    <n v="1115"/>
    <n v="268"/>
    <n v="0"/>
    <n v="0"/>
    <n v="0"/>
    <n v="0"/>
    <n v="0"/>
    <n v="0"/>
    <n v="0"/>
    <n v="0"/>
    <n v="1383"/>
  </r>
  <r>
    <x v="2"/>
    <x v="14"/>
    <s v="TI/SI"/>
    <s v="DGE"/>
    <s v="Roberto Proença"/>
    <s v="3211/12"/>
    <s v="TINV.12.D.042.GS"/>
    <s v="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m/>
    <n v="16.69773006439209"/>
    <n v="35.170589999999997"/>
    <n v="0"/>
    <n v="0"/>
    <n v="0"/>
    <n v="0"/>
    <n v="0"/>
    <n v="0"/>
    <n v="51.868320064392087"/>
    <n v="0"/>
    <n v="0"/>
    <n v="0"/>
    <n v="0"/>
    <n v="0"/>
    <n v="0"/>
    <n v="0"/>
    <n v="0"/>
    <n v="0"/>
    <n v="0"/>
    <n v="0"/>
    <n v="0"/>
    <n v="0"/>
  </r>
  <r>
    <x v="2"/>
    <x v="14"/>
    <s v="TI/RT"/>
    <s v="DGE"/>
    <s v="Heberte Faria"/>
    <s v="NA"/>
    <s v="-"/>
    <s v="HP SERVICE MANAGER D"/>
    <s v="Renovação das licenças do software HP SERVICE MANAGER."/>
    <s v="-"/>
    <m/>
    <n v="0"/>
    <n v="0"/>
    <n v="0"/>
    <n v="0"/>
    <n v="0"/>
    <n v="0"/>
    <n v="0"/>
    <n v="0"/>
    <n v="0"/>
    <n v="0"/>
    <n v="0"/>
    <n v="0"/>
    <n v="0"/>
    <n v="0"/>
    <n v="0"/>
    <n v="400"/>
    <n v="0"/>
    <n v="0"/>
    <n v="0"/>
    <n v="0"/>
    <n v="0"/>
    <n v="400"/>
  </r>
  <r>
    <x v="2"/>
    <x v="14"/>
    <s v="TI/SI"/>
    <s v="DDC"/>
    <s v="Álisson Costa"/>
    <s v="NA"/>
    <s v="-"/>
    <s v="Integração CIM - COD para falta de energia"/>
    <s v=" A integração do CIM com GDIS visa o registro e a criação notas para o restabelecimento da falta de energia na unidade consumidora"/>
    <s v="O registro do início de falta é auditado pela Aneel para apuração dos indicadores e calculo de compensações financeiras.  A Cemig fica sujeita a penalizações na auditoria de avaliação dos indicadores de qualidade  a Aneel quando existe discrepância no momento em que a Cemig tem conhecimento da falta de energia em relação ao registro no GDIS"/>
    <m/>
    <n v="0"/>
    <n v="0"/>
    <n v="0"/>
    <n v="0"/>
    <n v="0"/>
    <n v="0"/>
    <n v="0"/>
    <n v="0"/>
    <n v="0"/>
    <n v="0"/>
    <n v="0"/>
    <n v="0"/>
    <n v="0"/>
    <n v="0"/>
    <n v="0"/>
    <n v="0"/>
    <n v="0"/>
    <n v="0"/>
    <n v="0"/>
    <n v="0"/>
    <n v="0"/>
    <n v="0"/>
  </r>
  <r>
    <x v="2"/>
    <x v="14"/>
    <s v="TI/IO"/>
    <s v="DDC"/>
    <s v="Carlos Araújo"/>
    <s v="NA"/>
    <s v="-"/>
    <s v="Integração da rede de oscilografia das subestações "/>
    <s v=" Aquisição de infraestrutura de conectividade para permitir acesso remoto aos dados dos IEDS visando oscilografia das subestações"/>
    <s v="Elevação de custos de OPEX com serviço de campo para  análise e  localização de faltas e ocorrências no SEP. Não será capturado melhoria dos indicadores de qualidade, dentre eles o DEC"/>
    <m/>
    <n v="0"/>
    <n v="0"/>
    <n v="0"/>
    <n v="0"/>
    <n v="0"/>
    <n v="0"/>
    <n v="0"/>
    <n v="0"/>
    <n v="0"/>
    <n v="0"/>
    <n v="0"/>
    <n v="0"/>
    <n v="0"/>
    <n v="0"/>
    <n v="0"/>
    <n v="0"/>
    <n v="0"/>
    <n v="1500"/>
    <n v="0"/>
    <n v="0"/>
    <n v="0"/>
    <n v="1500"/>
  </r>
  <r>
    <x v="2"/>
    <x v="14"/>
    <s v="TI/SI"/>
    <s v="DDC"/>
    <s v="Álisson Costa"/>
    <s v="NA"/>
    <s v="-"/>
    <s v="Integração em ambiente de produção do sistema Landis+GYr do projeto  Cidades do Futuro (P&amp;D 423) visando disponibilizar funções de leitura e corte/religa automatizados "/>
    <s v="Existe necessidade de investimento para desenvolvimento de integrações com o sistema MECE e SAP/CCS para   automatização da leitura dos medidores e de corte/religa"/>
    <s v="O sistema instalado em campo com +/_ 3.500 UC de BT sem ainda possibilidade de  utilização de todas suas funcionalidades. A não execução acarretaria em não redução de despesas leitura (30 mil/ano), corte/religa (projeção de 12 mil/ano) e incremento de receita com recuperação da inadimplência mais ganhos intangíveis com automatização e disponibilização de dados de on-line para os processos internos."/>
    <m/>
    <n v="0"/>
    <n v="0"/>
    <n v="0"/>
    <n v="0"/>
    <n v="0"/>
    <n v="0"/>
    <n v="0"/>
    <n v="0"/>
    <n v="0"/>
    <n v="0"/>
    <n v="0"/>
    <n v="0"/>
    <n v="190"/>
    <n v="0"/>
    <n v="190"/>
    <n v="0"/>
    <n v="0"/>
    <n v="0"/>
    <n v="0"/>
    <n v="0"/>
    <n v="0"/>
    <n v="380"/>
  </r>
  <r>
    <x v="2"/>
    <x v="14"/>
    <s v="TI/IO"/>
    <s v="DDC"/>
    <s v="Carlos Araújo"/>
    <s v="TI06718"/>
    <s v="TINV.18.D.045.TF"/>
    <s v="Licença do programa TF_SE"/>
    <s v="Programa para calculo das trações e flechas em barramentos flexíveis em subestações"/>
    <s v="Comprometimento de atendimento aos projetos de expansão no prazo desejado dentro do ciclo tarifário."/>
    <m/>
    <n v="0"/>
    <n v="0"/>
    <n v="12"/>
    <n v="0"/>
    <n v="0"/>
    <n v="0"/>
    <n v="0"/>
    <n v="0"/>
    <n v="12"/>
    <n v="0"/>
    <n v="0"/>
    <n v="0"/>
    <n v="0"/>
    <n v="0"/>
    <n v="0"/>
    <n v="0"/>
    <n v="0"/>
    <n v="0"/>
    <n v="0"/>
    <n v="0"/>
    <n v="0"/>
    <n v="0"/>
  </r>
  <r>
    <x v="2"/>
    <x v="14"/>
    <s v="TI/RT"/>
    <s v="DGE"/>
    <s v="Heberte Faria"/>
    <s v="TI05318"/>
    <s v="TINV.18.D.762.WZ"/>
    <s v="Licenças WARPZ de otimização de programas no ambiente SAP"/>
    <s v="Otimização do processamento no ambiente SAP, realizado por programas ABAP utilizando  20 licenças  do produto WARPZ , com o objetivo de reduzir o tempo de execução dos programas, menor necessidade de hardwares como memorias e processadores."/>
    <s v="Necessitar maior investimento em hardware de processamento; Ocorrer frequentemente reclamação em função de problema de desempenho no processo on-line provocado por atraso no processamento da Janela batch;"/>
    <m/>
    <n v="0"/>
    <n v="800"/>
    <n v="0"/>
    <n v="0"/>
    <n v="0"/>
    <n v="0"/>
    <n v="0"/>
    <n v="0"/>
    <n v="800"/>
    <m/>
    <m/>
    <m/>
    <m/>
    <m/>
    <m/>
    <m/>
    <m/>
    <m/>
    <m/>
    <m/>
    <m/>
    <n v="0"/>
  </r>
  <r>
    <x v="2"/>
    <x v="14"/>
    <s v="TI/SI"/>
    <s v="DGE"/>
    <s v="Álisson Costa"/>
    <s v="TI05218"/>
    <s v="TINV.18.D.042.BE"/>
    <s v="Licenciamento BENTLEY"/>
    <s v="Atualização da plataforma de software BENTLEY, ferramentas para elaboração de projetos em desenho auxiliado por computador - CAD"/>
    <s v="Limitação da quantidade de licenças para os usuários na Cemig; Falta de suporte para o uso dos produtos e a resolução de problemas; Obsolescência dos produtos usados pela Empresa."/>
    <m/>
    <n v="0"/>
    <n v="0"/>
    <n v="0"/>
    <n v="0"/>
    <n v="0"/>
    <n v="420.45"/>
    <n v="0"/>
    <n v="0"/>
    <n v="420.45"/>
    <n v="0"/>
    <n v="0"/>
    <n v="0"/>
    <n v="0"/>
    <n v="0"/>
    <n v="0"/>
    <n v="0"/>
    <n v="0"/>
    <n v="0"/>
    <n v="0"/>
    <n v="0"/>
    <n v="0"/>
    <n v="0"/>
  </r>
  <r>
    <x v="2"/>
    <x v="14"/>
    <s v="TI/SI"/>
    <s v="DGE"/>
    <s v="Álisson Costa"/>
    <s v="TI00118"/>
    <s v="TINV.18.D.042.OR"/>
    <s v="Licenciamento de Softwares (Oracle) D"/>
    <s v="O projeto decorre da atualização de versão e licenciamento da plataforma de software de gerenciamento de banco de dados da ORACLE."/>
    <s v="Obsolescência do ambiente de gerenciamento de banco de dados; risco de indisponibilidade em decorrência de incidentes críticos, devido à perda da garantia de suporte e da disponibilidade de evoluções de funções e de ferramentas; assim como degradação de performance do ambiente SAP."/>
    <m/>
    <n v="479.32675170898437"/>
    <n v="0"/>
    <n v="0"/>
    <n v="0"/>
    <n v="0"/>
    <n v="0"/>
    <n v="0"/>
    <n v="0"/>
    <n v="479.32675170898437"/>
    <n v="0"/>
    <n v="603"/>
    <n v="0"/>
    <n v="0"/>
    <n v="0"/>
    <n v="0"/>
    <n v="0"/>
    <n v="0"/>
    <n v="0"/>
    <n v="0"/>
    <n v="0"/>
    <n v="0"/>
    <n v="603"/>
  </r>
  <r>
    <x v="2"/>
    <x v="14"/>
    <s v="TI/SI"/>
    <s v="DGE"/>
    <s v="Álisson Costa"/>
    <s v="NA"/>
    <s v="-"/>
    <s v="Licenciamento HEXAGON D"/>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m/>
    <n v="0"/>
    <n v="0"/>
    <n v="0"/>
    <n v="0"/>
    <n v="0"/>
    <n v="0"/>
    <n v="0"/>
    <n v="0"/>
    <n v="0"/>
    <n v="0"/>
    <n v="0"/>
    <n v="0"/>
    <n v="0"/>
    <n v="0"/>
    <n v="0"/>
    <n v="0"/>
    <n v="0"/>
    <n v="0"/>
    <n v="0"/>
    <n v="0"/>
    <n v="0"/>
    <n v="0"/>
  </r>
  <r>
    <x v="2"/>
    <x v="14"/>
    <s v="TI/IO"/>
    <s v="DGE"/>
    <s v="Carlos Araújo"/>
    <s v="NA"/>
    <s v="-"/>
    <s v="Licenciamento IBM Sterling_x000a_"/>
    <s v="Licenciamento IBM Sterling_x000a_"/>
    <s v="-"/>
    <m/>
    <n v="0"/>
    <n v="0"/>
    <n v="0"/>
    <n v="0"/>
    <n v="0"/>
    <n v="0"/>
    <n v="0"/>
    <n v="0"/>
    <n v="0"/>
    <n v="0"/>
    <n v="0"/>
    <n v="0"/>
    <n v="0"/>
    <n v="0"/>
    <n v="0"/>
    <n v="0"/>
    <n v="0"/>
    <n v="0"/>
    <n v="0"/>
    <n v="0"/>
    <n v="650"/>
    <n v="650"/>
  </r>
  <r>
    <x v="2"/>
    <x v="14"/>
    <s v="TI/IO"/>
    <s v="DGE"/>
    <s v="Marcus Souto"/>
    <s v="NA"/>
    <s v="-"/>
    <s v="Licenciamento Microsoft (TrueUp Microsoft 2013)"/>
    <s v="Renovação do contrato de licenciamento de software que contempla Windows Server, Office, etc (2015). Para os demais anos, atendimento às demandas de novos projetos"/>
    <s v="-"/>
    <m/>
    <n v="0"/>
    <n v="0"/>
    <n v="0"/>
    <n v="0"/>
    <n v="0"/>
    <n v="0"/>
    <n v="0"/>
    <n v="0"/>
    <n v="0"/>
    <n v="0"/>
    <n v="0"/>
    <n v="0"/>
    <n v="0"/>
    <n v="0"/>
    <n v="0"/>
    <n v="0"/>
    <n v="0"/>
    <n v="0"/>
    <n v="0"/>
    <n v="0"/>
    <n v="0"/>
    <n v="0"/>
  </r>
  <r>
    <x v="2"/>
    <x v="14"/>
    <s v="TI/IO"/>
    <s v="DGE"/>
    <s v="Marcus Souto"/>
    <s v="TI07018"/>
    <s v="TINV.18.D.045.MS"/>
    <s v="Licenciamento Microsoft D"/>
    <s v="O projeto relaciona-se à renovação do contrato de licenciamento de software com a Microsoft, contemplando todas as licenças em uso pela Cemig D, como Windows Server External Connector, Windows Server Datacenter, Sharepoint Server, Exchange Server Enterprise, CPS do Visual Studio Premium para Ultimate, CPS do Visual Studio Ultimate, Lync Sever Enterprise, e MSDN Platform."/>
    <s v="Perda do direito de renovação do contrato, que ocorre anualmente. Nesse caso, alguns impactos podem ser mencionados, como a perda na economia de custos, já que a renovação, com direito à versão atualizada, custa cerca de 25% do valor da aquisição de uma nova licença; a limitação das funcionalidades das licenças e exposição a falhas de segurança, devido à desatualização das aplicações."/>
    <m/>
    <n v="0"/>
    <n v="0"/>
    <n v="0"/>
    <n v="100"/>
    <n v="0"/>
    <n v="0"/>
    <n v="0"/>
    <n v="0"/>
    <n v="100"/>
    <n v="0"/>
    <n v="0"/>
    <n v="0"/>
    <n v="0"/>
    <n v="0"/>
    <n v="0"/>
    <n v="0"/>
    <n v="100"/>
    <n v="0"/>
    <n v="0"/>
    <n v="0"/>
    <n v="0"/>
    <n v="100"/>
  </r>
  <r>
    <x v="2"/>
    <x v="14"/>
    <s v="TI/SI"/>
    <s v="DGE"/>
    <s v="Álisson Costa"/>
    <s v="TI02418"/>
    <s v="TINV.18.D.042.SA"/>
    <s v="Licenciamento SAS"/>
    <s v="Atualização da plataforma de software do instituto SAS em uso da empresa, para atendimento aos requisitos regulatórios."/>
    <s v="Defasagem tecnológica perante o software usado no setor de energia para atendimento regulatório."/>
    <m/>
    <n v="693.4403076171875"/>
    <n v="0"/>
    <n v="0"/>
    <n v="0"/>
    <n v="0"/>
    <n v="0"/>
    <n v="0"/>
    <n v="0"/>
    <n v="693.4403076171875"/>
    <n v="0"/>
    <n v="0"/>
    <n v="0"/>
    <n v="0"/>
    <n v="0"/>
    <n v="0"/>
    <n v="0"/>
    <n v="0"/>
    <n v="0"/>
    <n v="750"/>
    <n v="0"/>
    <n v="0"/>
    <n v="750"/>
  </r>
  <r>
    <x v="2"/>
    <x v="14"/>
    <s v="TI/TC"/>
    <s v="DGE"/>
    <s v="Roberto Sebastião"/>
    <s v="TI05618"/>
    <s v="TINV.18.D.054.ME"/>
    <s v="Merit Conectividade - Triângulo  e Metropolitano"/>
    <s v="Aquisição de Solução de Rede (Roteadores)  para construção de Rede de dados (MERIT) no  triangulo Mineiro e região  Metropolitana; Objetiva a posterior descontratação de links de dados das regiões triângulo e metropolitana, com redução de custos; A rede construida garantirá links de  maior disponibilidade e desempenho, garantindo em consequência maior disponibilidade e desemenho para as aplicações Operativas e Corporativas que por ela trafegarem."/>
    <s v="Indisponibilidade de aplicações Operativas em função de falhas de rede; Gastos que poderiam ser evitados com canais de comunicação de Operadoras."/>
    <m/>
    <n v="0"/>
    <n v="0"/>
    <n v="0"/>
    <n v="0"/>
    <n v="0"/>
    <n v="1705"/>
    <n v="160"/>
    <n v="0"/>
    <n v="1865"/>
    <n v="0"/>
    <n v="0"/>
    <n v="0"/>
    <n v="0"/>
    <n v="0"/>
    <n v="0"/>
    <n v="0"/>
    <n v="0"/>
    <n v="0"/>
    <n v="0"/>
    <n v="0"/>
    <n v="0"/>
    <n v="0"/>
  </r>
  <r>
    <x v="2"/>
    <x v="14"/>
    <s v="TI/SI"/>
    <s v="DGE"/>
    <s v="Álisson Costa"/>
    <s v="NA"/>
    <s v="-"/>
    <s v="Migração para NFE de Entrada"/>
    <s v="Adequação do SAP para emissão de NFE de Entrada"/>
    <s v="Falha nas retenções de impostos e tarifas."/>
    <m/>
    <n v="0"/>
    <n v="0"/>
    <n v="0"/>
    <n v="0"/>
    <n v="0"/>
    <n v="0"/>
    <n v="0"/>
    <n v="0"/>
    <n v="0"/>
    <n v="0"/>
    <n v="0"/>
    <n v="0"/>
    <n v="0"/>
    <n v="0"/>
    <n v="0"/>
    <n v="0"/>
    <n v="0"/>
    <n v="0"/>
    <n v="0"/>
    <n v="0"/>
    <n v="0"/>
    <n v="0"/>
  </r>
  <r>
    <x v="2"/>
    <x v="14"/>
    <s v="TI/SI"/>
    <s v="DGE"/>
    <s v="Álisson Costa"/>
    <s v="NA"/>
    <s v="-"/>
    <s v="Migração para TAXBRA"/>
    <s v="Migração do modelo de tarifas usado na Cemig para o modelo TAXBRA"/>
    <s v="Continuidade de uso de um modelo de tarifas inadequado na Companhia."/>
    <m/>
    <n v="0"/>
    <n v="0"/>
    <n v="0"/>
    <n v="0"/>
    <n v="0"/>
    <n v="0"/>
    <n v="0"/>
    <n v="0"/>
    <n v="0"/>
    <n v="0"/>
    <n v="0"/>
    <n v="0"/>
    <n v="0"/>
    <n v="0"/>
    <n v="0"/>
    <n v="0"/>
    <n v="0"/>
    <n v="0"/>
    <n v="0"/>
    <n v="0"/>
    <n v="0"/>
    <n v="0"/>
  </r>
  <r>
    <x v="2"/>
    <x v="14"/>
    <s v="TI/SI"/>
    <s v="DGE"/>
    <s v="Álisson Costa"/>
    <s v="NA"/>
    <s v="-"/>
    <s v="Migração Ponto Negativo para Positivo (SAP HR)"/>
    <m/>
    <m/>
    <m/>
    <n v="0"/>
    <n v="0"/>
    <n v="0"/>
    <n v="0"/>
    <n v="0"/>
    <n v="0"/>
    <n v="0"/>
    <n v="0"/>
    <n v="0"/>
    <n v="0"/>
    <n v="0"/>
    <n v="0"/>
    <n v="0"/>
    <n v="0"/>
    <n v="0"/>
    <n v="300"/>
    <n v="0"/>
    <n v="0"/>
    <n v="0"/>
    <n v="0"/>
    <n v="0"/>
    <n v="300"/>
  </r>
  <r>
    <x v="2"/>
    <x v="14"/>
    <s v="TI/SI"/>
    <s v="DGE"/>
    <s v="Roberto Proença"/>
    <s v="NA"/>
    <s v="-"/>
    <s v="Mobilidade - Aquisição de Equipamento Móvel para Projeto e Recebimento de Obras"/>
    <s v="Aquisição de equipamento móvel (tablets) para desenho de projetos e recebimento de obras de rede distribuição em campo."/>
    <s v="Perda de oportunidade de ganho de produtividade no processo de elaboração e execução de projetos de expansão da rede de distribuição; Perda de oportunidade de visibilidade e controle de obras e previsibilidade de realização."/>
    <m/>
    <n v="0"/>
    <n v="0"/>
    <n v="0"/>
    <n v="0"/>
    <n v="0"/>
    <n v="0"/>
    <n v="0"/>
    <n v="0"/>
    <n v="0"/>
    <n v="0"/>
    <n v="0"/>
    <n v="0"/>
    <n v="0"/>
    <n v="0"/>
    <n v="525"/>
    <n v="0"/>
    <n v="0"/>
    <n v="0"/>
    <n v="0"/>
    <n v="0"/>
    <n v="0"/>
    <n v="525"/>
  </r>
  <r>
    <x v="2"/>
    <x v="14"/>
    <s v="TI/SI"/>
    <s v="DGE"/>
    <s v="Roberto Proença"/>
    <s v="NA"/>
    <s v="-"/>
    <s v="Mobilidade - Desenvolvimento e integração com Atlantis (Projeto/As built)"/>
    <s v="Construção de sistema para dispositivo móvel integrado ao Atlantis/GDIS para projeto de rede em campo e recebimento de obras."/>
    <s v="Perda de oportunidade de ganho de produtividade no processo de elaboração e execução de projetos de expansão da rede de distribuição; Perda de oportunidade de visibilidade e controle de obras e previsibilidade de realização."/>
    <m/>
    <n v="0"/>
    <n v="0"/>
    <n v="0"/>
    <n v="0"/>
    <n v="0"/>
    <n v="0"/>
    <n v="0"/>
    <n v="200"/>
    <n v="200"/>
    <n v="100"/>
    <n v="200"/>
    <n v="200"/>
    <n v="250"/>
    <n v="250"/>
    <n v="200"/>
    <n v="200"/>
    <n v="200"/>
    <n v="200"/>
    <n v="0"/>
    <n v="0"/>
    <n v="0"/>
    <n v="1800"/>
  </r>
  <r>
    <x v="2"/>
    <x v="14"/>
    <s v="TI/SI"/>
    <s v="DGE"/>
    <s v="Roberto Proença"/>
    <s v="TI01016"/>
    <s v="TINV.16.D.042.SC"/>
    <s v="Modernização do Sistema de Aquisição de Dados e Monitoramento do COD e aquisição de EMS "/>
    <s v="Aquisição e implantação de Sistema de Aquisição de Dados e Monitoramento com funcionalidades de EMS, OTS dentre outras definidas na Especificação Técnica, e aquisição de Sistema de Controle Backup, a ser implementado como serviço de Colocation."/>
    <s v="-"/>
    <m/>
    <n v="126.48376083374023"/>
    <n v="0"/>
    <n v="0"/>
    <n v="135"/>
    <n v="1576"/>
    <n v="52"/>
    <n v="152"/>
    <n v="52"/>
    <n v="2093.4837608337402"/>
    <n v="151"/>
    <n v="151"/>
    <n v="151"/>
    <n v="151"/>
    <n v="151"/>
    <n v="151"/>
    <n v="151"/>
    <n v="151"/>
    <n v="151"/>
    <n v="151"/>
    <n v="151"/>
    <n v="51"/>
    <n v="1712"/>
  </r>
  <r>
    <x v="2"/>
    <x v="14"/>
    <s v="SC"/>
    <s v="DGE"/>
    <s v="Márcio Rosa"/>
    <s v="TI04618"/>
    <s v="TINV.18.D.741.NA"/>
    <s v="NetAdmin Gerenciamento das estações de trabalho"/>
    <s v="O projeto refere-se à contratação do licenciamento do software NetAdmin para a gestão e inventário lógico de estações de trabalho e demais ativos utilizados na rede de dados da Cemig."/>
    <s v="Impossibilidade de atualização tecnológica do produto. Em decorrência da obsolescência da ferramenta, os seguintes impactos podem ser mencionados: aumento do tempo de atendimento de chamados relativos a suporte de estação de trabalho, administração de chaves de acesso e liberação de direitos de acessos; impossibilidade da execução de rotinas automatizadas pela solução; perda de suporte perante o fornecedor."/>
    <m/>
    <n v="0"/>
    <n v="150"/>
    <n v="0"/>
    <n v="0"/>
    <n v="0"/>
    <n v="0"/>
    <n v="0"/>
    <n v="0"/>
    <n v="150"/>
    <n v="0"/>
    <n v="0"/>
    <n v="0"/>
    <n v="0"/>
    <n v="0"/>
    <n v="0"/>
    <n v="0"/>
    <n v="0"/>
    <n v="0"/>
    <n v="0"/>
    <n v="0"/>
    <n v="0"/>
    <n v="0"/>
  </r>
  <r>
    <x v="2"/>
    <x v="14"/>
    <s v="TI/SI"/>
    <s v="DGE"/>
    <s v="Álisson Costa"/>
    <s v="TI03317"/>
    <s v="TINV.17.D.042.DR"/>
    <s v="Novo Sistema de Controle de Documentos Regulatórios"/>
    <s v="Substituição do sistema Condor - Controle de Documentos Regulatórios."/>
    <s v="Ocorrência de falhas na operação e na gestão do sistema; Impacto no processo de envio e recepção de documentos."/>
    <m/>
    <n v="108.51967239379883"/>
    <n v="30"/>
    <n v="39"/>
    <n v="0"/>
    <n v="39"/>
    <n v="30"/>
    <n v="0"/>
    <n v="31.580329999999996"/>
    <n v="278.10000239379883"/>
    <n v="14"/>
    <n v="0"/>
    <n v="20"/>
    <n v="15"/>
    <n v="15"/>
    <n v="30"/>
    <n v="30"/>
    <n v="0"/>
    <n v="0"/>
    <n v="0"/>
    <n v="0"/>
    <n v="0"/>
    <n v="124"/>
  </r>
  <r>
    <x v="2"/>
    <x v="14"/>
    <s v="TI/IO"/>
    <s v="DDC"/>
    <s v="Carlos Araújo"/>
    <s v="NA"/>
    <s v="-"/>
    <s v="PLS-CADD"/>
    <s v="Aquisição de 2 licenças do software PLS-CADD"/>
    <s v="Comprometimento ao atendimento dos projetos de expansão do ciclo tarifário (2018/2022)._x000a_Comprometimento da produtividade da equipe devido à indisponibilidade de licenças suficientes para trabalhar com o SPELT."/>
    <m/>
    <n v="0"/>
    <n v="0"/>
    <n v="0"/>
    <n v="120"/>
    <n v="0"/>
    <n v="0"/>
    <n v="0"/>
    <n v="0"/>
    <n v="120"/>
    <n v="0"/>
    <n v="0"/>
    <n v="0"/>
    <n v="0"/>
    <n v="0"/>
    <n v="0"/>
    <n v="0"/>
    <n v="0"/>
    <n v="0"/>
    <n v="0"/>
    <n v="0"/>
    <n v="0"/>
    <n v="0"/>
  </r>
  <r>
    <x v="2"/>
    <x v="14"/>
    <s v="TI/TC"/>
    <s v="DGE"/>
    <s v="Roberto Sebastião"/>
    <s v="NA"/>
    <s v="-"/>
    <s v="Pontes fase 2 - Aquisição de Routers para eliminação de Terminais Servers"/>
    <m/>
    <m/>
    <m/>
    <n v="0"/>
    <n v="0"/>
    <n v="0"/>
    <n v="0"/>
    <n v="0"/>
    <n v="0"/>
    <n v="0"/>
    <n v="0"/>
    <n v="0"/>
    <n v="0"/>
    <n v="0"/>
    <n v="0"/>
    <n v="0"/>
    <n v="0"/>
    <n v="0"/>
    <n v="0"/>
    <n v="1400"/>
    <n v="0"/>
    <n v="0"/>
    <n v="0"/>
    <n v="0"/>
    <n v="1400"/>
  </r>
  <r>
    <x v="2"/>
    <x v="14"/>
    <s v="TI/SI"/>
    <s v="DGE"/>
    <s v="Álisson Costa"/>
    <s v="TI02318"/>
    <s v="TINV.18.D.042.GP"/>
    <s v="Portal Geográfico Cemig - GeoPortal"/>
    <s v="Construção de um portal unificado com diversas feições geográficas de interesse corporativo da Cemig; Utilização de uma IDE geográfica e padronização das funcionalidades espaciais; Concentração dos produtos de geoprocessamento para maior visibilidade dos usuários."/>
    <s v="Dispersão das aplicações de geoprocessamento dentro da Cemignet, dificultando a localização e o acesso às funcionalidades; Falta de um padrão visual e de interface com os usuários; Aumento no custo tanto para a construção individualizada, como para as futuras manutenções."/>
    <m/>
    <n v="0"/>
    <n v="0"/>
    <n v="0"/>
    <n v="0"/>
    <n v="75"/>
    <n v="75"/>
    <n v="75"/>
    <n v="75"/>
    <n v="300"/>
    <n v="50"/>
    <n v="50"/>
    <n v="50"/>
    <n v="50"/>
    <n v="50"/>
    <n v="50"/>
    <n v="50"/>
    <n v="50"/>
    <n v="50"/>
    <n v="50"/>
    <n v="50"/>
    <n v="50"/>
    <n v="600"/>
  </r>
  <r>
    <x v="2"/>
    <x v="14"/>
    <s v="TI/SI"/>
    <s v="DGE"/>
    <s v="Álisson Costa"/>
    <s v="TI01317"/>
    <s v="TINV.17.D.042.PG"/>
    <s v="Portal Geográfico de Meteorologia"/>
    <s v="Construção do portal com feição geográfica para visão dos eventos meteorológicos no sistema elétrico."/>
    <s v="Falta de funcionalidades para gestão; Ausência de informações importantes para a tomada de decisão."/>
    <m/>
    <n v="141.84867095947266"/>
    <n v="19.28049"/>
    <n v="15"/>
    <n v="15"/>
    <n v="19"/>
    <n v="19.883230000000001"/>
    <n v="25"/>
    <n v="21.990000000000002"/>
    <n v="277.00239095947262"/>
    <n v="0"/>
    <n v="0"/>
    <n v="0"/>
    <n v="0"/>
    <n v="0"/>
    <n v="0"/>
    <n v="0"/>
    <n v="0"/>
    <n v="0"/>
    <n v="0"/>
    <n v="0"/>
    <n v="0"/>
    <n v="0"/>
  </r>
  <r>
    <x v="2"/>
    <x v="14"/>
    <s v="TI/IO"/>
    <s v="DDC"/>
    <s v="Carlos Araújo"/>
    <s v="NA"/>
    <s v="-"/>
    <s v="Programa de cálculo de janela de travessia e balanço de cabos"/>
    <s v="Cálculo de janelas de travessias de MD sob LD e de balanço de cabos._x000a_8 licenças."/>
    <s v="Atendimento à demanda continuará com a EA/EP, consumindo recurso humano de um profissional em tempo integral e comprometendo seu desempenho e o atendimento às demandas de expansão. "/>
    <m/>
    <n v="0"/>
    <n v="0"/>
    <n v="72"/>
    <n v="0"/>
    <n v="0"/>
    <n v="0"/>
    <n v="0"/>
    <n v="0"/>
    <n v="72"/>
    <n v="0"/>
    <n v="0"/>
    <n v="0"/>
    <n v="0"/>
    <n v="0"/>
    <n v="0"/>
    <n v="0"/>
    <n v="0"/>
    <n v="0"/>
    <n v="0"/>
    <n v="0"/>
    <n v="0"/>
    <n v="0"/>
  </r>
  <r>
    <x v="2"/>
    <x v="14"/>
    <s v="TI/IO"/>
    <s v="DDC"/>
    <s v="Carlos Araújo"/>
    <s v="NA"/>
    <s v="-"/>
    <s v="Programa para substituição do Sistproj"/>
    <s v="Programa para cálculo de rotinas de projetos de LD._x000a_2 licenças"/>
    <s v="Paralização de atividades de projetos executivos de LD com comprometimento de prazos e custos dos planos de expansão._x000a_Impossibilidade de realizar a elaboração e a conferência de projetos contratados que utilizem resultados destas rotinas, que são comuns."/>
    <m/>
    <n v="0"/>
    <n v="95"/>
    <n v="0"/>
    <n v="0"/>
    <n v="0"/>
    <n v="0"/>
    <n v="0"/>
    <n v="0"/>
    <n v="95"/>
    <n v="0"/>
    <n v="0"/>
    <n v="0"/>
    <n v="0"/>
    <n v="0"/>
    <n v="0"/>
    <n v="0"/>
    <n v="0"/>
    <n v="0"/>
    <n v="0"/>
    <n v="0"/>
    <n v="0"/>
    <n v="0"/>
  </r>
  <r>
    <x v="2"/>
    <x v="14"/>
    <s v="TI/SI"/>
    <s v="DDC"/>
    <s v="Roberto Proença"/>
    <s v="TI05718"/>
    <s v="TINV.18.D.042.CI"/>
    <s v="Projeto Compartilhamento de Infraestrutura (antigo Projeto Uso Mútuo)"/>
    <s v="Solução para gestão do compartilhamento de infraestrutura entre distribuidoras e prestadoras de serviços de telecomunicações; Criar uma ferramenta computacional que ofereça suporte geográfico para gestão do compartilhamento de infraestrutura; Integrar diversas soluções utilizadas para gestão do compartilhamento de infraestrutura; Atender obrigação regulatória de disponibilizar dados georreferenciados das infraestruturas disponíveis para compartilhamento (RC004/2014)."/>
    <s v="Risco regulatório por não atendimento da resolução (RC004/2014); Perda de oportunidade de melhoria da base cadastral de compartilhamento de infraestrutura; Possível perda de receita devido falta de ferramentas para gestão do compartilhamento de infraestrutura."/>
    <m/>
    <n v="0"/>
    <n v="0"/>
    <n v="0"/>
    <n v="0"/>
    <n v="0"/>
    <n v="30"/>
    <n v="30"/>
    <n v="60"/>
    <n v="120"/>
    <n v="60"/>
    <n v="60"/>
    <n v="60"/>
    <n v="60"/>
    <n v="0"/>
    <n v="0"/>
    <n v="0"/>
    <n v="0"/>
    <n v="0"/>
    <n v="0"/>
    <n v="0"/>
    <n v="0"/>
    <n v="240"/>
  </r>
  <r>
    <x v="2"/>
    <x v="14"/>
    <s v="TI/RT"/>
    <s v="DGE"/>
    <s v="Sérgio Mourthé"/>
    <s v="NA"/>
    <s v="-"/>
    <s v="Projeto de Atualização da Versão do SAP CRM"/>
    <s v="Projeto de Atualização da Versão do SAP CRM"/>
    <s v="Impacto no atendimento aos clientes; Defasagem tecnológica;"/>
    <m/>
    <n v="0"/>
    <n v="0"/>
    <n v="0"/>
    <n v="0"/>
    <n v="0"/>
    <n v="0"/>
    <n v="0"/>
    <n v="0"/>
    <n v="0"/>
    <n v="0"/>
    <n v="0"/>
    <n v="0"/>
    <n v="0"/>
    <n v="0"/>
    <n v="0"/>
    <n v="0"/>
    <n v="0"/>
    <n v="0"/>
    <n v="0"/>
    <n v="0"/>
    <n v="0"/>
    <n v="0"/>
  </r>
  <r>
    <x v="2"/>
    <x v="14"/>
    <s v="TI/SI"/>
    <s v="DGE"/>
    <s v="Álisson Costa"/>
    <s v="TI01813"/>
    <s v="TINV.14.D.042.SO"/>
    <s v="Projeto Implantação do e-Social"/>
    <s v="Este projeto visa ao provimento de solução no sistema SAP ERP para atender ao módulo e-Social (Sistema de escrituração fiscal digital das obrigações fiscais, previdenciárias e trabalhistas) instituído pelo Governo Federal com o Sistema Público de Escrituração Digital – SPED, através do Decreto nº 6.022/07 e alterado pelo Decreto nº 7.979/13."/>
    <s v="Não cumprimento das obrigações da Cemig perante o governo federal, evitando-se, dessa forma, o risco de multa e/ou penalidades ante a Secretaria da Receita Federal do Brasil (RFB), o Ministério do Trabalho e Emprego (MTE), o Instituto Nacional do Seguro Social (INSS), a Caixa Econômica Federal (CEF), o Conselho Curador do Fundo de Garantia por Tempo de Serviço (FGTS) e a Justiça do Trabalho."/>
    <m/>
    <n v="133.71533203125"/>
    <n v="132"/>
    <n v="184"/>
    <n v="53"/>
    <n v="72"/>
    <n v="42"/>
    <n v="12"/>
    <n v="2"/>
    <n v="630.71533203125"/>
    <n v="37"/>
    <n v="2"/>
    <n v="15"/>
    <n v="0"/>
    <n v="0"/>
    <n v="0"/>
    <n v="0"/>
    <n v="0"/>
    <n v="0"/>
    <n v="0"/>
    <n v="0"/>
    <n v="0"/>
    <n v="54"/>
  </r>
  <r>
    <x v="2"/>
    <x v="14"/>
    <s v="TI/SI"/>
    <s v="DGE"/>
    <s v="Álisson Costa"/>
    <s v="NA"/>
    <s v="-"/>
    <s v="Prospecção Tecnológica, Desenvolvimento, Sustentação e Documentação de Sistemas de Engenharia que atendem os processos da empresa Cemig D"/>
    <s v="O projeto é responsável pela prospecção, desenvolvimento, sustentação e documentação de diversos sistemas de engenharia da Cemig D. Dentre as iniciativas em andamento, podem ser destacadas: Agencia Virtual – AGV; Sistema de Gestão de Projetos de Redes – SGPR; Verde Minas; e Sistema de Monitoramento de Óleo."/>
    <s v="Impacto em diversas iniciativas, paralisando as adequações de processo, desenvolvimento de novos sistemas ou módulos, implementação de automações, entre outros, impedindo a evolução das ferramentas e operações de rotina das áreas da Cemig D."/>
    <m/>
    <n v="0"/>
    <n v="0"/>
    <n v="0"/>
    <n v="0"/>
    <n v="0"/>
    <n v="0"/>
    <n v="0"/>
    <n v="0"/>
    <n v="0"/>
    <n v="0"/>
    <n v="0"/>
    <n v="0"/>
    <n v="0"/>
    <n v="0"/>
    <n v="0"/>
    <n v="0"/>
    <n v="0"/>
    <n v="0"/>
    <n v="0"/>
    <n v="0"/>
    <n v="35"/>
    <n v="35"/>
  </r>
  <r>
    <x v="2"/>
    <x v="14"/>
    <s v="TI/TC"/>
    <s v="DGE"/>
    <s v="Roberto Sebastião"/>
    <s v="TI00918"/>
    <s v="TINV.18.D.054.EX"/>
    <s v="Proteção Gateway Exchange"/>
    <s v="Antivirus para verificação de ameaças em caixas particulares de emails"/>
    <s v="Contaminação com virus e outros Malwares de arquivos contidos em pastas particulares do exchange"/>
    <m/>
    <n v="0"/>
    <n v="0"/>
    <n v="0"/>
    <n v="0"/>
    <n v="0"/>
    <n v="0"/>
    <n v="0"/>
    <n v="0"/>
    <n v="0"/>
    <n v="0"/>
    <n v="0"/>
    <n v="843"/>
    <n v="202"/>
    <n v="0"/>
    <n v="0"/>
    <n v="0"/>
    <n v="0"/>
    <n v="0"/>
    <n v="0"/>
    <n v="0"/>
    <n v="0"/>
    <n v="1045"/>
  </r>
  <r>
    <x v="2"/>
    <x v="14"/>
    <s v="TI/TC"/>
    <s v="DDC"/>
    <s v="Roberto Sebastião"/>
    <s v="TI05418"/>
    <s v="TINV.18.D.054.DM"/>
    <s v="Readequações DMZs"/>
    <s v="Aquisição de solução e ativos de Rede IP para reestruturação das DMZs das redes Corporativa e Operativa da Cemig; Atualização tecnológica da solução, que garante segmentação de redes para prover segurança contra ataques cibernéticos."/>
    <s v="Indisponibilidade de sistemas críticos, provocada por ataques cibernéticos; Indisponibilidade de sistemas críticos, provocada porfalhas em equipamentos desatualizados e sem suporte do fabricante; Roubo de informações críticas em decorrência de ataques cibernéticos."/>
    <m/>
    <n v="0"/>
    <n v="0"/>
    <n v="0"/>
    <n v="0"/>
    <n v="0"/>
    <n v="60"/>
    <n v="440"/>
    <n v="0"/>
    <n v="500"/>
    <n v="0"/>
    <n v="0"/>
    <n v="0"/>
    <n v="0"/>
    <n v="0"/>
    <n v="0"/>
    <n v="0"/>
    <n v="0"/>
    <n v="0"/>
    <n v="0"/>
    <n v="0"/>
    <n v="0"/>
    <n v="0"/>
  </r>
  <r>
    <x v="2"/>
    <x v="14"/>
    <s v="TI/SI"/>
    <s v="DGE"/>
    <s v="Álisson Costa"/>
    <s v=" NA"/>
    <s v="-"/>
    <s v="Reimplantação do HR (Back to Standard)"/>
    <m/>
    <m/>
    <m/>
    <n v="0"/>
    <n v="0"/>
    <n v="0"/>
    <n v="0"/>
    <n v="0"/>
    <n v="0"/>
    <n v="0"/>
    <n v="0"/>
    <n v="0"/>
    <n v="0"/>
    <n v="0"/>
    <n v="0"/>
    <n v="0"/>
    <n v="0"/>
    <n v="0"/>
    <n v="300"/>
    <n v="0"/>
    <n v="0"/>
    <n v="0"/>
    <n v="0"/>
    <n v="0"/>
    <n v="300"/>
  </r>
  <r>
    <x v="2"/>
    <x v="14"/>
    <s v="TI/TC"/>
    <s v="DGE"/>
    <s v="Roberto Sebastião"/>
    <s v="TI01218"/>
    <s v="TINV.18.D.054.GR"/>
    <s v="Renovação softwares de gerência de rede Cisco"/>
    <s v="Softwares de Gerência de Rede Prime, ISE, DHCP, IPAM, MSE, Provision, APIC-EM, Call manager Cisco"/>
    <s v="Riscos de indisponibilidade de Rede por falta de gerência das soluções adotadas."/>
    <m/>
    <n v="0"/>
    <n v="0"/>
    <n v="0"/>
    <n v="0"/>
    <n v="0"/>
    <n v="0"/>
    <n v="0"/>
    <n v="0"/>
    <n v="0"/>
    <n v="0"/>
    <n v="0"/>
    <n v="221"/>
    <n v="58"/>
    <n v="0"/>
    <n v="0"/>
    <n v="0"/>
    <n v="0"/>
    <n v="0"/>
    <n v="0"/>
    <n v="0"/>
    <n v="0"/>
    <n v="279"/>
  </r>
  <r>
    <x v="2"/>
    <x v="14"/>
    <s v="TI/SI"/>
    <s v="DGE"/>
    <s v="Álisson Costa"/>
    <s v="NA"/>
    <s v="-"/>
    <s v="Revisão simplificada do SGO"/>
    <s v="Este projeto atende a demanda para a revisão do Sistema de Gestão de Obras – SGO, que requer melhorias evolutivas desde sua implantação."/>
    <s v="Dificuldade para a gestão das obras e empreendimentos da Distribuidora; em ausência de uma revisão na modelagem de dados do sistema atual; e em baixa performance da customização, com geração de relatórios de análise inadequados. "/>
    <m/>
    <n v="0"/>
    <n v="0"/>
    <n v="0"/>
    <n v="0"/>
    <n v="0"/>
    <n v="0"/>
    <n v="0"/>
    <n v="0"/>
    <n v="0"/>
    <n v="0"/>
    <n v="0"/>
    <n v="0"/>
    <n v="0"/>
    <n v="0"/>
    <n v="0"/>
    <n v="0"/>
    <n v="0"/>
    <n v="0"/>
    <n v="0"/>
    <n v="0"/>
    <n v="0"/>
    <n v="0"/>
  </r>
  <r>
    <x v="2"/>
    <x v="14"/>
    <s v="TI/SI"/>
    <s v="DDC"/>
    <s v="Álisson Costa"/>
    <s v="NA"/>
    <s v="-"/>
    <s v="SADNET"/>
    <s v="Aquisição e implantação de Sistema de coleta, tratamento de registros oscilográficos e localização de faltas em subestações, linhas e redes de distribuição"/>
    <s v="Não redução do custos de Opex com serviço de campo para  análise e localização de faltas e ocorrências no SEP. Degradação dos indicadores de qualidade, dentre eles o DEC"/>
    <m/>
    <n v="0"/>
    <n v="0"/>
    <n v="0"/>
    <n v="0"/>
    <n v="0"/>
    <n v="0"/>
    <n v="0"/>
    <n v="0"/>
    <n v="0"/>
    <n v="0"/>
    <n v="0"/>
    <n v="0"/>
    <n v="200"/>
    <n v="0"/>
    <n v="150"/>
    <n v="0"/>
    <n v="0"/>
    <n v="0"/>
    <n v="0"/>
    <n v="0"/>
    <n v="0"/>
    <n v="350"/>
  </r>
  <r>
    <x v="2"/>
    <x v="14"/>
    <s v="TI/SI"/>
    <s v="DGE"/>
    <s v="Álisson Costa"/>
    <s v="NA"/>
    <s v="-"/>
    <s v="Sistema de Controle de Jornada"/>
    <m/>
    <m/>
    <m/>
    <n v="0"/>
    <n v="0"/>
    <n v="0"/>
    <n v="0"/>
    <n v="0"/>
    <m/>
    <m/>
    <m/>
    <n v="0"/>
    <n v="0"/>
    <n v="0"/>
    <n v="0"/>
    <n v="0"/>
    <n v="0"/>
    <n v="0"/>
    <n v="100"/>
    <n v="0"/>
    <n v="250"/>
    <n v="0"/>
    <n v="241"/>
    <n v="0"/>
    <n v="591"/>
  </r>
  <r>
    <x v="2"/>
    <x v="14"/>
    <s v="TI/SI"/>
    <s v="DDC"/>
    <s v="Álisson Costa"/>
    <s v="NA"/>
    <s v="-"/>
    <s v="Sistema de Controle e Suporte"/>
    <s v="Desenvolvimento de software para atividades voltadas para Contratos de Suporte."/>
    <s v="Acompanhamento manual das atividades, aumentando o risco de remuneração indevida por produtividade."/>
    <m/>
    <n v="0"/>
    <n v="0"/>
    <n v="0"/>
    <n v="25"/>
    <n v="25"/>
    <n v="50"/>
    <n v="25"/>
    <n v="75"/>
    <n v="200"/>
    <n v="0"/>
    <n v="0"/>
    <n v="0"/>
    <n v="0"/>
    <n v="0"/>
    <n v="0"/>
    <n v="0"/>
    <n v="0"/>
    <n v="0"/>
    <n v="0"/>
    <n v="0"/>
    <n v="0"/>
    <n v="0"/>
  </r>
  <r>
    <x v="2"/>
    <x v="14"/>
    <s v="TI/SI"/>
    <s v="DGE"/>
    <s v="Roberto Proença"/>
    <s v="TI02516"/>
    <s v="TINV.16.D.042.GA"/>
    <s v="Sistema de Gestão de Árvores - GDIS AR"/>
    <s v="Adequação do GeoArvores e adequação à arquitetura GDIS em novo módulo integrado. Construção do processo de inspeção de árvores com registro de podas e limpeza de faixa, manutenção dos dados de árvores, incorporação do P&amp;D509, integração com o processo de manutenção."/>
    <s v="Não efetuar gestão e priorização de podas e limpezas de faixa de maneira eficiente incorrendo em riscos de utilização de orçamento disponível de forma empírica e pouco eficaz."/>
    <m/>
    <n v="0"/>
    <n v="0"/>
    <n v="0"/>
    <n v="0"/>
    <n v="100"/>
    <n v="100"/>
    <n v="125"/>
    <n v="124"/>
    <n v="449"/>
    <n v="0"/>
    <n v="0"/>
    <n v="0"/>
    <n v="0"/>
    <n v="0"/>
    <n v="0"/>
    <n v="0"/>
    <n v="0"/>
    <n v="0"/>
    <n v="0"/>
    <n v="0"/>
    <n v="0"/>
    <n v="0"/>
  </r>
  <r>
    <x v="2"/>
    <x v="14"/>
    <s v="TI/SI"/>
    <s v="DGE"/>
    <s v="Álisson Costa"/>
    <s v="NA"/>
    <s v="-"/>
    <s v="Sistema de Gestão de Leituras - SGL"/>
    <s v="Construção do módulo SGL-WEB"/>
    <m/>
    <m/>
    <n v="0"/>
    <n v="0"/>
    <n v="0"/>
    <n v="0"/>
    <n v="0"/>
    <n v="0"/>
    <n v="0"/>
    <n v="0"/>
    <n v="0"/>
    <n v="0"/>
    <n v="0"/>
    <n v="0"/>
    <n v="0"/>
    <n v="0"/>
    <n v="0"/>
    <n v="0"/>
    <n v="0"/>
    <n v="0"/>
    <n v="0"/>
    <n v="0"/>
    <n v="0"/>
    <n v="0"/>
  </r>
  <r>
    <x v="2"/>
    <x v="14"/>
    <s v="TI/RT"/>
    <s v="DGE"/>
    <s v="Heberte Faria"/>
    <s v="TI02616"/>
    <s v="TINV.16.D.042.CS"/>
    <s v="Sistema de Gestão de Serviços Corporativos em BPMS"/>
    <s v="Construção de um sistema para a área de serviços corporativos compartilhados, baseado na modelagem de processo de negócio; Padronização e Unificação de ferramentas usadas nos processos assumidos pela superintendência SC."/>
    <s v="Baixa produtividade das equipes centralizadas; Falta de padronização das ferramentas utilizadas; Demora no atendimento aos serviços corporativos compartilhados."/>
    <m/>
    <n v="0"/>
    <n v="0"/>
    <n v="47"/>
    <n v="50"/>
    <n v="0"/>
    <n v="0"/>
    <n v="0"/>
    <n v="0"/>
    <n v="97"/>
    <n v="0"/>
    <n v="0"/>
    <n v="0"/>
    <n v="0"/>
    <n v="0"/>
    <n v="0"/>
    <n v="0"/>
    <n v="0"/>
    <n v="0"/>
    <n v="0"/>
    <n v="0"/>
    <n v="0"/>
    <n v="0"/>
  </r>
  <r>
    <x v="2"/>
    <x v="14"/>
    <s v="TI/SI"/>
    <s v="DDC"/>
    <s v="Álisson Costa"/>
    <s v="NA"/>
    <s v="-"/>
    <s v="Sistema de gestão e monitoramento  da integração de comunicação do sistema SCADA"/>
    <s v="Aquisição de sistema de gestão e monitoramento  da integração de comunicação do sistema SCADA"/>
    <s v=" Elevação da indisponibilidade do telecontrole das SEs com forte impacto na operação do sistema elétrico e  degradação dos indicadores de qualidade, dentre eles o DEC. "/>
    <m/>
    <n v="0"/>
    <n v="0"/>
    <n v="0"/>
    <n v="0"/>
    <n v="0"/>
    <n v="0"/>
    <n v="0"/>
    <n v="0"/>
    <n v="0"/>
    <n v="0"/>
    <n v="0"/>
    <n v="0"/>
    <n v="0"/>
    <n v="0"/>
    <n v="300"/>
    <n v="0"/>
    <n v="0"/>
    <n v="0"/>
    <n v="0"/>
    <n v="0"/>
    <n v="200"/>
    <n v="500"/>
  </r>
  <r>
    <x v="2"/>
    <x v="14"/>
    <s v="TI/SI"/>
    <s v="DGE"/>
    <s v="Roberto Proença"/>
    <s v="TI02416"/>
    <s v="TINV.16.D.042.SI"/>
    <s v="Sistema de Inteligência de Negócios de Distribuição "/>
    <s v="Criação de  ferramentas analíticas para disponibilização de informações gerenciais e estrategicas as áreas de Negocio da Distribuição"/>
    <s v="Incapacidade de análise de dados estratégicos da distribuição reduzindo as informações para decisões importantes para os ganhos de negócio da empresa."/>
    <m/>
    <n v="69.509599685668945"/>
    <n v="0"/>
    <n v="0"/>
    <n v="0"/>
    <n v="0"/>
    <n v="0"/>
    <n v="0"/>
    <n v="50"/>
    <n v="119.50959968566895"/>
    <n v="0"/>
    <n v="0"/>
    <n v="100"/>
    <n v="0"/>
    <n v="0"/>
    <n v="100"/>
    <n v="0"/>
    <n v="0"/>
    <n v="0"/>
    <n v="130"/>
    <n v="0"/>
    <n v="350"/>
    <n v="680"/>
  </r>
  <r>
    <x v="2"/>
    <x v="14"/>
    <s v="TI/SI"/>
    <s v="DDC"/>
    <s v="Álisson Costa"/>
    <s v="NA"/>
    <s v="-"/>
    <s v="Sistema de selfhealing descentralizado"/>
    <s v="Aquisição e implantação de sistema de selfhealing descentralizado para 800 equipamentos telecontrolados da rede de Média Tensão "/>
    <s v="Não redução do custos de Opex com serviço de campo nas ocorrências no SEP. Não será capturado melhoria dos indicadores de qualidade, dentre eles o DEC"/>
    <m/>
    <n v="0"/>
    <n v="0"/>
    <n v="0"/>
    <n v="0"/>
    <n v="0"/>
    <n v="0"/>
    <n v="0"/>
    <n v="0"/>
    <n v="0"/>
    <n v="50"/>
    <n v="50"/>
    <n v="100"/>
    <n v="100"/>
    <n v="150"/>
    <n v="300"/>
    <n v="300"/>
    <n v="300"/>
    <n v="300"/>
    <n v="350"/>
    <n v="350"/>
    <n v="150"/>
    <n v="2500"/>
  </r>
  <r>
    <x v="2"/>
    <x v="14"/>
    <s v="TI/SI"/>
    <s v="DDC"/>
    <s v="Álisson Costa"/>
    <s v="NA"/>
    <s v="-"/>
    <s v="Sistema Nix"/>
    <s v="Aquisição e implantação de sistema Solução Inteligente para Estudos de Proteção de Sistemas de Distribuição de Energia Elétrica"/>
    <s v="A Cemig tem plano de investimento nos próximos anos para aplicação  de religadores em cumprimento a ações pactuadas no Plano de Resultados da Aneel visando melhoria do DEC. O não atendimento das  ações pode acarretar penalizações com reflexo inclusive no contrato de concessão"/>
    <m/>
    <n v="0"/>
    <n v="0"/>
    <n v="0"/>
    <n v="0"/>
    <n v="0"/>
    <n v="500"/>
    <n v="0"/>
    <n v="0"/>
    <n v="500"/>
    <n v="0"/>
    <n v="0"/>
    <n v="0"/>
    <n v="0"/>
    <n v="0"/>
    <n v="0"/>
    <n v="0"/>
    <n v="0"/>
    <n v="0"/>
    <n v="0"/>
    <n v="0"/>
    <n v="0"/>
    <n v="0"/>
  </r>
  <r>
    <x v="2"/>
    <x v="14"/>
    <s v="TI/SI"/>
    <s v="DGE"/>
    <s v="Álisson Costa"/>
    <s v="TI03417"/>
    <s v="TINV.17.D.042.SS"/>
    <s v="Sistema SAM"/>
    <s v="Construção e desenvolvimento do sistema SAM no ambiente SAP ECC."/>
    <s v="Atrasos nos procedimentos e processos das equipes nas áreas de negócio (engenharia); Multas pelo não atendimento dos compromissos obrigatórios dentro do prazo esperado pelos agentes governamentais."/>
    <m/>
    <n v="813.67767333984375"/>
    <n v="86.322310000000002"/>
    <n v="0"/>
    <n v="0"/>
    <n v="0"/>
    <n v="0"/>
    <n v="0"/>
    <n v="0"/>
    <n v="899.99998333984377"/>
    <n v="0"/>
    <n v="0"/>
    <n v="0"/>
    <n v="0"/>
    <n v="0"/>
    <n v="0"/>
    <n v="0"/>
    <n v="0"/>
    <n v="0"/>
    <n v="0"/>
    <n v="0"/>
    <n v="0"/>
    <n v="0"/>
  </r>
  <r>
    <x v="2"/>
    <x v="14"/>
    <s v="TI/TC"/>
    <s v="DGE"/>
    <s v="Sebastião Jacinto"/>
    <s v="TI05118"/>
    <s v="TINV.18.D.054.VW"/>
    <s v="Sistema Video Wall"/>
    <s v="Aquisição de video wall para o centro de operação de telecomunicações. Equipamento será utilizado para a supervição do sistema de telecomunicações."/>
    <s v="Ineficiência na identificação de problemas na rede. Aumento do tempo no reparo de defeitos na rede. Aumento de custo para na identificação de defeitos."/>
    <m/>
    <n v="0"/>
    <n v="0"/>
    <n v="0"/>
    <n v="0"/>
    <n v="200"/>
    <n v="0"/>
    <n v="0"/>
    <n v="0"/>
    <n v="200"/>
    <n v="0"/>
    <n v="0"/>
    <n v="0"/>
    <n v="0"/>
    <n v="0"/>
    <n v="0"/>
    <n v="0"/>
    <n v="0"/>
    <n v="0"/>
    <n v="0"/>
    <n v="0"/>
    <n v="0"/>
    <n v="0"/>
  </r>
  <r>
    <x v="2"/>
    <x v="14"/>
    <s v="TI/SI"/>
    <s v="DGE"/>
    <s v="Álisson Costa"/>
    <s v="NA"/>
    <s v="-"/>
    <s v="Sistemas Especialistas - GEO e GED"/>
    <s v="O projeto refere-se à prospecção, ao desenvolvimento e à implantação de soluções baseadas nas tecnologias GED, Geoprocessamento e BPM."/>
    <s v="Incapacidade de atendimento de solicitações das áreas de negócio da Cemig, relativas aos sistemas."/>
    <m/>
    <n v="0"/>
    <n v="0"/>
    <n v="0"/>
    <n v="0"/>
    <n v="0"/>
    <n v="0"/>
    <n v="0"/>
    <n v="0"/>
    <n v="0"/>
    <n v="0"/>
    <n v="0"/>
    <n v="0"/>
    <n v="0"/>
    <n v="0"/>
    <n v="0"/>
    <n v="0"/>
    <n v="0"/>
    <n v="0"/>
    <n v="0"/>
    <n v="0"/>
    <n v="0"/>
    <n v="0"/>
  </r>
  <r>
    <x v="2"/>
    <x v="14"/>
    <s v="TI/SI"/>
    <s v="DGE"/>
    <s v="Álisson Costa"/>
    <s v="NA"/>
    <s v="-"/>
    <s v="Sistemas WEB e SharePoint"/>
    <s v="O projeto atende à necessidade de evolução e desenvolvimento de softwares disponibilizados no ambiente da Intranet da Cemig."/>
    <s v="Impossibilidade de adequação dos sistemas legados às novas regras e estruturas da Empresa, perda da eficiência operacional dos processos informatizados, em virtude da defasagem de automação dos processos das áreas de negócio; incapacidade de implantação de novas funcionalidades na Cemignet20, e não atendimento a determinações regulatórias."/>
    <m/>
    <n v="0"/>
    <n v="0"/>
    <n v="0"/>
    <n v="0"/>
    <n v="50"/>
    <n v="50"/>
    <n v="55"/>
    <n v="100"/>
    <n v="255"/>
    <n v="0"/>
    <n v="25"/>
    <n v="25"/>
    <n v="40"/>
    <n v="50"/>
    <n v="50"/>
    <n v="30"/>
    <n v="30"/>
    <n v="50"/>
    <n v="50"/>
    <n v="50"/>
    <n v="100"/>
    <n v="500"/>
  </r>
  <r>
    <x v="2"/>
    <x v="14"/>
    <s v="TI/RT"/>
    <s v="DGE"/>
    <s v="Márcio Machado"/>
    <s v="NA"/>
    <s v="-"/>
    <s v="Software para Análise de Vulnerabilidades em Redes e Sistemas"/>
    <s v="Aquisição de ferramenta para análise de vulnerabilidades em Redes e Sistemas. Vulnerabilidades em redes e sistemas são utilizadas por atacantes cibernéticos para o roubo de informações confidenciais e invasão de redes corporativas e, se não forem identificadas e corrigidas antes que sejam exploradas, podem causar a interrupção total ou parcial dos negócios da Empresa. No processo de segurança da informação existem medidas preventivas e corretivas que podem ser tomadas de acordo com a situação de risco e a  linha do tempo.  A análise de vulnerabilidades é uma atividade que ocorre na fase de prevenção, onde ainda é possível evitar que uma ameaça explore uma vulnerabilidade e traga prejuízos financeiros e/ou à imagem da Cemig."/>
    <s v="Descontinuidade de serviços informatizados_x000a_Roubo de informações confidenciais e invasão de redes corporativas"/>
    <m/>
    <n v="0"/>
    <n v="0"/>
    <n v="0"/>
    <n v="0"/>
    <n v="0"/>
    <n v="0"/>
    <n v="0"/>
    <n v="80"/>
    <n v="80"/>
    <n v="0"/>
    <n v="0"/>
    <n v="0"/>
    <n v="0"/>
    <n v="0"/>
    <n v="0"/>
    <n v="0"/>
    <n v="0"/>
    <n v="0"/>
    <n v="0"/>
    <n v="0"/>
    <n v="0"/>
    <n v="0"/>
  </r>
  <r>
    <x v="2"/>
    <x v="14"/>
    <s v="TI/SI"/>
    <s v="DGE"/>
    <s v="Álisson Costa"/>
    <s v="NA"/>
    <s v="-"/>
    <s v="Software: Automatização de Processos de Suprimentos - BPMS"/>
    <s v="Desenvolvimento do sistema BPMS (IBM) para automatização dos processos da Cadeia de Suprimentos da Cemig."/>
    <s v="Processos de contratação despadronizados, pulverizados e sem controle das etapas e workflow."/>
    <m/>
    <n v="0"/>
    <n v="0"/>
    <n v="0"/>
    <n v="0"/>
    <m/>
    <m/>
    <m/>
    <n v="100"/>
    <n v="100"/>
    <n v="0"/>
    <n v="0"/>
    <n v="50"/>
    <n v="0"/>
    <n v="0"/>
    <n v="75"/>
    <n v="0"/>
    <n v="0"/>
    <n v="75"/>
    <n v="0"/>
    <n v="0"/>
    <n v="0"/>
    <n v="200"/>
  </r>
  <r>
    <x v="2"/>
    <x v="14"/>
    <s v="TI/SI"/>
    <s v="DGE"/>
    <s v="Álisson Costa"/>
    <s v="NA"/>
    <s v="-"/>
    <s v="Software: Banco de Preço e Inteligência em Compras"/>
    <s v="Imprementar a Assinatura Digital para o processo de Suprimentos"/>
    <s v="Continuar com os processos de contratação morosos, com assinatura física de documentos, impressão e altos custos com os Correios."/>
    <m/>
    <n v="0"/>
    <n v="0"/>
    <n v="0"/>
    <n v="0"/>
    <n v="0"/>
    <n v="0"/>
    <n v="40"/>
    <n v="40"/>
    <n v="80"/>
    <n v="0"/>
    <n v="0"/>
    <n v="30"/>
    <n v="0"/>
    <n v="15"/>
    <n v="30"/>
    <n v="0"/>
    <n v="15"/>
    <n v="30"/>
    <n v="0"/>
    <n v="0"/>
    <n v="30"/>
    <n v="150"/>
  </r>
  <r>
    <x v="2"/>
    <x v="14"/>
    <s v="TI/SI"/>
    <s v="DGE"/>
    <s v="Álisson Costa"/>
    <s v="NA"/>
    <m/>
    <s v="Software: Chatbot de atendimento do cadastro de fornecedores"/>
    <m/>
    <m/>
    <m/>
    <m/>
    <m/>
    <m/>
    <m/>
    <m/>
    <m/>
    <m/>
    <n v="50"/>
    <n v="50"/>
    <n v="0"/>
    <n v="0"/>
    <n v="0"/>
    <n v="0"/>
    <n v="0"/>
    <n v="20"/>
    <n v="0"/>
    <n v="0"/>
    <n v="0"/>
    <n v="0"/>
    <n v="0"/>
    <n v="0"/>
    <n v="20"/>
  </r>
  <r>
    <x v="2"/>
    <x v="14"/>
    <s v="TI/SI"/>
    <s v="DGE"/>
    <s v="Álisson Costa"/>
    <s v="NA"/>
    <s v="-"/>
    <s v="Software: Desenvolvimento BI"/>
    <s v="Desenvolvimento de um sistema que faça o controle das cláusulas editalícias e contratuais, permitindo ao usuário montar os editais e contratos de forma automatizada e padronizada."/>
    <s v="Morosidade na confecção de editais e contratos, falta de padronização e controle das cláusulas utilizadas."/>
    <m/>
    <n v="0"/>
    <n v="0"/>
    <n v="0"/>
    <n v="0"/>
    <n v="0"/>
    <n v="0"/>
    <n v="50"/>
    <n v="50"/>
    <n v="100"/>
    <n v="30"/>
    <n v="30"/>
    <n v="30"/>
    <n v="30"/>
    <n v="0"/>
    <n v="0"/>
    <n v="0"/>
    <n v="0"/>
    <n v="0"/>
    <n v="0"/>
    <n v="0"/>
    <n v="0"/>
    <n v="120"/>
  </r>
  <r>
    <x v="2"/>
    <x v="14"/>
    <s v="TI/TC"/>
    <s v="DGE"/>
    <s v="Roberto Sebastião"/>
    <s v="TI01018"/>
    <s v="TINV.18.D.054.AP"/>
    <s v="Solução de APT - Proteção contra ataques avançados e direcionados a estruturas de rede e sistemas da Cemig."/>
    <s v="Esta solução protege a rede Cemig contra ataques do tipo APT, que são ataques avançados e direcionados a um alvo específico. Estes ataques visam retirar de operação sistemas críticos."/>
    <s v="Indisponibilidade e baixo desempenho  de ambientes e aplicações operativas e corporativas críticas, roubos bem sucedidos de Informações."/>
    <m/>
    <n v="0"/>
    <n v="0"/>
    <n v="0"/>
    <n v="0"/>
    <n v="0"/>
    <n v="0"/>
    <n v="0"/>
    <n v="0"/>
    <n v="0"/>
    <n v="0"/>
    <n v="0"/>
    <n v="671"/>
    <n v="161"/>
    <n v="0"/>
    <n v="0"/>
    <n v="0"/>
    <n v="0"/>
    <n v="0"/>
    <n v="0"/>
    <n v="0"/>
    <n v="0"/>
    <n v="832"/>
  </r>
  <r>
    <x v="2"/>
    <x v="14"/>
    <s v="TI/TC"/>
    <s v="DGE"/>
    <s v="Roberto Sebastião"/>
    <s v="TI02718"/>
    <s v="TINV.18.D.054.IP"/>
    <s v="Solução de IPSs (Sistema de Proteção contra ataques provenientes da Internet) - Equipamentos SEDE e Aureliano Chaves"/>
    <s v="Solução para proteção da rede Cemig contra ataques provenientes da Internet"/>
    <s v="Invasões a aplicações e ambientes críticos, com indisponibilidade de ambientes Operativos e Corporativos."/>
    <m/>
    <n v="28.273269653320313"/>
    <n v="91"/>
    <n v="100"/>
    <n v="3003.7267299999999"/>
    <n v="0"/>
    <n v="0"/>
    <n v="0"/>
    <n v="0"/>
    <n v="3222.9999996533202"/>
    <n v="0"/>
    <n v="0"/>
    <n v="0"/>
    <n v="0"/>
    <n v="0"/>
    <n v="0"/>
    <n v="0"/>
    <n v="0"/>
    <n v="0"/>
    <n v="0"/>
    <n v="0"/>
    <n v="0"/>
    <n v="0"/>
  </r>
  <r>
    <x v="2"/>
    <x v="14"/>
    <s v="TI/TC"/>
    <s v="DGE"/>
    <s v="Roberto Sebastião"/>
    <s v="NA"/>
    <s v="-"/>
    <s v="Solução de QOS/Monitoramento de Rede"/>
    <s v="Solução de Monitoramento de Rede  para  prover visibilidade em tempo real e histórica de soluções Operativas. Objetiva garantir os níveis adequados de disponibilidade dos serviços."/>
    <s v="Indisponibilidade e baixo desempenho de aplicações críticas por falta de visibilidade e Gerenciamento."/>
    <m/>
    <n v="0"/>
    <n v="0"/>
    <n v="0"/>
    <n v="0"/>
    <n v="0"/>
    <n v="0"/>
    <n v="0"/>
    <n v="0"/>
    <n v="0"/>
    <n v="0"/>
    <n v="0"/>
    <n v="0"/>
    <n v="0"/>
    <n v="0"/>
    <n v="1500"/>
    <n v="0"/>
    <n v="0"/>
    <n v="0"/>
    <n v="0"/>
    <n v="0"/>
    <n v="0"/>
    <n v="1500"/>
  </r>
  <r>
    <x v="2"/>
    <x v="14"/>
    <s v="TI/SI"/>
    <s v="DGE"/>
    <s v="Roberto Proença"/>
    <s v="TI01715"/>
    <s v="TINV.15.D.042.GS"/>
    <s v="Sustentação e Evolução 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m/>
    <n v="3489.3745973110199"/>
    <n v="600"/>
    <n v="600"/>
    <n v="600"/>
    <n v="600"/>
    <n v="750"/>
    <n v="750"/>
    <n v="961"/>
    <n v="8350.3745973110199"/>
    <n v="554.25"/>
    <n v="704.25"/>
    <n v="704.25"/>
    <n v="704.25"/>
    <n v="554.25"/>
    <n v="704.25"/>
    <n v="554.25"/>
    <n v="704.25"/>
    <n v="704.25"/>
    <n v="554.25"/>
    <n v="704.25"/>
    <n v="704.25"/>
    <n v="7851"/>
  </r>
  <r>
    <x v="2"/>
    <x v="14"/>
    <s v="TI/SI"/>
    <s v="DGE"/>
    <s v="Álisson Costa"/>
    <s v="TI02515"/>
    <s v="TINV.15.D.042.PE"/>
    <s v="Sustentação e Evolução PEC"/>
    <s v="A finalidade do projeto diz respeito ao desenvolvimento de novas funcionalidades no Portal Eletrônico de Compras – PEC, além de promover a incorporação dos módulos legados GALO e PGP ao novo portal. "/>
    <s v="Incapacidade de evolução da ferramenta responsável pelo processo de aquisições da empresa; o comprometimento da disponibilidade do sistema;  a perda de sinergia na incorporação de módulos legados num único sistema; e limitação das funcionalidades do Portal Eletrônico de Compras."/>
    <m/>
    <n v="41.252120971679688"/>
    <n v="50"/>
    <n v="0"/>
    <n v="58.747879999999995"/>
    <n v="0"/>
    <n v="50.151000000000003"/>
    <n v="75"/>
    <n v="75"/>
    <n v="350.15100097167971"/>
    <n v="15"/>
    <n v="15"/>
    <n v="15"/>
    <n v="15"/>
    <n v="20"/>
    <n v="30"/>
    <n v="25"/>
    <n v="72"/>
    <n v="75"/>
    <n v="125"/>
    <n v="120"/>
    <n v="120"/>
    <n v="647"/>
  </r>
  <r>
    <x v="2"/>
    <x v="14"/>
    <s v="TI/SI"/>
    <s v="DGE"/>
    <s v="Álisson Costa"/>
    <s v="NA"/>
    <s v="-"/>
    <s v="Upgrade do ION ENTERPRISE"/>
    <s v="Atualização de versão do sistema de gestão de medição de fronteira."/>
    <m/>
    <m/>
    <n v="0"/>
    <n v="0"/>
    <n v="0"/>
    <n v="0"/>
    <n v="0"/>
    <n v="0"/>
    <n v="0"/>
    <n v="0"/>
    <n v="0"/>
    <n v="400"/>
    <n v="0"/>
    <n v="0"/>
    <n v="0"/>
    <n v="0"/>
    <n v="0"/>
    <n v="0"/>
    <n v="0"/>
    <n v="0"/>
    <n v="0"/>
    <n v="0"/>
    <n v="0"/>
    <n v="400"/>
  </r>
  <r>
    <x v="2"/>
    <x v="14"/>
    <s v="TI/SI"/>
    <s v="DGE"/>
    <s v="Álisson Costa"/>
    <s v="NA"/>
    <s v="-"/>
    <s v="Upgrade do SAP GRC Access Control"/>
    <s v="Atualização da versão do software de gerenciamento de acessos da SAP - Access Control"/>
    <s v="Falha de controles SOX"/>
    <m/>
    <n v="0"/>
    <n v="0"/>
    <n v="0"/>
    <n v="0"/>
    <n v="0"/>
    <n v="0"/>
    <n v="0"/>
    <n v="0"/>
    <n v="0"/>
    <n v="0"/>
    <n v="0"/>
    <n v="0"/>
    <n v="0"/>
    <n v="0"/>
    <n v="0"/>
    <n v="0"/>
    <n v="0"/>
    <n v="0"/>
    <n v="0"/>
    <n v="0"/>
    <n v="300"/>
    <n v="300"/>
  </r>
  <r>
    <x v="2"/>
    <x v="14"/>
    <s v="TI/SI"/>
    <s v="DGE"/>
    <s v="Álisson Costa"/>
    <s v="NA"/>
    <s v="-"/>
    <s v="Upgrade do Sistema FROTA"/>
    <s v="Atualização tecnológica do sistema de gestão de Frota da Cemig, que está em uso desde 2004, muito obsoleto e defasado em relação ao processo de negócio. "/>
    <s v="Paralisação das funcionalidades do sistema, em função do longo tempo de sua existência."/>
    <m/>
    <n v="0"/>
    <n v="0"/>
    <n v="0"/>
    <n v="0"/>
    <n v="0"/>
    <n v="0"/>
    <n v="0"/>
    <n v="0"/>
    <n v="0"/>
    <n v="0"/>
    <n v="0"/>
    <n v="0"/>
    <n v="0"/>
    <n v="0"/>
    <n v="0"/>
    <n v="0"/>
    <n v="0"/>
    <n v="150"/>
    <n v="0"/>
    <n v="0"/>
    <n v="150"/>
    <n v="300"/>
  </r>
  <r>
    <x v="2"/>
    <x v="14"/>
    <s v="TI/SI"/>
    <s v="DGE"/>
    <s v="Álisson Costa"/>
    <s v="NA"/>
    <s v="-"/>
    <s v="Upgrade SAP GRC Risk Management"/>
    <s v="Atualização da versão do software de gerenciamento de riscos da SAP - Risk Management"/>
    <s v="Falha de controles SOX"/>
    <m/>
    <n v="0"/>
    <n v="0"/>
    <n v="0"/>
    <n v="0"/>
    <n v="0"/>
    <n v="0"/>
    <n v="0"/>
    <n v="0"/>
    <n v="0"/>
    <n v="0"/>
    <n v="0"/>
    <n v="0"/>
    <n v="0"/>
    <n v="0"/>
    <n v="0"/>
    <n v="0"/>
    <n v="0"/>
    <n v="0"/>
    <n v="0"/>
    <n v="0"/>
    <n v="150"/>
    <n v="150"/>
  </r>
  <r>
    <x v="2"/>
    <x v="14"/>
    <s v="TI/TC"/>
    <s v="DGE"/>
    <s v="Roberto Sebastião"/>
    <s v="NA"/>
    <s v="-"/>
    <s v="WildFire (Palo Alto)"/>
    <m/>
    <m/>
    <m/>
    <n v="0"/>
    <n v="0"/>
    <n v="0"/>
    <n v="0"/>
    <n v="0"/>
    <n v="0"/>
    <n v="0"/>
    <n v="0"/>
    <n v="0"/>
    <n v="0"/>
    <n v="0"/>
    <n v="0"/>
    <n v="0"/>
    <n v="0"/>
    <n v="0"/>
    <n v="0"/>
    <n v="523"/>
    <n v="0"/>
    <n v="0"/>
    <n v="0"/>
    <n v="0"/>
    <n v="523"/>
  </r>
  <r>
    <x v="2"/>
    <x v="14"/>
    <s v="TI/IO"/>
    <s v="DGE"/>
    <s v="Carlos Araújo"/>
    <s v="NA"/>
    <s v="-"/>
    <s v="xOmini"/>
    <s v="Aquisição de novos servidores visando adequar a infraestrutura do sistema Scada xOMNI que encontra-se obsoleta e com vida útil esgotada; Permitir o crescimento vegetativo do sistema e a expansão da base de dados do sistema de automação da  Rede de Distribuição da Cemig D; Gestão adequada da transição do sistema Scada em operação para o novo sitema que será implantado, sem colocar em risco a operação do sitema elétrico."/>
    <s v="Ocorrência de falhas na infraestrutua do sistema com severos riscos operativos para a Cemig D devido a este sistema ser a ferramenta exclusiva para a operação,  controle e supervisão de todo os sistema elétrico de alta e média tensão da Cemig D; Aumento do DEC em função de elevação do tempo médio de atendimento - TMA decorrente de deslocamentos de equipes locais, com graves consequencias para a manutenção do contrato de concesssão da Cemig D; Impacto negativo na disponbilidade e qualidade do fornecimento de energia elétrica para clientes da Cemig D, bem como na segurança de pessoal próprio, terceiros e instalações da empresa, além da elevação dos custos com deslocamento de pessoal para realização de comandos locais."/>
    <m/>
    <n v="0"/>
    <n v="0"/>
    <n v="0"/>
    <n v="0"/>
    <n v="0"/>
    <n v="0"/>
    <n v="0"/>
    <n v="0"/>
    <n v="0"/>
    <n v="0"/>
    <n v="0"/>
    <n v="0"/>
    <n v="0"/>
    <n v="0"/>
    <n v="0"/>
    <n v="0"/>
    <n v="0"/>
    <n v="0"/>
    <n v="0"/>
    <n v="0"/>
    <n v="0"/>
    <n v="0"/>
  </r>
  <r>
    <x v="2"/>
    <x v="17"/>
    <s v="SC"/>
    <s v="DGE"/>
    <s v="Ormindo Coutinho Filho"/>
    <s v="NA"/>
    <m/>
    <s v="Aquisição de Caminhão e Guindaste Hidráulico 25 toneladas para RDS"/>
    <s v="Aquisição de caminhão e equipamento hidraulico para movimentação, içamento e remoção, que permite carregar, transportar e descarregar equipamentos de até 25 toneladas"/>
    <s v="Comprometer a produtividade das equipes da rede de distribuição subterrânea"/>
    <m/>
    <n v="0"/>
    <m/>
    <m/>
    <m/>
    <m/>
    <m/>
    <m/>
    <m/>
    <n v="0"/>
    <m/>
    <m/>
    <m/>
    <m/>
    <m/>
    <m/>
    <m/>
    <m/>
    <m/>
    <m/>
    <m/>
    <m/>
    <n v="0"/>
  </r>
  <r>
    <x v="2"/>
    <x v="17"/>
    <s v="SC"/>
    <s v="DGE"/>
    <s v="Ormindo Coutinho Filho"/>
    <s v="NA"/>
    <m/>
    <s v="Aquisição de Caminhão para instalação da cesta aérea isolada para 138KV"/>
    <s v="Aquisição de caminhão para instalação da cesta aérea isolada para 138 kV"/>
    <s v="Comprometer a produtividade das equipes e atendimento aos indices de qualidade de fornecimento da Alta Tensão."/>
    <m/>
    <n v="0"/>
    <m/>
    <m/>
    <m/>
    <m/>
    <m/>
    <m/>
    <m/>
    <n v="0"/>
    <m/>
    <m/>
    <m/>
    <m/>
    <m/>
    <m/>
    <m/>
    <m/>
    <m/>
    <m/>
    <m/>
    <m/>
    <n v="0"/>
  </r>
  <r>
    <x v="2"/>
    <x v="17"/>
    <s v="SC"/>
    <s v="DGE"/>
    <s v="Ormindo Coutinho Filho"/>
    <s v="NA"/>
    <m/>
    <s v="Aquisição de carroceria e cesta Aérea para Trabalhos em Linha Viva 138KV"/>
    <s v="Aquisição de carroceria e montagem e cesta Aérea para Trabalhos em Linha Viva 138KV"/>
    <s v="Comprometer a produtividade das equipes e atendimento aos indices de qualidade de fornecimento da Alta Tensão."/>
    <m/>
    <n v="0"/>
    <m/>
    <m/>
    <m/>
    <m/>
    <m/>
    <m/>
    <m/>
    <n v="0"/>
    <m/>
    <m/>
    <m/>
    <m/>
    <m/>
    <m/>
    <m/>
    <m/>
    <m/>
    <m/>
    <m/>
    <m/>
    <n v="0"/>
  </r>
  <r>
    <x v="2"/>
    <x v="17"/>
    <s v="SC"/>
    <s v="DGE"/>
    <s v="Ormindo Coutinho Filho"/>
    <s v="MD00218"/>
    <s v="INFR.346.01218"/>
    <s v="Aquisição de carroceria e cesta Aérea para Trabalhos em Linha Viva 138KV - MD00218"/>
    <s v="Aquisição de carroceria e montagem e cesta Aérea para Trabalhos em Linha Viva 138KV"/>
    <s v="Comprometer a produtividade das equipes e atendimento aos indices de qualidade de fornecimento da Alta Tensão."/>
    <s v="Será feita uma compra internacional, cujo prazo de entrega após o processo licitatória é de 7 (sete) meses."/>
    <n v="0"/>
    <m/>
    <m/>
    <m/>
    <m/>
    <m/>
    <m/>
    <m/>
    <n v="0"/>
    <m/>
    <m/>
    <m/>
    <n v="1656"/>
    <m/>
    <m/>
    <m/>
    <m/>
    <m/>
    <m/>
    <m/>
    <m/>
    <n v="1656"/>
  </r>
  <r>
    <x v="2"/>
    <x v="17"/>
    <s v="SC"/>
    <s v="DGE"/>
    <s v="Ormindo Coutinho Filho"/>
    <s v="NA"/>
    <m/>
    <s v="Aquisição de Guindaste Hidráulico Veicular e Carroceria modular metálica p/ RDS"/>
    <s v="Instalar nos caminhões equipamentos hidraulicos para movimentação, içamento e remoção, que permite carregar, transportar e descarregar equipamentos"/>
    <s v="Comprometer a qualidade dos serviços prestados e  a produtividade das equipes de Rede de Distribuição Subterrânea"/>
    <m/>
    <n v="0"/>
    <m/>
    <m/>
    <m/>
    <m/>
    <m/>
    <m/>
    <m/>
    <n v="0"/>
    <m/>
    <m/>
    <m/>
    <m/>
    <m/>
    <m/>
    <m/>
    <m/>
    <m/>
    <m/>
    <m/>
    <m/>
    <n v="0"/>
  </r>
  <r>
    <x v="2"/>
    <x v="17"/>
    <s v="SC"/>
    <s v="DGE"/>
    <s v="Ormindo Coutinho Filho"/>
    <s v="NA"/>
    <m/>
    <s v="Aquisição de Retroescavadeira compacta"/>
    <s v="Aquisição de Retroescavadeira compacta para manutenção da via de acesso para trabalho das equipes de Linhas de Distribuição"/>
    <s v="Comprometer a produtividade das equipes, atendimentos emergenciais e aumentar a utilização de recursos de despesas."/>
    <m/>
    <n v="0"/>
    <m/>
    <m/>
    <m/>
    <m/>
    <m/>
    <m/>
    <m/>
    <n v="0"/>
    <m/>
    <m/>
    <m/>
    <m/>
    <m/>
    <m/>
    <m/>
    <m/>
    <m/>
    <m/>
    <m/>
    <m/>
    <n v="0"/>
  </r>
  <r>
    <x v="2"/>
    <x v="17"/>
    <s v="SC"/>
    <s v="DGE"/>
    <s v="Ormindo Coutinho Filho"/>
    <s v="NA"/>
    <m/>
    <s v="Aquisição de tanques para combustível"/>
    <s v="Atualização tecnológica do tanque de combustível, já que o atual está validade ultrapassada e requer inspeções trimestrais (despesa operacional)"/>
    <s v="Aumento da despesa operacional."/>
    <s v="Houve alteração de mercado em relação às opções até então disponíveis. Necessidade de prospectar novamente no mercado e construir a especificação técnica."/>
    <n v="0"/>
    <m/>
    <m/>
    <m/>
    <m/>
    <m/>
    <m/>
    <m/>
    <n v="0"/>
    <m/>
    <m/>
    <m/>
    <m/>
    <m/>
    <m/>
    <m/>
    <m/>
    <n v="300"/>
    <m/>
    <m/>
    <m/>
    <n v="300"/>
  </r>
  <r>
    <x v="2"/>
    <x v="17"/>
    <s v="SC"/>
    <s v="DGE"/>
    <s v="Ormindo Coutinho Filho"/>
    <s v="NA"/>
    <m/>
    <s v="Aquisição de veículo para MD para instalação de Sistema Veicular de Inspeção Termográfica e Visual para inspeção de subestações, redes e linhas aéreas."/>
    <m/>
    <m/>
    <m/>
    <m/>
    <m/>
    <m/>
    <m/>
    <m/>
    <m/>
    <m/>
    <n v="90"/>
    <n v="90"/>
    <m/>
    <m/>
    <m/>
    <m/>
    <m/>
    <m/>
    <m/>
    <m/>
    <m/>
    <m/>
    <m/>
    <m/>
    <n v="0"/>
  </r>
  <r>
    <x v="2"/>
    <x v="17"/>
    <s v="SC"/>
    <s v="DGE"/>
    <s v="Ormindo Coutinho Filho"/>
    <s v="NA"/>
    <m/>
    <s v="CARRETA TANQUE CAP. 25.000LT TRANSP. OLEO ISOLANTE"/>
    <s v="CARRETA TANQUE CAP. 25.000LT TRANSP. OLEO ISOLANTE"/>
    <s v="Paralisação das atividades de manutenção alta tensão "/>
    <m/>
    <n v="0"/>
    <m/>
    <m/>
    <m/>
    <m/>
    <m/>
    <m/>
    <m/>
    <n v="0"/>
    <m/>
    <m/>
    <m/>
    <m/>
    <m/>
    <m/>
    <n v="500"/>
    <m/>
    <m/>
    <m/>
    <m/>
    <m/>
    <n v="500"/>
  </r>
  <r>
    <x v="2"/>
    <x v="17"/>
    <s v="MS/LA"/>
    <s v="DGE"/>
    <s v="José Flávio/Amaro Freitas"/>
    <s v="NA"/>
    <m/>
    <s v="Kit movimentação circuito / sistema pneumático para movimentação mecânica de cargas de peso e dimensão elevado a ser instalado em caminhão truck para equipe de movimentação de cargas especiais"/>
    <s v="CONJUNTO COM INTENSIFICADOR DE PRESSÃO HIDRAULICO COMPOSTO DE MANÔMETRO, SISTEMA DE DUPLA AÇÃO, COM VALVULA REGULADORA DE PRESSÃO DE 4 VIAS, 3 POSICOES /FUNÇOES DA VALVULA: AVANÇO / RETENÇÃO/ RETORNO, DE VAZÃO  44 pol³ / min, PESO: 7,26 Kg;"/>
    <s v="RISCO DE OCORÊNCIA DE ACIDENTES, BAIXA PRODUTIVIDADE DOS ATENDIMENTOS, OBSOLESCÊNCIA DO FERRAMENTAL, ELEVADO CUSTO MANUTENÇÃO, RISCO DO NÃO ATENDIMENTO EFICAZ  ÀS EMERGÊNCIAS DO SISTEMA ELÉTRICO DE POTÊNCIA- SEP, JUNTO AS INSTALAÇÃOES ENERGIZADASPRÓPRIAS E/OU TERCEIROS, USINAS, OFICINAS MANUTENÇÃO,PRÓPRIAS E/OU TERCEIROS;   _x000a_Aplicação de multas expressivas à Cemig, por interrupção do fornecimento de energia a consumidores em limites exorbitantes, fora dos previstos em lei, com impactos diretos no DEC, FEC, DIC e DMIC."/>
    <s v="Trata-se de desenvolvimento do produto."/>
    <n v="0"/>
    <m/>
    <m/>
    <m/>
    <m/>
    <m/>
    <m/>
    <m/>
    <n v="0"/>
    <m/>
    <m/>
    <m/>
    <m/>
    <m/>
    <m/>
    <m/>
    <m/>
    <m/>
    <n v="82"/>
    <m/>
    <m/>
    <n v="82"/>
  </r>
  <r>
    <x v="2"/>
    <x v="17"/>
    <s v="MS/LA"/>
    <s v="DGE"/>
    <s v="José Flávio/Amaro Freitas"/>
    <s v="NA"/>
    <m/>
    <s v="Semirreboque modular articulado tipo linha de eixo (06 linhas) para transporte especial de cargas indivisíveis e excedentes de peso e/ou dimensões, para atender ao sistema elétrico de potência -SEP"/>
    <s v="SEMIRREBOQUE MODULAR, ARTICULADO, DE 6 LINHAS DE EIXO,  SUSPENSÃO HIDRÁULICA DIRECIIONAL, PERCOÇO ARTICULADO, PARA TRANSPORTE DE CARGAS INDIVISÍVEIS E EXCEDENTES DE PESO E/OU DIMENSÕES PARA ATENDIMENTO AO SISTEMA ELÉTRICO DE POTÊNCIA; "/>
    <s v="Sucateamento do ferramental das equipes de transporte e movimentação de cargas especias, elevados custos de manutenção, grande indisponibilidades por falta de peças de reposição, não atendimento dos prazos pactuados dos atendimentos às,  emergências, serviços programados e de  manutenção do sistema elétrico de potência- sep, dificuldade de roteirização em função do comprimento do conjunto transportador risco de impactos negativos dada as restrições gerados na infraestrutura viária, ambiental,  mobilidade, acessibilidade às instalações(ses, usinas, oficinas manutenção); _x000a_Aplicação de multas expressivas à cemig, por interrupção do fornecimento de energia a consumidores em limites exorbitantes, fora dos previstos em lei, com impactos diretos no DEC, FEC, DIC e DMIC._x000a_"/>
    <m/>
    <n v="0"/>
    <m/>
    <m/>
    <m/>
    <m/>
    <m/>
    <m/>
    <m/>
    <n v="0"/>
    <n v="1364"/>
    <m/>
    <m/>
    <m/>
    <m/>
    <m/>
    <m/>
    <m/>
    <m/>
    <m/>
    <m/>
    <m/>
    <n v="1364"/>
  </r>
  <r>
    <x v="2"/>
    <x v="17"/>
    <s v="SC"/>
    <s v="DGE"/>
    <s v="Ormindo Coutinho Filho"/>
    <s v="NA"/>
    <m/>
    <s v="Substituição de Veículos da Diretoria Executiva - Distribuição"/>
    <s v="Renovação da frota de veículos da Diretoria Executiva - Distribui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n v="0"/>
    <m/>
    <m/>
    <m/>
    <m/>
    <m/>
    <m/>
    <m/>
    <n v="0"/>
    <m/>
    <m/>
    <m/>
    <m/>
    <m/>
    <m/>
    <n v="1054.4000000000001"/>
    <m/>
    <m/>
    <m/>
    <m/>
    <m/>
    <n v="1054.4000000000001"/>
  </r>
  <r>
    <x v="3"/>
    <x v="18"/>
    <s v="TI/IO"/>
    <s v="DGE"/>
    <s v="Carlos Araújo"/>
    <s v="TI04518"/>
    <s v="TINV.18.H.045.MP"/>
    <s v="Modernização do Parque Microinformática (CORPORATIVO) H"/>
    <s v="Atualização do parque de microinformática para atender a política de substituição de 20% ao ano."/>
    <s v="-"/>
    <m/>
    <n v="0"/>
    <n v="0"/>
    <n v="0"/>
    <n v="0"/>
    <n v="75"/>
    <n v="0"/>
    <n v="0"/>
    <n v="0"/>
    <n v="75"/>
    <n v="0"/>
    <n v="0"/>
    <n v="0"/>
    <n v="0"/>
    <n v="0"/>
    <n v="0"/>
    <n v="0"/>
    <n v="0"/>
    <n v="75"/>
    <n v="0"/>
    <n v="0"/>
    <n v="0"/>
    <n v="75"/>
  </r>
  <r>
    <x v="3"/>
    <x v="19"/>
    <s v="TI/IO"/>
    <s v="DGE"/>
    <s v="Marcus Souto"/>
    <s v="TI07118"/>
    <s v="-"/>
    <s v="Licenciamento Microsoft H"/>
    <s v="Renovação do contrato de licenciamento de software que contempla Windows Server, Office, etc (2015). Para os demais anos, atendimento às demandas de novos projetos"/>
    <s v="-"/>
    <m/>
    <n v="0"/>
    <n v="0"/>
    <n v="0"/>
    <n v="15"/>
    <n v="0"/>
    <n v="0"/>
    <n v="0"/>
    <n v="0"/>
    <n v="15"/>
    <n v="0"/>
    <n v="0"/>
    <n v="0"/>
    <n v="0"/>
    <n v="0"/>
    <n v="0"/>
    <n v="0"/>
    <n v="15"/>
    <n v="0"/>
    <n v="0"/>
    <n v="0"/>
    <n v="0"/>
    <n v="15"/>
  </r>
  <r>
    <x v="3"/>
    <x v="19"/>
    <s v="TI/SI"/>
    <s v="DGE"/>
    <s v="Álisson Costa"/>
    <s v="TI01114"/>
    <s v="TINV.14.H.042.SJ"/>
    <s v="SISJUR - Novo Sistema Jurídico"/>
    <s v="Construção do novo sistema jurídico, em curso desde 2013."/>
    <s v="Obsolescência do sistema antigo; falta de interface com os sistemas legados;"/>
    <m/>
    <n v="7.60504150390625"/>
    <n v="212.02916999999999"/>
    <n v="0"/>
    <n v="0"/>
    <n v="0"/>
    <n v="0"/>
    <n v="0"/>
    <m/>
    <n v="219.63421150390624"/>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count="312">
  <r>
    <x v="0"/>
    <x v="0"/>
    <s v="GE/IM"/>
    <s v="Evandro Jardim"/>
    <s v="GE/IM"/>
    <s v="Evandro Jardim"/>
    <s v="DGE"/>
    <s v="NA"/>
    <m/>
    <s v="Otimização dos Ativos de Ipatinga para atendimento da Cemig GT"/>
    <s v="Execução de obra civil de nova instalação de escritório no imóvel da MT/LE para recebimento do pessoal da MG/LE."/>
    <s v="Não redução de despesa operacional, relativa à locação de imóvel para a Cemig GT, no município de Ipatinga."/>
    <s v="Alongamento da curva de desembolso."/>
    <m/>
    <m/>
    <m/>
    <m/>
    <m/>
    <n v="0"/>
    <m/>
    <m/>
    <m/>
    <m/>
    <m/>
    <m/>
    <n v="94.416799999999995"/>
    <m/>
    <m/>
    <m/>
    <m/>
    <n v="208.5"/>
    <n v="302.91679999999997"/>
    <m/>
    <m/>
    <m/>
    <m/>
    <m/>
    <m/>
    <m/>
    <m/>
    <m/>
    <m/>
    <n v="158.5"/>
    <n v="57"/>
    <n v="215.5"/>
    <m/>
    <m/>
    <m/>
    <m/>
    <m/>
    <m/>
    <m/>
    <m/>
    <m/>
    <m/>
    <m/>
    <n v="158.5"/>
    <n v="158.5"/>
    <m/>
    <m/>
    <m/>
    <m/>
    <m/>
    <m/>
    <m/>
    <m/>
    <m/>
    <m/>
    <n v="158.5"/>
    <n v="110.65115833000019"/>
    <n v="269.15115833000016"/>
    <n v="946.06795833000012"/>
  </r>
  <r>
    <x v="0"/>
    <x v="0"/>
    <s v="SC"/>
    <s v="Flávio Henrique Silva Rosário"/>
    <s v="SC"/>
    <s v="Flávio Henrique Silva Rosário"/>
    <s v="DGE"/>
    <s v="NA"/>
    <m/>
    <s v="Aquisição de terminal de videoconferência de alta definição"/>
    <s v="Aquisição de sistemas de vídeoconferência para localidades que ainda não o possuem."/>
    <s v="Impossibilidade de conectividade de todas as unidades ao sistema de videoconferência que já dispõem do serviço.                        Impossibilidade para implantação de VC em novas localidades.                               Dificuldade na reposição de equipamentos defeituosos."/>
    <s v="Alongamento da curva de desembolso, para atendimento à demanda financeira da empresa."/>
    <m/>
    <m/>
    <m/>
    <m/>
    <m/>
    <n v="0"/>
    <m/>
    <m/>
    <m/>
    <m/>
    <m/>
    <m/>
    <m/>
    <m/>
    <n v="140"/>
    <m/>
    <m/>
    <m/>
    <n v="140"/>
    <m/>
    <m/>
    <m/>
    <m/>
    <m/>
    <m/>
    <m/>
    <m/>
    <n v="140"/>
    <m/>
    <m/>
    <m/>
    <n v="140"/>
    <m/>
    <m/>
    <m/>
    <m/>
    <m/>
    <m/>
    <m/>
    <m/>
    <n v="140"/>
    <m/>
    <m/>
    <m/>
    <n v="140"/>
    <m/>
    <m/>
    <m/>
    <m/>
    <m/>
    <m/>
    <m/>
    <m/>
    <n v="139.72435680488988"/>
    <m/>
    <m/>
    <m/>
    <n v="139.72435680488988"/>
    <n v="559.72435680488991"/>
  </r>
  <r>
    <x v="0"/>
    <x v="0"/>
    <s v="SC"/>
    <s v="Flávio Henrique Silva Rosário"/>
    <s v="SC"/>
    <s v="Flávio Henrique Silva Rosário"/>
    <s v="DGE"/>
    <s v="NA"/>
    <m/>
    <s v="Aquisição de Equipamentos Geral  - Ar Condicionado e Bebedouro - Geração"/>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m/>
    <m/>
    <m/>
    <m/>
    <m/>
    <n v="0"/>
    <m/>
    <m/>
    <m/>
    <m/>
    <m/>
    <m/>
    <m/>
    <n v="55"/>
    <m/>
    <m/>
    <m/>
    <m/>
    <n v="55"/>
    <m/>
    <m/>
    <m/>
    <m/>
    <n v="60"/>
    <m/>
    <m/>
    <m/>
    <m/>
    <m/>
    <m/>
    <m/>
    <n v="60"/>
    <m/>
    <m/>
    <m/>
    <m/>
    <n v="55"/>
    <m/>
    <m/>
    <m/>
    <m/>
    <m/>
    <m/>
    <m/>
    <n v="55"/>
    <m/>
    <m/>
    <m/>
    <m/>
    <n v="55"/>
    <m/>
    <m/>
    <m/>
    <m/>
    <m/>
    <m/>
    <m/>
    <n v="55"/>
    <n v="225"/>
  </r>
  <r>
    <x v="0"/>
    <x v="0"/>
    <s v="SC"/>
    <s v="Rogério Elias"/>
    <s v="SC"/>
    <s v="Rogério Elias"/>
    <s v="DGE"/>
    <s v="NA"/>
    <m/>
    <s v="Aquisição de mobiliário para atendimento cliente interno G"/>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m/>
    <m/>
    <m/>
    <m/>
    <m/>
    <n v="0"/>
    <m/>
    <m/>
    <m/>
    <m/>
    <m/>
    <m/>
    <m/>
    <m/>
    <m/>
    <m/>
    <m/>
    <m/>
    <n v="0"/>
    <m/>
    <m/>
    <m/>
    <m/>
    <m/>
    <m/>
    <m/>
    <m/>
    <m/>
    <m/>
    <m/>
    <m/>
    <n v="0"/>
    <m/>
    <m/>
    <m/>
    <m/>
    <m/>
    <m/>
    <m/>
    <m/>
    <m/>
    <m/>
    <n v="108"/>
    <m/>
    <n v="108"/>
    <m/>
    <m/>
    <m/>
    <m/>
    <m/>
    <m/>
    <m/>
    <m/>
    <m/>
    <m/>
    <n v="92"/>
    <m/>
    <n v="92"/>
    <n v="200"/>
  </r>
  <r>
    <x v="0"/>
    <x v="0"/>
    <s v="SC"/>
    <s v="Flávio Henrique Silva Rosário"/>
    <s v="SC"/>
    <s v="Flávio Henrique Silva Rosário"/>
    <s v="DGE"/>
    <s v="SC01218"/>
    <s v="INFR.131.03518"/>
    <s v="Aquisição de 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m/>
    <m/>
    <m/>
    <m/>
    <m/>
    <n v="0"/>
    <m/>
    <m/>
    <m/>
    <m/>
    <m/>
    <m/>
    <m/>
    <m/>
    <m/>
    <m/>
    <m/>
    <m/>
    <n v="0"/>
    <m/>
    <m/>
    <m/>
    <m/>
    <m/>
    <m/>
    <m/>
    <n v="124"/>
    <m/>
    <m/>
    <m/>
    <m/>
    <n v="124"/>
    <m/>
    <m/>
    <m/>
    <m/>
    <m/>
    <m/>
    <m/>
    <m/>
    <m/>
    <m/>
    <m/>
    <m/>
    <n v="0"/>
    <m/>
    <m/>
    <m/>
    <m/>
    <m/>
    <m/>
    <m/>
    <n v="30"/>
    <m/>
    <m/>
    <m/>
    <m/>
    <n v="30"/>
    <n v="154"/>
  </r>
  <r>
    <x v="0"/>
    <x v="0"/>
    <s v="SC"/>
    <s v="Flávio Henrique Silva Rosário"/>
    <s v="SC"/>
    <s v="Flávio Henrique Silva Rosário"/>
    <s v="DGE"/>
    <s v="SC00318"/>
    <s v="INFR.131.01518"/>
    <s v="Aquisição de Equipamentos Geral  - Ar Condicionado e Bebedouro - Geração - SC00318"/>
    <s v="Aquisição de Equipamentos de Ar Condicionado e Bebedouro para várias unidades do Estado."/>
    <s v="Dificuldade no fornecimento de aparelhos de ar condicionado para as instalações da Cemig e consequentemente, na garantia da climatização de ambientes conforme a Portaria 3523, de 28/08/1998 do Ministério da Saúde._x000a_Dificuldade no fornecimento de bebedouros para as instalações da Cemig e consequentemente, no fornecimento de água para os funcionários conforme normas regulamentadores."/>
    <m/>
    <n v="28.784600853919983"/>
    <n v="91"/>
    <m/>
    <m/>
    <n v="12.2153991460799"/>
    <n v="131.99999999999989"/>
    <m/>
    <m/>
    <m/>
    <m/>
    <m/>
    <m/>
    <m/>
    <m/>
    <m/>
    <m/>
    <m/>
    <m/>
    <n v="0"/>
    <m/>
    <m/>
    <m/>
    <m/>
    <m/>
    <m/>
    <m/>
    <m/>
    <m/>
    <m/>
    <m/>
    <m/>
    <n v="0"/>
    <m/>
    <m/>
    <m/>
    <m/>
    <m/>
    <m/>
    <m/>
    <m/>
    <m/>
    <m/>
    <m/>
    <m/>
    <n v="0"/>
    <m/>
    <m/>
    <m/>
    <m/>
    <m/>
    <m/>
    <m/>
    <m/>
    <m/>
    <m/>
    <m/>
    <m/>
    <n v="0"/>
    <n v="131.99999999999989"/>
  </r>
  <r>
    <x v="0"/>
    <x v="0"/>
    <s v="RH"/>
    <s v="Luiz Augusto"/>
    <s v="RH"/>
    <s v="Luiz Augusto"/>
    <s v="DRH"/>
    <s v="SC01518"/>
    <s v="INFR.131.04418"/>
    <s v="Registrador eletrônico de ponto - Geração"/>
    <m/>
    <m/>
    <m/>
    <m/>
    <m/>
    <m/>
    <m/>
    <n v="40"/>
    <n v="40"/>
    <m/>
    <m/>
    <m/>
    <m/>
    <m/>
    <m/>
    <m/>
    <m/>
    <m/>
    <m/>
    <m/>
    <m/>
    <n v="0"/>
    <m/>
    <m/>
    <m/>
    <m/>
    <m/>
    <m/>
    <m/>
    <m/>
    <m/>
    <m/>
    <m/>
    <m/>
    <n v="0"/>
    <m/>
    <m/>
    <m/>
    <m/>
    <m/>
    <m/>
    <m/>
    <m/>
    <m/>
    <m/>
    <m/>
    <m/>
    <n v="0"/>
    <m/>
    <m/>
    <m/>
    <m/>
    <m/>
    <m/>
    <m/>
    <m/>
    <m/>
    <m/>
    <m/>
    <m/>
    <n v="0"/>
    <n v="40"/>
  </r>
  <r>
    <x v="0"/>
    <x v="0"/>
    <s v="SC"/>
    <s v="Ian Garcia"/>
    <s v="SC"/>
    <s v="Ian Garcia"/>
    <s v="DGE"/>
    <s v="NA"/>
    <m/>
    <s v="Video Monitoramento Analítico em 12 usinas"/>
    <s v="Instalação de Câmeras  para monitoramento de eventos e ocorrencias no interior das Usinas"/>
    <s v="Inibir invasões, furtos e monitorar o acesso de pessoas na uisnas"/>
    <m/>
    <m/>
    <m/>
    <m/>
    <m/>
    <m/>
    <n v="0"/>
    <m/>
    <m/>
    <m/>
    <m/>
    <m/>
    <m/>
    <m/>
    <m/>
    <m/>
    <m/>
    <m/>
    <m/>
    <n v="0"/>
    <m/>
    <m/>
    <m/>
    <m/>
    <m/>
    <m/>
    <n v="45.710839976157331"/>
    <m/>
    <m/>
    <m/>
    <m/>
    <m/>
    <n v="45.710839976157331"/>
    <m/>
    <m/>
    <m/>
    <m/>
    <m/>
    <m/>
    <m/>
    <m/>
    <m/>
    <m/>
    <m/>
    <m/>
    <n v="0"/>
    <m/>
    <m/>
    <m/>
    <m/>
    <m/>
    <m/>
    <n v="60"/>
    <m/>
    <m/>
    <m/>
    <m/>
    <m/>
    <n v="60"/>
    <n v="105.71083997615733"/>
  </r>
  <r>
    <x v="0"/>
    <x v="0"/>
    <s v="SC"/>
    <s v="Flávio Henrique Silva Rosário"/>
    <s v="SC"/>
    <s v="Flávio Henrique Silva Rosário"/>
    <s v="DGE"/>
    <s v="SC01018"/>
    <s v="INFR.131.01018"/>
    <s v="Aquisição de terminal de videoconferência de alta definição"/>
    <s v="Aquisição de sistemas de vídeoconferência para localidades que ainda não o possuem."/>
    <s v="Impossibilidade de conectividade de todas as unidades ao sistema de videoconferência que já dispõem do serviço.                        Impossibilidade para implantação de VC em novas localidades.                               Dificuldade na reposição de equipamentos defeituosos."/>
    <s v="Alongamento da curva de desembolso, para atendimento à demanda financeira da empresa."/>
    <m/>
    <m/>
    <m/>
    <m/>
    <n v="60"/>
    <n v="60"/>
    <m/>
    <m/>
    <m/>
    <m/>
    <m/>
    <m/>
    <m/>
    <m/>
    <m/>
    <m/>
    <m/>
    <m/>
    <n v="0"/>
    <m/>
    <m/>
    <m/>
    <m/>
    <m/>
    <m/>
    <m/>
    <m/>
    <m/>
    <m/>
    <m/>
    <m/>
    <n v="0"/>
    <m/>
    <m/>
    <m/>
    <m/>
    <m/>
    <m/>
    <m/>
    <m/>
    <m/>
    <m/>
    <m/>
    <m/>
    <n v="0"/>
    <m/>
    <m/>
    <m/>
    <m/>
    <m/>
    <m/>
    <m/>
    <m/>
    <m/>
    <m/>
    <m/>
    <m/>
    <n v="0"/>
    <n v="60"/>
  </r>
  <r>
    <x v="0"/>
    <x v="0"/>
    <s v="MG"/>
    <s v="Leonardo Victoretti , Mateus Trevisani, Diego Thadeu 31-3535-7617_x000a_SIT-944 351"/>
    <s v="MG"/>
    <s v="Leonardo Victoretti , Mateus Trevisani, Diego Thadeu 31-3535-7617_x000a_SIT-944 351"/>
    <s v="DGT"/>
    <s v="MG00818"/>
    <s v="INFR.131.02218"/>
    <s v="AQUISIÇÃO DE EQUIPAMENTO GERAL PARA MG"/>
    <s v="Descrição: MG/LE: Aquisição de (3) aparelhos de ar  condcionado, modelo split, piso/teto, 30.000 Btus"/>
    <s v="Aumento do gasto em despesa com manutenção dos aparelhos de ar condicionado existentes._x000a_Ficar com ambiente sem climatização em caso de falha que decrete o final da vida útil do equipamento._x000a_"/>
    <m/>
    <n v="0"/>
    <n v="0"/>
    <n v="32"/>
    <n v="11"/>
    <n v="8.3999999999999986"/>
    <n v="51.4"/>
    <n v="0"/>
    <n v="0"/>
    <n v="0"/>
    <n v="0"/>
    <n v="0"/>
    <n v="0"/>
    <n v="0"/>
    <m/>
    <n v="0"/>
    <n v="0"/>
    <n v="0"/>
    <n v="0"/>
    <n v="0"/>
    <n v="0"/>
    <n v="0"/>
    <n v="0"/>
    <n v="0"/>
    <n v="0"/>
    <n v="0"/>
    <n v="0"/>
    <n v="0"/>
    <n v="0"/>
    <n v="0"/>
    <n v="0"/>
    <n v="0"/>
    <n v="0"/>
    <n v="0"/>
    <n v="0"/>
    <n v="0"/>
    <n v="0"/>
    <n v="0"/>
    <n v="0"/>
    <n v="0"/>
    <n v="0"/>
    <n v="0"/>
    <n v="0"/>
    <n v="0"/>
    <n v="0"/>
    <n v="0"/>
    <n v="0"/>
    <n v="0"/>
    <n v="0"/>
    <n v="0"/>
    <n v="0"/>
    <n v="0"/>
    <n v="0"/>
    <n v="0"/>
    <n v="0"/>
    <n v="0"/>
    <n v="0"/>
    <n v="0"/>
    <n v="0"/>
    <n v="51.4"/>
  </r>
  <r>
    <x v="0"/>
    <x v="0"/>
    <s v="MG/TR"/>
    <s v="Rangel Araújo F Martins"/>
    <s v="MG/TR"/>
    <s v="Rangel Araújo F Martins"/>
    <s v="DGT"/>
    <s v="NA"/>
    <m/>
    <s v="Instalação de 01 sistema de vigilancia patrimonial - UHNP"/>
    <s v="Aquisição dos serviços de Instalação de sistema de vigilancia patrimonial para a Usina - UHNP"/>
    <s v="Dificuldade de acompanhamento e confirmação das condições operacionais dos equipamentos eletromecânicos da Usina."/>
    <m/>
    <m/>
    <m/>
    <m/>
    <m/>
    <m/>
    <n v="0"/>
    <n v="0"/>
    <n v="0"/>
    <n v="0"/>
    <n v="0"/>
    <n v="0"/>
    <n v="0"/>
    <n v="0"/>
    <n v="0"/>
    <n v="0"/>
    <n v="0"/>
    <n v="0"/>
    <m/>
    <n v="0"/>
    <n v="0"/>
    <n v="0"/>
    <n v="0"/>
    <n v="0"/>
    <n v="0"/>
    <n v="0"/>
    <n v="0"/>
    <n v="0"/>
    <n v="0"/>
    <n v="50"/>
    <n v="0"/>
    <n v="0"/>
    <n v="50"/>
    <n v="0"/>
    <n v="0"/>
    <n v="0"/>
    <n v="0"/>
    <n v="0"/>
    <n v="0"/>
    <n v="0"/>
    <n v="0"/>
    <n v="0"/>
    <n v="0"/>
    <n v="0"/>
    <n v="0"/>
    <n v="0"/>
    <n v="0"/>
    <n v="0"/>
    <n v="0"/>
    <n v="0"/>
    <n v="0"/>
    <n v="0"/>
    <n v="0"/>
    <n v="0"/>
    <n v="0"/>
    <n v="0"/>
    <n v="0"/>
    <n v="0"/>
    <n v="0"/>
    <n v="50"/>
  </r>
  <r>
    <x v="0"/>
    <x v="0"/>
    <s v="MG/TR"/>
    <s v="Rangel Araújo F Martins"/>
    <s v="MG/TR"/>
    <s v="Rangel Araújo F Martins"/>
    <s v="DGT"/>
    <s v="NA"/>
    <m/>
    <s v="Aquisição de 02 Aparelhos de ar condicionado cassete 48000 BTU - UHNP"/>
    <s v="Aquisição de 02 Aparelhos de ar condicionado tipo casete 48000 BTU para sala de reuniões da Usina - UHNP"/>
    <s v="Degradação das condições ergonômicas das áreas das Usinas que concentram um maior números de pessoas por longos períodos de tempo."/>
    <m/>
    <m/>
    <m/>
    <m/>
    <m/>
    <m/>
    <n v="0"/>
    <n v="0"/>
    <n v="0"/>
    <n v="0"/>
    <n v="0"/>
    <n v="0"/>
    <n v="0"/>
    <n v="0"/>
    <n v="0"/>
    <n v="0"/>
    <n v="0"/>
    <n v="0"/>
    <n v="0"/>
    <n v="0"/>
    <n v="0"/>
    <n v="0"/>
    <n v="0"/>
    <n v="0"/>
    <n v="0"/>
    <n v="0"/>
    <n v="0"/>
    <n v="0"/>
    <n v="0"/>
    <n v="0"/>
    <n v="24.189"/>
    <n v="0"/>
    <n v="24.189"/>
    <n v="0"/>
    <n v="0"/>
    <n v="0"/>
    <n v="0"/>
    <n v="0"/>
    <n v="0"/>
    <n v="0"/>
    <n v="0"/>
    <n v="0"/>
    <n v="0"/>
    <n v="0"/>
    <n v="0"/>
    <n v="0"/>
    <n v="0"/>
    <n v="0"/>
    <n v="0"/>
    <n v="0"/>
    <n v="0"/>
    <n v="0"/>
    <n v="0"/>
    <n v="0"/>
    <n v="0"/>
    <n v="0"/>
    <n v="0"/>
    <n v="0"/>
    <n v="0"/>
    <n v="24.189"/>
  </r>
  <r>
    <x v="0"/>
    <x v="0"/>
    <s v="GE/PC"/>
    <s v="Viviane Fernanda"/>
    <s v="GE/PC"/>
    <s v="Viviane Fernanda"/>
    <s v="DGE"/>
    <s v="NA"/>
    <m/>
    <s v="Saldo 1-3-1 Edificações G"/>
    <m/>
    <m/>
    <m/>
    <m/>
    <m/>
    <m/>
    <m/>
    <m/>
    <n v="0"/>
    <m/>
    <m/>
    <m/>
    <m/>
    <m/>
    <m/>
    <n v="1.054160023843"/>
    <m/>
    <m/>
    <m/>
    <m/>
    <n v="87"/>
    <n v="88.054160023842996"/>
    <m/>
    <m/>
    <m/>
    <m/>
    <m/>
    <m/>
    <m/>
    <m/>
    <m/>
    <m/>
    <m/>
    <m/>
    <n v="0"/>
    <m/>
    <m/>
    <m/>
    <m/>
    <m/>
    <m/>
    <m/>
    <m/>
    <m/>
    <m/>
    <m/>
    <m/>
    <n v="0"/>
    <m/>
    <m/>
    <m/>
    <m/>
    <m/>
    <m/>
    <m/>
    <m/>
    <m/>
    <m/>
    <m/>
    <m/>
    <n v="0"/>
    <n v="88.054160023842996"/>
  </r>
  <r>
    <x v="0"/>
    <x v="1"/>
    <s v="TI/TC"/>
    <s v="Francisco Elson"/>
    <s v="TI/TC"/>
    <s v="Francisco Elson"/>
    <s v="DGE"/>
    <s v="NA"/>
    <s v="-"/>
    <s v="Redes Ópticas da Geradora"/>
    <s v="Construção de Redes Ópticas da Geradora para interligação ao backbone de comunicação"/>
    <s v="Perda de comunicação por falta de alimentação comercial, penalidades previstas em contrato"/>
    <s v="Postergação do desembolso para adequação da curva de investimento."/>
    <n v="0"/>
    <m/>
    <n v="0"/>
    <n v="0"/>
    <n v="0"/>
    <n v="0"/>
    <n v="0"/>
    <n v="0"/>
    <n v="0"/>
    <n v="0"/>
    <n v="0"/>
    <n v="0"/>
    <n v="0"/>
    <n v="0"/>
    <n v="0"/>
    <n v="157"/>
    <n v="0"/>
    <n v="0"/>
    <n v="157"/>
    <n v="0"/>
    <n v="0"/>
    <n v="0"/>
    <n v="0"/>
    <n v="0"/>
    <n v="0"/>
    <n v="0"/>
    <n v="0"/>
    <n v="0"/>
    <n v="0"/>
    <n v="0"/>
    <n v="0"/>
    <n v="0"/>
    <n v="0"/>
    <n v="0"/>
    <n v="0"/>
    <n v="0"/>
    <n v="0"/>
    <n v="0"/>
    <n v="0"/>
    <n v="0"/>
    <n v="0"/>
    <n v="0"/>
    <n v="0"/>
    <n v="0"/>
    <n v="0"/>
    <n v="0"/>
    <n v="0"/>
    <n v="0"/>
    <n v="0"/>
    <n v="0"/>
    <n v="0"/>
    <n v="0"/>
    <n v="0"/>
    <n v="0"/>
    <n v="0"/>
    <n v="0"/>
    <n v="0"/>
    <n v="0"/>
    <n v="157"/>
  </r>
  <r>
    <x v="0"/>
    <x v="1"/>
    <s v="TI/TC"/>
    <s v="Francisco Elson"/>
    <s v="TI/TC"/>
    <s v="Francisco Elson"/>
    <s v="DGE"/>
    <s v="TI08018"/>
    <m/>
    <s v="Bancos de Baterias da Geradora"/>
    <m/>
    <m/>
    <m/>
    <n v="2.2655799686908722"/>
    <m/>
    <n v="0"/>
    <n v="0"/>
    <n v="7.7344200313091296"/>
    <n v="10.000000000000002"/>
    <n v="0"/>
    <n v="0"/>
    <n v="0"/>
    <n v="0"/>
    <n v="0"/>
    <n v="0"/>
    <n v="0"/>
    <n v="0"/>
    <n v="0"/>
    <n v="0"/>
    <n v="0"/>
    <n v="0"/>
    <n v="0"/>
    <n v="0"/>
    <n v="0"/>
    <n v="0"/>
    <n v="0"/>
    <n v="0"/>
    <n v="0"/>
    <n v="0"/>
    <n v="0"/>
    <n v="0"/>
    <n v="0"/>
    <n v="0"/>
    <n v="0"/>
    <n v="0"/>
    <n v="0"/>
    <n v="0"/>
    <n v="0"/>
    <n v="0"/>
    <n v="0"/>
    <n v="0"/>
    <n v="0"/>
    <n v="0"/>
    <n v="0"/>
    <n v="0"/>
    <n v="0"/>
    <n v="0"/>
    <n v="0"/>
    <n v="0"/>
    <n v="0"/>
    <n v="0"/>
    <n v="0"/>
    <n v="0"/>
    <n v="0"/>
    <n v="0"/>
    <n v="0"/>
    <n v="0"/>
    <n v="0"/>
    <n v="0"/>
    <n v="0"/>
    <n v="0"/>
    <n v="10.000000000000002"/>
  </r>
  <r>
    <x v="0"/>
    <x v="2"/>
    <s v="TI/IO"/>
    <s v="Carlos Araújo"/>
    <s v="TI/IO"/>
    <s v="Carlos Araújo"/>
    <s v="DGE"/>
    <s v="NA"/>
    <s v="-"/>
    <s v="Modernização do Parque Microinformática (CORPORATIVO) G"/>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s v="-"/>
    <n v="0"/>
    <n v="0"/>
    <n v="0"/>
    <n v="0"/>
    <n v="0"/>
    <n v="0"/>
    <n v="0"/>
    <n v="0"/>
    <n v="0"/>
    <n v="0"/>
    <n v="0"/>
    <n v="0"/>
    <n v="0"/>
    <n v="0"/>
    <n v="351.9"/>
    <n v="0"/>
    <n v="0"/>
    <n v="0"/>
    <n v="351.9"/>
    <n v="0"/>
    <n v="0"/>
    <n v="0"/>
    <n v="0"/>
    <n v="0"/>
    <n v="0"/>
    <n v="0"/>
    <n v="214.7"/>
    <n v="0"/>
    <n v="0"/>
    <n v="0"/>
    <n v="0"/>
    <n v="214.7"/>
    <n v="0"/>
    <n v="0"/>
    <n v="0"/>
    <n v="0"/>
    <n v="0"/>
    <n v="0"/>
    <n v="0"/>
    <n v="51.5"/>
    <n v="0"/>
    <n v="0"/>
    <n v="0"/>
    <n v="0"/>
    <n v="51.5"/>
    <n v="0"/>
    <n v="0"/>
    <n v="0"/>
    <n v="0"/>
    <n v="0"/>
    <n v="0"/>
    <n v="0"/>
    <n v="278.5"/>
    <n v="0"/>
    <n v="0"/>
    <n v="0"/>
    <n v="0"/>
    <n v="278.5"/>
    <n v="896.6"/>
  </r>
  <r>
    <x v="0"/>
    <x v="2"/>
    <s v="TI/IO"/>
    <s v="Carlos Araújo"/>
    <s v="MG/SB"/>
    <s v="Franco Menho Silva"/>
    <s v="DGT"/>
    <s v="TI03218"/>
    <s v="TINV.18.G.045.TB"/>
    <s v="Aquisição tablets MG/SB "/>
    <s v="Aquisição de 15 tablets para atendimento e utilização do Sistema especialista de gestão de emergências; treinamentos e simulados relacionados ao Plano de Atendimento de Emergência (PAE); leitura de instrumentação de auscultação de barragens; vistorias de segurança de barragens. "/>
    <s v="-"/>
    <s v="-"/>
    <n v="0"/>
    <n v="58.6"/>
    <m/>
    <n v="0"/>
    <m/>
    <n v="58.6"/>
    <n v="0"/>
    <n v="0"/>
    <n v="0"/>
    <n v="0"/>
    <n v="0"/>
    <n v="0"/>
    <n v="0"/>
    <n v="0"/>
    <n v="0"/>
    <n v="0"/>
    <n v="0"/>
    <n v="0"/>
    <n v="0"/>
    <n v="0"/>
    <n v="0"/>
    <n v="0"/>
    <n v="0"/>
    <n v="0"/>
    <n v="0"/>
    <n v="0"/>
    <n v="0"/>
    <n v="0"/>
    <n v="0"/>
    <n v="0"/>
    <n v="0"/>
    <n v="0"/>
    <n v="0"/>
    <n v="0"/>
    <n v="0"/>
    <n v="0"/>
    <n v="0"/>
    <n v="0"/>
    <n v="0"/>
    <n v="0"/>
    <n v="0"/>
    <n v="0"/>
    <n v="0"/>
    <n v="0"/>
    <n v="0"/>
    <n v="0"/>
    <n v="0"/>
    <n v="0"/>
    <n v="0"/>
    <n v="0"/>
    <n v="0"/>
    <n v="0"/>
    <n v="0"/>
    <n v="0"/>
    <n v="0"/>
    <n v="0"/>
    <n v="0"/>
    <n v="0"/>
    <n v="58.6"/>
  </r>
  <r>
    <x v="0"/>
    <x v="3"/>
    <s v="TI/IO"/>
    <s v="Marcus Souto"/>
    <s v="TI/IO"/>
    <s v="Carlos Araújo"/>
    <s v="DGE"/>
    <s v="TI07218"/>
    <s v="TINV.18.G.045.MS"/>
    <s v="Licenciamento Microsoft G"/>
    <s v="Licenciamento Microsoft visando manter atualizada todas as versões de software Microsoft instalados na Empresa de forma a garantir a disponibilidade e a segurança das informações."/>
    <s v="-"/>
    <s v="Postergação do desembolso, conforme estratégia de contratação/renovação dos produtos licenciados."/>
    <m/>
    <n v="0"/>
    <n v="0"/>
    <n v="0"/>
    <n v="22"/>
    <n v="22"/>
    <n v="0"/>
    <n v="0"/>
    <n v="0"/>
    <n v="0"/>
    <n v="0"/>
    <n v="0"/>
    <n v="0"/>
    <n v="22"/>
    <n v="0"/>
    <n v="0"/>
    <n v="0"/>
    <n v="0"/>
    <n v="22"/>
    <n v="0"/>
    <n v="0"/>
    <n v="0"/>
    <n v="0"/>
    <n v="0"/>
    <n v="0"/>
    <n v="0"/>
    <n v="22"/>
    <n v="0"/>
    <n v="0"/>
    <n v="0"/>
    <n v="0"/>
    <n v="22"/>
    <n v="0"/>
    <n v="0"/>
    <n v="0"/>
    <n v="0"/>
    <n v="0"/>
    <n v="0"/>
    <n v="0"/>
    <n v="716.5"/>
    <n v="0"/>
    <n v="0"/>
    <n v="0"/>
    <n v="0"/>
    <n v="716.5"/>
    <n v="0"/>
    <n v="0"/>
    <n v="0"/>
    <n v="0"/>
    <n v="0"/>
    <n v="0"/>
    <n v="0"/>
    <n v="716.5"/>
    <n v="0"/>
    <n v="0"/>
    <n v="0"/>
    <n v="0"/>
    <n v="716.5"/>
    <n v="1499"/>
  </r>
  <r>
    <x v="0"/>
    <x v="3"/>
    <s v="TI/SI"/>
    <s v="Álisson Costa"/>
    <s v="PO/PE"/>
    <s v="Ivan Sérgio Carneiro"/>
    <s v="DGT"/>
    <s v="TI06818"/>
    <s v="-"/>
    <s v="Aquisição de Produtos OSISoft (PI System)"/>
    <m/>
    <m/>
    <s v="Postergação do desembolso para adequação da curva de investimento."/>
    <n v="0"/>
    <n v="0"/>
    <n v="420"/>
    <n v="0"/>
    <n v="0"/>
    <n v="420"/>
    <n v="0"/>
    <n v="0"/>
    <n v="0"/>
    <n v="0"/>
    <n v="0"/>
    <n v="0"/>
    <n v="0"/>
    <n v="0"/>
    <n v="0"/>
    <n v="0"/>
    <n v="0"/>
    <n v="0"/>
    <n v="0"/>
    <n v="0"/>
    <n v="0"/>
    <n v="0"/>
    <n v="0"/>
    <n v="0"/>
    <n v="480"/>
    <n v="0"/>
    <n v="0"/>
    <n v="0"/>
    <n v="0"/>
    <n v="0"/>
    <n v="0"/>
    <n v="480"/>
    <n v="0"/>
    <n v="0"/>
    <n v="0"/>
    <n v="0"/>
    <n v="0"/>
    <n v="0"/>
    <n v="0"/>
    <n v="0"/>
    <n v="0"/>
    <n v="0"/>
    <n v="0"/>
    <n v="0"/>
    <n v="0"/>
    <n v="0"/>
    <n v="0"/>
    <n v="0"/>
    <n v="0"/>
    <n v="0"/>
    <n v="0"/>
    <n v="0"/>
    <n v="0"/>
    <n v="0"/>
    <n v="0"/>
    <n v="0"/>
    <n v="0"/>
    <n v="0"/>
    <n v="900"/>
  </r>
  <r>
    <x v="0"/>
    <x v="3"/>
    <s v="TI/SI"/>
    <s v="Álisson Costa"/>
    <s v="TI/SI"/>
    <s v="Álisson Costa"/>
    <s v="DGE"/>
    <s v="TI00218"/>
    <s v="TINV.18.G.042.OR"/>
    <s v="Licenciamento de Softwares (Oracle) G"/>
    <s v="Renovação do licenciamento Oracle UDD, que foi celebrado em 2012 e vence em 2015, quando necessita ser renovado."/>
    <s v="Falta de suporte e incompatibilidade do produtos com o sistema operacional nos servidores de produção da Cemig."/>
    <s v="Revisão do escopo do projeto, incorporando ganhos obtidos na negociação do licenciamento."/>
    <n v="119.11103057861328"/>
    <n v="0"/>
    <n v="0"/>
    <n v="0"/>
    <n v="0"/>
    <n v="119.11103057861328"/>
    <n v="0"/>
    <n v="125"/>
    <n v="0"/>
    <n v="0"/>
    <n v="0"/>
    <n v="0"/>
    <n v="0"/>
    <n v="0"/>
    <n v="0"/>
    <n v="0"/>
    <n v="0"/>
    <n v="0"/>
    <n v="125"/>
    <n v="0"/>
    <n v="180"/>
    <n v="0"/>
    <n v="0"/>
    <n v="0"/>
    <n v="0"/>
    <n v="0"/>
    <n v="0"/>
    <n v="0"/>
    <n v="0"/>
    <n v="0"/>
    <n v="0"/>
    <n v="180"/>
    <n v="0"/>
    <n v="210"/>
    <n v="0"/>
    <n v="0"/>
    <n v="0"/>
    <n v="0"/>
    <n v="0"/>
    <n v="0"/>
    <n v="0"/>
    <n v="0"/>
    <n v="0"/>
    <n v="0"/>
    <n v="210"/>
    <n v="0"/>
    <n v="210"/>
    <n v="0"/>
    <n v="0"/>
    <n v="0"/>
    <n v="0"/>
    <n v="0"/>
    <n v="0"/>
    <n v="0"/>
    <n v="0"/>
    <n v="0"/>
    <n v="0"/>
    <n v="210"/>
    <n v="844.11103057861328"/>
  </r>
  <r>
    <x v="0"/>
    <x v="3"/>
    <s v="TI/SI"/>
    <s v="Álisson Costa"/>
    <s v="TI/SI"/>
    <s v="Álisson Costa"/>
    <s v="DGE"/>
    <s v="NA"/>
    <s v="-"/>
    <s v="Licenciamento HEXAGON G"/>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s v="-"/>
    <n v="0"/>
    <n v="0"/>
    <n v="0"/>
    <n v="0"/>
    <n v="0"/>
    <n v="0"/>
    <n v="0"/>
    <n v="0"/>
    <n v="0"/>
    <n v="0"/>
    <n v="0"/>
    <n v="0"/>
    <n v="0"/>
    <n v="0"/>
    <n v="0"/>
    <n v="0"/>
    <n v="0"/>
    <n v="0"/>
    <n v="0"/>
    <n v="0"/>
    <n v="335"/>
    <n v="0"/>
    <n v="0"/>
    <n v="0"/>
    <n v="0"/>
    <n v="0"/>
    <n v="0"/>
    <n v="0"/>
    <n v="0"/>
    <n v="0"/>
    <n v="0"/>
    <n v="335"/>
    <n v="0"/>
    <n v="335"/>
    <n v="0"/>
    <n v="0"/>
    <n v="0"/>
    <n v="0"/>
    <n v="0"/>
    <n v="0"/>
    <n v="0"/>
    <n v="0"/>
    <n v="0"/>
    <n v="0"/>
    <n v="335"/>
    <n v="0"/>
    <n v="0"/>
    <n v="0"/>
    <n v="0"/>
    <n v="0"/>
    <n v="0"/>
    <n v="0"/>
    <n v="0"/>
    <n v="0"/>
    <n v="0"/>
    <n v="0"/>
    <n v="0"/>
    <n v="0"/>
    <n v="670"/>
  </r>
  <r>
    <x v="0"/>
    <x v="3"/>
    <s v="TI/SI"/>
    <s v="Álisson Costa"/>
    <s v="PO/MT"/>
    <s v="Alexsandro Teixeira Gomes"/>
    <s v="DGE"/>
    <s v="TI05818"/>
    <s v="TINV.18.G.042.SB"/>
    <s v="Aquisição SIGGA Brizzo"/>
    <s v="Utilização do Sistema de Mobilidade SIGGA Brizzo nos Processos de Execução da Manutenção de Geração e Transmissão, integrado ao ECC (SAP) através de linguagem SAP (ABAP - RFC), garantindo maior estabilidade sem a necessidade de camada intermediária de PI; Permitir plena utilização de Ordens de Manutenção e Notas de Manutenção, confirmação de HH manualmente ou automaticamente, etc."/>
    <s v="A proposta atual da SIGGA para o Sistema de Mobilidade brizzo é bastante atrativa para a CEMIG, principalmente quando se compara com o custo SAP, que é 924,87% maior: Custo SIGGA por licença (mês): R$ 66,67; Custo SAP por licença (mês): R$ 616,58.; Risco regulatório de multa da ANEEL principalmente na Transmissão pala deficiencia na gestão dos planos de manutenção em consonancia com a ReN 669."/>
    <s v="Revisão do escopo do projeto, considerando necessidade do sistema pela área usuária."/>
    <n v="0"/>
    <n v="318"/>
    <n v="0"/>
    <n v="0"/>
    <n v="0"/>
    <n v="318"/>
    <n v="0"/>
    <n v="188"/>
    <n v="0"/>
    <n v="0"/>
    <n v="0"/>
    <n v="0"/>
    <n v="0"/>
    <n v="0"/>
    <n v="0"/>
    <n v="0"/>
    <n v="0"/>
    <n v="0"/>
    <n v="188"/>
    <n v="0"/>
    <n v="0"/>
    <n v="0"/>
    <n v="0"/>
    <n v="0"/>
    <n v="0"/>
    <n v="0"/>
    <n v="0"/>
    <n v="0"/>
    <n v="0"/>
    <n v="0"/>
    <n v="0"/>
    <n v="0"/>
    <n v="0"/>
    <n v="0"/>
    <n v="0"/>
    <n v="0"/>
    <n v="0"/>
    <n v="0"/>
    <n v="0"/>
    <n v="0"/>
    <n v="0"/>
    <n v="0"/>
    <n v="0"/>
    <n v="0"/>
    <n v="0"/>
    <n v="0"/>
    <n v="0"/>
    <n v="0"/>
    <n v="0"/>
    <n v="0"/>
    <n v="0"/>
    <n v="0"/>
    <n v="0"/>
    <n v="0"/>
    <n v="0"/>
    <n v="0"/>
    <n v="0"/>
    <n v="0"/>
    <n v="506"/>
  </r>
  <r>
    <x v="0"/>
    <x v="3"/>
    <s v="TI/SI"/>
    <s v="Álisson Costa"/>
    <s v="MG/SB"/>
    <s v="Diego Balbi"/>
    <s v="DGE"/>
    <s v="TI02216"/>
    <s v="TINV.16.G.042.IP"/>
    <s v="Upgrade do Software Inspetor"/>
    <s v="Upgrade em software de Sistema de Segurança de Barragens e Manutenção Civil"/>
    <s v="Se o sistema não for atualizado, podemos não ter equipe técnica qualificada para corrigir futuros problemas, devido à arquitetura de software e hardware antiga usada pelo mesmo."/>
    <s v="-"/>
    <n v="199.49535179138184"/>
    <n v="60"/>
    <n v="50"/>
    <n v="60"/>
    <n v="120.50463999999999"/>
    <n v="489.99999179138183"/>
    <n v="0"/>
    <n v="0"/>
    <n v="0"/>
    <n v="0"/>
    <n v="0"/>
    <n v="0"/>
    <n v="0"/>
    <n v="0"/>
    <n v="0"/>
    <n v="0"/>
    <n v="0"/>
    <n v="0"/>
    <n v="0"/>
    <n v="0"/>
    <n v="0"/>
    <n v="0"/>
    <n v="0"/>
    <n v="0"/>
    <n v="0"/>
    <n v="0"/>
    <n v="0"/>
    <n v="0"/>
    <n v="0"/>
    <n v="0"/>
    <n v="0"/>
    <n v="0"/>
    <n v="0"/>
    <n v="0"/>
    <n v="0"/>
    <n v="0"/>
    <n v="0"/>
    <n v="0"/>
    <n v="0"/>
    <n v="0"/>
    <n v="0"/>
    <n v="0"/>
    <n v="0"/>
    <n v="0"/>
    <n v="0"/>
    <n v="0"/>
    <n v="0"/>
    <n v="0"/>
    <n v="0"/>
    <n v="0"/>
    <n v="0"/>
    <n v="0"/>
    <n v="0"/>
    <n v="0"/>
    <n v="0"/>
    <n v="0"/>
    <n v="0"/>
    <n v="0"/>
    <n v="489.99999179138183"/>
  </r>
  <r>
    <x v="0"/>
    <x v="3"/>
    <s v="TI/IO"/>
    <s v="Carlos Araújo"/>
    <s v="TI/IO"/>
    <s v="Carlos Araújo"/>
    <s v="DGE"/>
    <s v="NA"/>
    <s v="-"/>
    <s v="Aquisição/atualização de Servidores x86 "/>
    <s v="Aquisição/atualização de Servidores x86 para suportar o crescimento vegetativo das diversas aplicações, possibilitando a disponibilidade de infraestrutura de processamento para atender as aplicações atuais, como Correio Eletrônico, Servidores de Arquivos, Internet, Intranet, Portal de Compras, GPJuri, Impressão, Bancos de Dados SQL, entre outras e novas aplicações."/>
    <s v="-"/>
    <s v="Revisão de escopo do projeto, considerando a necessidade de atualização dos servidores."/>
    <n v="0"/>
    <n v="0"/>
    <n v="0"/>
    <n v="0"/>
    <n v="0"/>
    <n v="0"/>
    <n v="0"/>
    <n v="0"/>
    <n v="0"/>
    <n v="0"/>
    <n v="0"/>
    <n v="0"/>
    <n v="0"/>
    <n v="0"/>
    <n v="97"/>
    <n v="0"/>
    <n v="0"/>
    <n v="0"/>
    <n v="97"/>
    <n v="0"/>
    <n v="0"/>
    <n v="0"/>
    <n v="0"/>
    <n v="0"/>
    <n v="0"/>
    <n v="0"/>
    <n v="0"/>
    <n v="0"/>
    <n v="0"/>
    <n v="0"/>
    <n v="0"/>
    <n v="0"/>
    <n v="0"/>
    <n v="0"/>
    <n v="0"/>
    <n v="0"/>
    <n v="0"/>
    <n v="0"/>
    <n v="0"/>
    <n v="0"/>
    <n v="0"/>
    <n v="0"/>
    <n v="0"/>
    <n v="0"/>
    <n v="0"/>
    <n v="0"/>
    <n v="0"/>
    <n v="0"/>
    <n v="0"/>
    <n v="0"/>
    <n v="0"/>
    <n v="0"/>
    <n v="0"/>
    <n v="0"/>
    <n v="0"/>
    <n v="142"/>
    <n v="0"/>
    <n v="142"/>
    <n v="239"/>
  </r>
  <r>
    <x v="0"/>
    <x v="3"/>
    <s v="TI/SI"/>
    <s v="Álisson Costa"/>
    <s v="PO/MT"/>
    <s v="Adriana de Castro Passos Martins"/>
    <s v="DGE"/>
    <s v="NA"/>
    <s v="-"/>
    <s v="Upgrade do Sistema SMO - Laboratório de Óleos"/>
    <s v="Atualização do sistema de análises físico químicas da Cemig - SMO usado no laboratório de óleos"/>
    <s v="Aumento da obsolescência do sistema "/>
    <s v="-"/>
    <n v="0"/>
    <n v="0"/>
    <n v="0"/>
    <n v="0"/>
    <n v="0"/>
    <n v="0"/>
    <n v="0"/>
    <n v="0"/>
    <n v="0"/>
    <n v="0"/>
    <n v="0"/>
    <n v="0"/>
    <n v="0"/>
    <n v="0"/>
    <n v="0"/>
    <n v="0"/>
    <n v="0"/>
    <n v="0"/>
    <n v="0"/>
    <n v="0"/>
    <n v="0"/>
    <n v="0"/>
    <n v="0"/>
    <n v="0"/>
    <n v="0"/>
    <n v="0"/>
    <n v="0"/>
    <n v="0"/>
    <n v="0"/>
    <n v="0"/>
    <n v="0"/>
    <n v="0"/>
    <n v="0"/>
    <n v="0"/>
    <n v="103"/>
    <n v="0"/>
    <n v="0"/>
    <n v="0"/>
    <n v="0"/>
    <n v="0"/>
    <n v="0"/>
    <n v="0"/>
    <n v="0"/>
    <n v="0"/>
    <n v="103"/>
    <n v="0"/>
    <n v="0"/>
    <n v="122"/>
    <n v="0"/>
    <n v="0"/>
    <n v="0"/>
    <n v="0"/>
    <n v="0"/>
    <n v="0"/>
    <n v="0"/>
    <n v="0"/>
    <n v="0"/>
    <n v="122"/>
    <n v="225"/>
  </r>
  <r>
    <x v="0"/>
    <x v="3"/>
    <s v="TI/SI"/>
    <s v="Álisson Costa"/>
    <s v="PO/MG"/>
    <s v="Antônio Carlos Arantes"/>
    <s v="DGT"/>
    <s v="NA"/>
    <s v="-"/>
    <s v="Novo SIGO (Escopo reduzido)"/>
    <s v="Upgrade SIGO - Sistema de Informação da Operação"/>
    <s v="Falha grave no software que pode acarretar a perda de controle da operação e histórico de intervenções das unidades geradoras da Cemig"/>
    <s v="-"/>
    <n v="0"/>
    <n v="0"/>
    <n v="0"/>
    <n v="0"/>
    <n v="0"/>
    <n v="0"/>
    <n v="0"/>
    <n v="0"/>
    <n v="0"/>
    <n v="0"/>
    <n v="0"/>
    <n v="0"/>
    <n v="0"/>
    <n v="0"/>
    <n v="0"/>
    <n v="0"/>
    <n v="0"/>
    <n v="0"/>
    <n v="0"/>
    <n v="0"/>
    <n v="0"/>
    <n v="0"/>
    <n v="0"/>
    <n v="0"/>
    <n v="0"/>
    <n v="0"/>
    <n v="0"/>
    <n v="0"/>
    <n v="0"/>
    <n v="0"/>
    <n v="0"/>
    <n v="0"/>
    <n v="0"/>
    <n v="0"/>
    <n v="175"/>
    <n v="0"/>
    <n v="0"/>
    <n v="0"/>
    <n v="0"/>
    <n v="0"/>
    <n v="0"/>
    <n v="0"/>
    <n v="0"/>
    <n v="0"/>
    <n v="175"/>
    <n v="0"/>
    <n v="0"/>
    <n v="0"/>
    <n v="0"/>
    <n v="0"/>
    <n v="0"/>
    <n v="0"/>
    <n v="0"/>
    <n v="0"/>
    <n v="0"/>
    <n v="0"/>
    <n v="0"/>
    <n v="0"/>
    <n v="175"/>
  </r>
  <r>
    <x v="0"/>
    <x v="3"/>
    <s v="TI/RT"/>
    <s v="Heberte Faria"/>
    <s v="SC"/>
    <s v="José Maria Nascimento Filho"/>
    <s v="DGE"/>
    <s v="NA"/>
    <s v="-"/>
    <s v="HP SERVICE MANAGER G"/>
    <s v="Renovação das licenças do software HP SERVICE MANAGER."/>
    <s v="-"/>
    <s v="-"/>
    <n v="0"/>
    <n v="0"/>
    <n v="0"/>
    <n v="0"/>
    <n v="0"/>
    <n v="0"/>
    <n v="0"/>
    <n v="0"/>
    <n v="0"/>
    <n v="0"/>
    <n v="0"/>
    <n v="0"/>
    <n v="0"/>
    <n v="0"/>
    <n v="0"/>
    <n v="0"/>
    <n v="0"/>
    <n v="0"/>
    <n v="0"/>
    <n v="0"/>
    <n v="0"/>
    <n v="0"/>
    <n v="0"/>
    <n v="0"/>
    <n v="0"/>
    <n v="0"/>
    <n v="0"/>
    <n v="0"/>
    <n v="0"/>
    <n v="0"/>
    <n v="0"/>
    <n v="0"/>
    <n v="0"/>
    <n v="0"/>
    <n v="0"/>
    <n v="0"/>
    <n v="0"/>
    <n v="0"/>
    <n v="0"/>
    <n v="0"/>
    <n v="0"/>
    <n v="150"/>
    <n v="0"/>
    <n v="0"/>
    <n v="150"/>
    <n v="0"/>
    <n v="0"/>
    <n v="0"/>
    <n v="0"/>
    <n v="0"/>
    <n v="0"/>
    <n v="0"/>
    <n v="0"/>
    <n v="0"/>
    <n v="0"/>
    <n v="0"/>
    <n v="0"/>
    <n v="0"/>
    <n v="150"/>
  </r>
  <r>
    <x v="0"/>
    <x v="3"/>
    <s v="TI/SI"/>
    <s v="Álisson Costa"/>
    <s v="PO/PE"/>
    <s v="Diogo Martins"/>
    <s v="DGT"/>
    <s v="TI03018"/>
    <s v="TINV.18.G.042.PA"/>
    <s v="Infraestrutura de Comunicação para o Plano de Ações Emergências - PAE em Usinas da Geração Cemig GT"/>
    <s v="Software a ser desenvolvido por empresa de TI e tem como produto um aplicativo para Celular que relacione com os COMPDECs( Defesa Civil dos municípios) e Comunidades do entorno dos empreendimentos( barragens)."/>
    <s v="Além da não conformidade legal, envolve riscos de falha de comunicação para a comunidade e Defesa Civil."/>
    <s v="Revisão de escopo do projeto, considerando ganho obtido na contratação."/>
    <m/>
    <n v="16"/>
    <n v="20"/>
    <n v="20"/>
    <n v="59.198999999999998"/>
    <n v="115.199"/>
    <n v="0"/>
    <n v="0"/>
    <n v="0"/>
    <n v="0"/>
    <n v="0"/>
    <n v="0"/>
    <n v="0"/>
    <n v="0"/>
    <n v="0"/>
    <n v="0"/>
    <n v="0"/>
    <n v="0"/>
    <n v="0"/>
    <n v="0"/>
    <n v="0"/>
    <n v="0"/>
    <n v="0"/>
    <n v="0"/>
    <n v="0"/>
    <n v="0"/>
    <n v="0"/>
    <n v="0"/>
    <n v="0"/>
    <n v="0"/>
    <n v="0"/>
    <n v="0"/>
    <n v="0"/>
    <n v="0"/>
    <n v="0"/>
    <n v="0"/>
    <n v="0"/>
    <n v="0"/>
    <n v="0"/>
    <n v="0"/>
    <n v="0"/>
    <n v="0"/>
    <n v="0"/>
    <n v="0"/>
    <n v="0"/>
    <n v="0"/>
    <n v="0"/>
    <n v="0"/>
    <n v="0"/>
    <n v="0"/>
    <n v="0"/>
    <n v="0"/>
    <n v="0"/>
    <n v="0"/>
    <n v="0"/>
    <n v="0"/>
    <n v="0"/>
    <n v="0"/>
    <n v="115.199"/>
  </r>
  <r>
    <x v="0"/>
    <x v="3"/>
    <s v="TI/IO"/>
    <s v="Carlos Araújo"/>
    <s v="PO/MG"/>
    <s v="Antônio Carlos Arantes"/>
    <s v="DGT"/>
    <s v="NA"/>
    <s v="-"/>
    <s v="Aquisição software de Confiabilidade (RENO, Lambdapredict, DOE e RGA)"/>
    <s v="Software de Confiabilidade"/>
    <s v="Falha no diagnostico e priorização de investimentos em equipamentos da geração, podendo levar a indisponibilidade operativa e consequente perda de receita da geração"/>
    <s v="-"/>
    <n v="0"/>
    <n v="0"/>
    <n v="0"/>
    <n v="69"/>
    <n v="0"/>
    <n v="69"/>
    <n v="0"/>
    <n v="44"/>
    <n v="0"/>
    <n v="0"/>
    <n v="0"/>
    <n v="0"/>
    <n v="0"/>
    <n v="0"/>
    <n v="0"/>
    <n v="0"/>
    <n v="0"/>
    <n v="0"/>
    <n v="44"/>
    <n v="0"/>
    <n v="0"/>
    <n v="0"/>
    <n v="0"/>
    <n v="0"/>
    <n v="0"/>
    <n v="0"/>
    <n v="0"/>
    <n v="0"/>
    <n v="0"/>
    <n v="0"/>
    <n v="0"/>
    <n v="0"/>
    <n v="0"/>
    <n v="0"/>
    <n v="0"/>
    <n v="0"/>
    <n v="0"/>
    <n v="0"/>
    <n v="0"/>
    <n v="0"/>
    <n v="0"/>
    <n v="0"/>
    <n v="0"/>
    <n v="0"/>
    <n v="0"/>
    <n v="0"/>
    <n v="0"/>
    <n v="0"/>
    <n v="0"/>
    <n v="0"/>
    <n v="0"/>
    <n v="0"/>
    <n v="0"/>
    <n v="0"/>
    <n v="0"/>
    <n v="0"/>
    <n v="0"/>
    <n v="0"/>
    <n v="113"/>
  </r>
  <r>
    <x v="0"/>
    <x v="3"/>
    <s v="TI/SI"/>
    <s v="Álisson Costa"/>
    <s v="PO/MG"/>
    <s v="Antônio Carlos Arantes"/>
    <s v="DGT"/>
    <s v="NA"/>
    <s v="-"/>
    <s v="Desenvolvimento de software de diagnóstico e planejamento de investimento de Geração"/>
    <m/>
    <m/>
    <s v="-"/>
    <n v="0"/>
    <n v="0"/>
    <n v="0"/>
    <n v="0"/>
    <n v="0"/>
    <n v="0"/>
    <n v="0"/>
    <n v="0"/>
    <n v="0"/>
    <n v="0"/>
    <n v="0"/>
    <n v="0"/>
    <n v="0"/>
    <n v="0"/>
    <n v="0"/>
    <n v="0"/>
    <n v="0"/>
    <n v="0"/>
    <n v="0"/>
    <n v="0"/>
    <n v="0"/>
    <n v="0"/>
    <n v="0"/>
    <n v="0"/>
    <n v="100"/>
    <n v="0"/>
    <n v="0"/>
    <n v="0"/>
    <n v="0"/>
    <n v="0"/>
    <n v="0"/>
    <n v="100"/>
    <n v="0"/>
    <n v="0"/>
    <n v="0"/>
    <n v="0"/>
    <n v="0"/>
    <n v="0"/>
    <n v="0"/>
    <n v="0"/>
    <n v="0"/>
    <n v="0"/>
    <n v="0"/>
    <n v="0"/>
    <n v="0"/>
    <n v="0"/>
    <n v="0"/>
    <n v="0"/>
    <n v="0"/>
    <n v="0"/>
    <n v="0"/>
    <n v="0"/>
    <n v="0"/>
    <n v="0"/>
    <n v="0"/>
    <n v="0"/>
    <n v="0"/>
    <n v="0"/>
    <n v="100"/>
  </r>
  <r>
    <x v="0"/>
    <x v="3"/>
    <s v="TI/IO"/>
    <s v="Carlos Araújo"/>
    <s v="MG/SB"/>
    <s v="ALEXANDRE VAZ DE MELO"/>
    <s v="DGT"/>
    <s v="NA"/>
    <s v="-"/>
    <s v="Upgrade/atualização do software Geo-slope 2012"/>
    <s v="Upgrade Software Geo-slope"/>
    <s v="Falha grave no software que pode acarretar a perda de controle do monitoramento da Segurança em Barragens das usinas da Cemig"/>
    <s v="-"/>
    <n v="0"/>
    <n v="0"/>
    <n v="0"/>
    <n v="0"/>
    <n v="0"/>
    <n v="0"/>
    <n v="0"/>
    <n v="0"/>
    <n v="0"/>
    <n v="0"/>
    <n v="0"/>
    <n v="0"/>
    <n v="0"/>
    <n v="0"/>
    <n v="0"/>
    <n v="0"/>
    <n v="0"/>
    <n v="0"/>
    <n v="0"/>
    <n v="0"/>
    <n v="0"/>
    <n v="0"/>
    <n v="0"/>
    <n v="0"/>
    <n v="35"/>
    <n v="0"/>
    <n v="0"/>
    <n v="0"/>
    <n v="0"/>
    <n v="0"/>
    <n v="0"/>
    <n v="35"/>
    <n v="0"/>
    <n v="0"/>
    <n v="0"/>
    <n v="0"/>
    <n v="0"/>
    <n v="0"/>
    <n v="0"/>
    <n v="0"/>
    <n v="0"/>
    <n v="0"/>
    <n v="0"/>
    <n v="0"/>
    <n v="0"/>
    <n v="0"/>
    <n v="0"/>
    <n v="0"/>
    <n v="0"/>
    <n v="0"/>
    <n v="0"/>
    <n v="0"/>
    <n v="0"/>
    <n v="0"/>
    <n v="0"/>
    <n v="0"/>
    <n v="0"/>
    <n v="0"/>
    <n v="35"/>
  </r>
  <r>
    <x v="0"/>
    <x v="3"/>
    <s v="TI/IO"/>
    <s v="Carlos Araújo"/>
    <s v="MG/CT"/>
    <s v="Elisete Dias Costa Miranda"/>
    <s v="DGT"/>
    <s v="TI04918"/>
    <s v="TINV.18.G.045.SE"/>
    <s v="Aquisição Pacote Software Elipse (GLE-INV-PPE-Aq-software-ElipseE3Studio)"/>
    <s v="Descrição: MG/LE: Aquisição de (1) software supervisório Elipse E3 Studio com chave de engenharia._x000a_"/>
    <s v="OBS: Já autorizado na CRCA 085/2016 - Revisão de macro projetos ciclo 2014/2018_x000a_Deficiência no atendimento à situações de falha em sistemas supervisórios de operação de usinas, com interferência negativa na comunicação de dados operativos relacionados à teleassistência de usinas pelo COS-CEMIG, e COR-ONS._x000a_Penalização por parte de orgão regulador."/>
    <s v="Revisão do valor em virtude do balizamento de preços."/>
    <m/>
    <n v="0"/>
    <n v="0"/>
    <n v="0"/>
    <n v="32.383310000000002"/>
    <n v="32.383310000000002"/>
    <n v="0"/>
    <n v="0"/>
    <n v="0"/>
    <n v="0"/>
    <n v="0"/>
    <n v="0"/>
    <n v="0"/>
    <n v="0"/>
    <n v="0"/>
    <n v="0"/>
    <n v="0"/>
    <n v="0"/>
    <n v="0"/>
    <n v="0"/>
    <n v="0"/>
    <n v="0"/>
    <n v="0"/>
    <n v="0"/>
    <n v="0"/>
    <n v="0"/>
    <n v="0"/>
    <n v="0"/>
    <n v="0"/>
    <n v="0"/>
    <n v="0"/>
    <n v="0"/>
    <n v="0"/>
    <n v="0"/>
    <n v="0"/>
    <n v="0"/>
    <n v="0"/>
    <n v="0"/>
    <n v="0"/>
    <n v="0"/>
    <n v="0"/>
    <n v="0"/>
    <n v="0"/>
    <n v="0"/>
    <n v="0"/>
    <n v="0"/>
    <n v="0"/>
    <n v="0"/>
    <n v="0"/>
    <n v="0"/>
    <n v="0"/>
    <n v="0"/>
    <n v="0"/>
    <n v="0"/>
    <n v="0"/>
    <n v="0"/>
    <n v="0"/>
    <n v="0"/>
    <n v="32.383310000000002"/>
  </r>
  <r>
    <x v="0"/>
    <x v="3"/>
    <s v="TI/IO"/>
    <s v="Carlos Araújo"/>
    <s v="MG/CT"/>
    <s v="Elisete Dias Costa Miranda"/>
    <s v="DGT"/>
    <s v="TI04818"/>
    <s v="TINV.18.G.045.LH"/>
    <s v="Licença do software Logic Linx Hardkey"/>
    <s v="Aquisição de Licença do Software Logic Linx para a UHE Nova Ponte, visando repor equipamento danificado."/>
    <s v="Impossibilidade de intervenção nos equipamentos em caso de necessidade, gerando atraso na execução de serviços na UHE Nova Ponte; Falha no diagnostico e priorização de investimentos em equipamentos da geração, podendo levar a indisponibilidade operativa e consequente perda de receita da geração."/>
    <s v="Revisão do valor em virtude do balizamento de preços."/>
    <n v="0"/>
    <n v="27.390999999999998"/>
    <n v="0"/>
    <n v="0"/>
    <n v="0"/>
    <n v="27.390999999999998"/>
    <n v="0"/>
    <n v="0"/>
    <n v="0"/>
    <n v="0"/>
    <n v="0"/>
    <n v="0"/>
    <n v="0"/>
    <n v="0"/>
    <n v="0"/>
    <n v="0"/>
    <n v="0"/>
    <n v="0"/>
    <n v="0"/>
    <n v="0"/>
    <n v="0"/>
    <n v="0"/>
    <n v="0"/>
    <n v="0"/>
    <n v="0"/>
    <n v="0"/>
    <n v="0"/>
    <n v="0"/>
    <n v="0"/>
    <n v="0"/>
    <n v="0"/>
    <n v="0"/>
    <n v="0"/>
    <n v="0"/>
    <n v="0"/>
    <n v="0"/>
    <n v="0"/>
    <n v="0"/>
    <n v="0"/>
    <n v="0"/>
    <n v="0"/>
    <n v="0"/>
    <n v="0"/>
    <n v="0"/>
    <n v="0"/>
    <n v="0"/>
    <n v="0"/>
    <n v="0"/>
    <n v="0"/>
    <n v="0"/>
    <n v="0"/>
    <n v="0"/>
    <n v="0"/>
    <n v="0"/>
    <n v="0"/>
    <n v="0"/>
    <n v="0"/>
    <n v="0"/>
    <n v="27.390999999999998"/>
  </r>
  <r>
    <x v="0"/>
    <x v="4"/>
    <s v="SC"/>
    <s v="Ormindo Coutinho Filho"/>
    <s v="SC"/>
    <s v="Ormindo Coutinho Filho"/>
    <s v="DGE"/>
    <s v="NA"/>
    <m/>
    <s v="Substituição de Veículos da Diretoria Executiva - Geração"/>
    <s v="Renovação da frota de veículos da Diretoria Executiva - Gera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m/>
    <m/>
    <m/>
    <m/>
    <m/>
    <n v="0"/>
    <m/>
    <m/>
    <m/>
    <m/>
    <m/>
    <m/>
    <n v="102.5"/>
    <m/>
    <m/>
    <m/>
    <m/>
    <m/>
    <n v="102.5"/>
    <m/>
    <m/>
    <m/>
    <m/>
    <m/>
    <m/>
    <m/>
    <m/>
    <m/>
    <m/>
    <m/>
    <m/>
    <n v="0"/>
    <m/>
    <m/>
    <m/>
    <m/>
    <m/>
    <m/>
    <m/>
    <m/>
    <m/>
    <m/>
    <m/>
    <m/>
    <n v="0"/>
    <m/>
    <m/>
    <m/>
    <m/>
    <m/>
    <m/>
    <m/>
    <m/>
    <m/>
    <m/>
    <m/>
    <m/>
    <n v="0"/>
    <n v="102.5"/>
  </r>
  <r>
    <x v="0"/>
    <x v="5"/>
    <s v="PO/MG"/>
    <s v="Jeferson"/>
    <s v="PO/MG"/>
    <s v="Jeferson"/>
    <s v="DGT"/>
    <s v="NA"/>
    <m/>
    <s v="Usinas - Aquisição de Coletor analisador portátil de dados de vibração para a PO/MG"/>
    <s v="Coletor e analisador de dados portatil"/>
    <s v="Falha no diagnostico de equipamentos podendo levar a indisponibilidade operativa e consequente perda de receita da geração"/>
    <m/>
    <m/>
    <m/>
    <m/>
    <m/>
    <m/>
    <n v="0"/>
    <m/>
    <m/>
    <m/>
    <m/>
    <m/>
    <m/>
    <m/>
    <m/>
    <m/>
    <m/>
    <m/>
    <m/>
    <n v="0"/>
    <n v="0"/>
    <n v="0"/>
    <n v="0"/>
    <n v="0"/>
    <n v="0"/>
    <n v="0"/>
    <n v="0"/>
    <n v="0"/>
    <n v="0"/>
    <n v="0"/>
    <n v="0"/>
    <n v="0"/>
    <n v="0"/>
    <n v="0"/>
    <n v="0"/>
    <n v="0"/>
    <n v="0"/>
    <n v="0"/>
    <n v="0"/>
    <n v="0"/>
    <n v="0"/>
    <n v="400"/>
    <n v="0"/>
    <n v="0"/>
    <n v="0"/>
    <n v="400"/>
    <n v="0"/>
    <n v="0"/>
    <n v="0"/>
    <n v="0"/>
    <n v="0"/>
    <n v="0"/>
    <n v="0"/>
    <n v="0"/>
    <n v="0"/>
    <n v="0"/>
    <n v="0"/>
    <n v="0"/>
    <n v="0"/>
    <n v="400"/>
  </r>
  <r>
    <x v="0"/>
    <x v="5"/>
    <s v="PO/MG"/>
    <s v="Marcos Augusto - 34-3088-4901"/>
    <s v="PO/MG"/>
    <s v="Marcos Augusto - 34-3088-4901"/>
    <s v="DGT"/>
    <s v="NA"/>
    <m/>
    <s v="Ferramentas Geração 2019 - 2022"/>
    <s v="Ferramentas Geração "/>
    <s v="Falha no processo de execução da manutenção por falta de dispositivos e ferramentas, podendo levar a indisponibilidade operativa e consequente perda de receita da geração"/>
    <m/>
    <m/>
    <m/>
    <m/>
    <m/>
    <m/>
    <n v="0"/>
    <m/>
    <m/>
    <m/>
    <m/>
    <m/>
    <n v="30"/>
    <m/>
    <m/>
    <m/>
    <m/>
    <m/>
    <m/>
    <n v="30"/>
    <n v="0"/>
    <n v="0"/>
    <n v="0"/>
    <n v="0"/>
    <n v="0"/>
    <n v="0"/>
    <n v="0"/>
    <n v="289"/>
    <n v="0"/>
    <n v="0"/>
    <n v="0"/>
    <n v="0"/>
    <n v="289"/>
    <n v="0"/>
    <n v="0"/>
    <n v="0"/>
    <n v="0"/>
    <n v="0"/>
    <n v="0"/>
    <n v="0"/>
    <n v="0"/>
    <n v="0"/>
    <n v="0"/>
    <n v="0"/>
    <n v="0"/>
    <n v="0"/>
    <n v="0"/>
    <n v="0"/>
    <n v="0"/>
    <n v="0"/>
    <n v="0"/>
    <n v="0"/>
    <n v="0"/>
    <n v="0"/>
    <n v="0"/>
    <n v="0"/>
    <n v="0"/>
    <n v="0"/>
    <n v="0"/>
    <n v="319"/>
  </r>
  <r>
    <x v="0"/>
    <x v="5"/>
    <s v="PO/MG"/>
    <s v="Jeferson"/>
    <s v="PO/MG"/>
    <s v="Jeferson"/>
    <s v="DGT"/>
    <s v="PO00118"/>
    <s v="INGT/18/FER/POMG"/>
    <s v="Ferramentas diversas para PO/MG"/>
    <s v="Aquisição de Acelerômetros contendo base magnéticas e cabos - PO/MG_x000a_Aquisição de Sensores de proximidade - PO/MG_x000a_PO00118Aquisição de Sensores de pressão - PO/MG_x000a_Aquisição de Fieldlogger_x000a_Aquisição de transdutores de deslocamento_x000a_Aquisição de transdutores lineares_x000a_Bomba Pressão 0/700 Bar - PO/MG"/>
    <m/>
    <m/>
    <n v="88.91908073425293"/>
    <m/>
    <n v="31.31796932220459"/>
    <n v="57.949951171875"/>
    <n v="90.812998771667196"/>
    <n v="268.99999999999972"/>
    <m/>
    <m/>
    <m/>
    <m/>
    <m/>
    <m/>
    <m/>
    <m/>
    <m/>
    <m/>
    <m/>
    <m/>
    <n v="0"/>
    <m/>
    <m/>
    <m/>
    <m/>
    <m/>
    <m/>
    <m/>
    <m/>
    <m/>
    <m/>
    <m/>
    <m/>
    <n v="0"/>
    <m/>
    <m/>
    <m/>
    <m/>
    <m/>
    <m/>
    <m/>
    <m/>
    <m/>
    <m/>
    <m/>
    <m/>
    <n v="0"/>
    <m/>
    <m/>
    <m/>
    <m/>
    <m/>
    <m/>
    <m/>
    <m/>
    <m/>
    <m/>
    <m/>
    <m/>
    <n v="0"/>
    <n v="268.99999999999972"/>
  </r>
  <r>
    <x v="0"/>
    <x v="5"/>
    <s v="PO/MG"/>
    <s v="Jeferson"/>
    <s v="PO/MG"/>
    <s v="Jeferson"/>
    <s v="DGT"/>
    <s v="NA"/>
    <m/>
    <s v="Usinas - Aquisitor de dados multicanal para análise de parâmetros dinâmicos de unidades geradoras"/>
    <s v="Aquisitor de dados multicanal"/>
    <s v="Falha no diagnostico de equipamentos podendo levar a indisponibilidade operativa e consequente perda de receita da geração"/>
    <m/>
    <m/>
    <m/>
    <m/>
    <m/>
    <m/>
    <n v="0"/>
    <m/>
    <m/>
    <m/>
    <m/>
    <m/>
    <m/>
    <m/>
    <m/>
    <m/>
    <m/>
    <m/>
    <m/>
    <n v="0"/>
    <n v="0"/>
    <n v="0"/>
    <n v="0"/>
    <n v="0"/>
    <n v="0"/>
    <n v="0"/>
    <n v="190"/>
    <n v="0"/>
    <n v="0"/>
    <n v="0"/>
    <n v="0"/>
    <n v="0"/>
    <n v="190"/>
    <n v="0"/>
    <n v="0"/>
    <n v="0"/>
    <n v="0"/>
    <n v="0"/>
    <n v="0"/>
    <n v="0"/>
    <n v="0"/>
    <n v="0"/>
    <n v="0"/>
    <n v="0"/>
    <n v="0"/>
    <n v="0"/>
    <n v="0"/>
    <n v="0"/>
    <n v="0"/>
    <n v="0"/>
    <n v="0"/>
    <n v="0"/>
    <n v="0"/>
    <n v="0"/>
    <n v="0"/>
    <n v="0"/>
    <n v="0"/>
    <n v="0"/>
    <n v="0"/>
    <n v="190"/>
  </r>
  <r>
    <x v="0"/>
    <x v="5"/>
    <s v="MG/LE"/>
    <s v="Leonardo Victoretti  _x000a_SIT-944 351"/>
    <s v="MG/LE"/>
    <s v="Leonardo Victoretti  _x000a_SIT-944 351"/>
    <s v="DGT"/>
    <s v="MG50118"/>
    <s v="INFR.136.03918"/>
    <s v="Aquisição de Ferramentas para a MG"/>
    <s v="Ver guia Junção de Projetos"/>
    <m/>
    <m/>
    <n v="0"/>
    <n v="0"/>
    <n v="0"/>
    <n v="0"/>
    <n v="0"/>
    <n v="0"/>
    <n v="0"/>
    <n v="0"/>
    <n v="412.91641142857134"/>
    <n v="0"/>
    <n v="0"/>
    <m/>
    <m/>
    <m/>
    <m/>
    <m/>
    <m/>
    <m/>
    <n v="412.91641142857134"/>
    <n v="0"/>
    <n v="0"/>
    <n v="0"/>
    <n v="0"/>
    <n v="0"/>
    <n v="0"/>
    <n v="0"/>
    <n v="0"/>
    <n v="0"/>
    <n v="0"/>
    <n v="0"/>
    <n v="0"/>
    <n v="0"/>
    <n v="0"/>
    <n v="0"/>
    <n v="0"/>
    <n v="0"/>
    <n v="0"/>
    <n v="0"/>
    <n v="0"/>
    <n v="0"/>
    <n v="0"/>
    <n v="0"/>
    <n v="0"/>
    <n v="0"/>
    <n v="0"/>
    <n v="0"/>
    <n v="0"/>
    <n v="0"/>
    <n v="0"/>
    <n v="0"/>
    <n v="0"/>
    <n v="0"/>
    <n v="0"/>
    <n v="0"/>
    <n v="0"/>
    <n v="0"/>
    <n v="0"/>
    <n v="0"/>
    <n v="412.91641142857134"/>
  </r>
  <r>
    <x v="0"/>
    <x v="5"/>
    <s v="MG/UT"/>
    <s v="Diego Thadeu 31-3535-7617"/>
    <s v="MG/UT"/>
    <s v="Diego Thadeu 31-3535-7617"/>
    <s v="DGT"/>
    <s v="NA"/>
    <m/>
    <s v="Aquisição de 02 Notebooks UTIG"/>
    <s v="Modernização de notebooks já existentes"/>
    <s v="Maior tempo para retorno das unidades geradoras que depende de equipamentos eletronicos que necessitam de notebooks para diagnosticos e manutenção"/>
    <m/>
    <m/>
    <m/>
    <m/>
    <m/>
    <m/>
    <n v="0"/>
    <m/>
    <m/>
    <m/>
    <m/>
    <m/>
    <m/>
    <m/>
    <m/>
    <m/>
    <m/>
    <m/>
    <m/>
    <n v="0"/>
    <m/>
    <m/>
    <m/>
    <m/>
    <m/>
    <m/>
    <m/>
    <m/>
    <m/>
    <n v="5"/>
    <m/>
    <m/>
    <n v="5"/>
    <m/>
    <m/>
    <m/>
    <m/>
    <m/>
    <m/>
    <m/>
    <m/>
    <m/>
    <n v="5"/>
    <m/>
    <m/>
    <n v="5"/>
    <m/>
    <m/>
    <m/>
    <m/>
    <m/>
    <m/>
    <m/>
    <m/>
    <m/>
    <m/>
    <m/>
    <m/>
    <n v="0"/>
    <n v="10"/>
  </r>
  <r>
    <x v="0"/>
    <x v="5"/>
    <s v="MG/SB"/>
    <s v="Pedro Alberto"/>
    <s v="MG/SB"/>
    <s v="Pedro Alberto"/>
    <s v="DGT"/>
    <s v="MG00318"/>
    <s v="INGC/18/FERR/MGCT"/>
    <s v="Ferramentas Cemig GT MG 2018"/>
    <s v="Sistema Inspetor - Manutenção rotineira e evoluções periódicas - Implantação de inspeção informatizada utilizando PDAs associados a GPS - MG/SB_x000a_Aquisição de 01 Deareador - MG/SB_x000a_Aquisição de 01 bússola - MG/SB_x000a_Aquisição de 01 Drone - MG/SB"/>
    <m/>
    <m/>
    <n v="10.290000200271606"/>
    <m/>
    <m/>
    <n v="67"/>
    <m/>
    <n v="77.290000200271606"/>
    <m/>
    <m/>
    <m/>
    <m/>
    <m/>
    <m/>
    <n v="93.710002294845495"/>
    <m/>
    <m/>
    <m/>
    <m/>
    <m/>
    <n v="93.710002294845495"/>
    <m/>
    <m/>
    <m/>
    <m/>
    <m/>
    <m/>
    <m/>
    <m/>
    <m/>
    <m/>
    <m/>
    <m/>
    <n v="0"/>
    <m/>
    <m/>
    <m/>
    <m/>
    <m/>
    <m/>
    <m/>
    <m/>
    <m/>
    <m/>
    <m/>
    <m/>
    <n v="0"/>
    <m/>
    <m/>
    <m/>
    <m/>
    <m/>
    <m/>
    <m/>
    <m/>
    <m/>
    <m/>
    <m/>
    <m/>
    <n v="0"/>
    <n v="171.00000249511709"/>
  </r>
  <r>
    <x v="0"/>
    <x v="5"/>
    <s v="MG/TR"/>
    <s v="Marcos Augusto - 34-3088-4901"/>
    <s v="MG/TR"/>
    <s v="Marcos Augusto - 34-3088-4901"/>
    <s v="DGT"/>
    <s v="NA"/>
    <m/>
    <s v="Aquisição de ferramentas e equipamentos "/>
    <s v="Aquisição de ferramentas e equipamentos para atendimento a manutenção das usinas da MG/TA."/>
    <s v="Indisponibilidade de unidades geradoras devido a não termos ferramentas e equipamentos adequados para testes e reparo. Ademais podem ocorrer falhas provenientes de intervenções realizadas de forma equivocada devido a ferramentas e equipamentos com defeito ou desajustado."/>
    <m/>
    <m/>
    <m/>
    <m/>
    <m/>
    <m/>
    <n v="0"/>
    <m/>
    <m/>
    <m/>
    <m/>
    <m/>
    <m/>
    <m/>
    <m/>
    <m/>
    <m/>
    <m/>
    <m/>
    <n v="0"/>
    <m/>
    <m/>
    <m/>
    <m/>
    <m/>
    <m/>
    <m/>
    <m/>
    <m/>
    <m/>
    <m/>
    <n v="50"/>
    <n v="50"/>
    <m/>
    <m/>
    <m/>
    <m/>
    <m/>
    <m/>
    <m/>
    <m/>
    <m/>
    <m/>
    <m/>
    <n v="63"/>
    <n v="63"/>
    <m/>
    <m/>
    <m/>
    <m/>
    <m/>
    <m/>
    <m/>
    <m/>
    <m/>
    <m/>
    <m/>
    <n v="50"/>
    <n v="50"/>
    <n v="163"/>
  </r>
  <r>
    <x v="0"/>
    <x v="5"/>
    <s v="MG/LE"/>
    <s v="Leonardo Victoretti  _x000a_SIT-944 351"/>
    <s v="MG/LE"/>
    <s v="Leonardo Victoretti  _x000a_SIT-944 351"/>
    <s v="DGT"/>
    <s v="NA"/>
    <m/>
    <s v="GLE-INV-PPE-Aq-Eqp-Aquis-dado-multicanal"/>
    <s v="Descrição: MG/LE: Aquisição de (1) Aquisitor de dados multicanal para análise de parâmetros dinâmicos de unidades geradoras._x000a_Referência: Linx"/>
    <s v="Deficiência no atendimento à demandas de execução de manutenção dos ativos da geração. _x000a_Elevação de índices de indisponibilidade operativa de usinas. _x000a_Penalização por parte de orgão regulador."/>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17"/>
    <n v="117"/>
    <n v="117"/>
  </r>
  <r>
    <x v="0"/>
    <x v="5"/>
    <s v="PO/MG"/>
    <s v="Jeferson"/>
    <s v="PO/MG"/>
    <s v="Jeferson"/>
    <s v="DGT"/>
    <s v="PO00117"/>
    <s v="INGT/17/781/POMG"/>
    <s v="Usinas - Aquisição de Instrumentação para análise preditiva nas usinas do grupo CEMIG, composta por sensores de proximidade, sensor de pressão, acelerômetros, base magnética e cabos, conforme conjuntos ou kits específicos que serão cadastrados na MS."/>
    <s v="Kit de diagnostico de analise preditiva"/>
    <s v="Falha no diagnostico de equipamentos podendo levar a indisponibilidade operativa e consequente perda de receita da geração"/>
    <m/>
    <m/>
    <m/>
    <m/>
    <n v="74"/>
    <m/>
    <n v="74"/>
    <m/>
    <m/>
    <m/>
    <m/>
    <m/>
    <m/>
    <m/>
    <m/>
    <m/>
    <m/>
    <m/>
    <m/>
    <n v="0"/>
    <n v="0"/>
    <n v="0"/>
    <n v="0"/>
    <n v="0"/>
    <n v="0"/>
    <n v="0"/>
    <n v="0"/>
    <n v="0"/>
    <m/>
    <n v="0"/>
    <n v="0"/>
    <n v="0"/>
    <n v="0"/>
    <n v="0"/>
    <n v="0"/>
    <n v="0"/>
    <n v="0"/>
    <n v="0"/>
    <n v="0"/>
    <n v="0"/>
    <n v="0"/>
    <n v="0"/>
    <n v="0"/>
    <n v="0"/>
    <n v="0"/>
    <n v="0"/>
    <n v="0"/>
    <n v="0"/>
    <n v="0"/>
    <n v="0"/>
    <n v="0"/>
    <n v="0"/>
    <n v="0"/>
    <n v="0"/>
    <n v="0"/>
    <n v="0"/>
    <n v="0"/>
    <n v="0"/>
    <n v="0"/>
    <n v="74"/>
  </r>
  <r>
    <x v="0"/>
    <x v="5"/>
    <s v="PO/MG"/>
    <s v="Jeferson"/>
    <s v="PO/MG"/>
    <s v="Jeferson"/>
    <s v="DGT"/>
    <s v="NA"/>
    <m/>
    <s v="Usinas - Aquisição de Sensor de rotação"/>
    <s v="Sensor de rotação"/>
    <s v="Falha no diagnostico de equipamentos podendo levar a indisponibilidade operativa e consequente perda de receita da geração"/>
    <m/>
    <m/>
    <m/>
    <m/>
    <m/>
    <m/>
    <n v="0"/>
    <m/>
    <m/>
    <m/>
    <m/>
    <m/>
    <m/>
    <m/>
    <m/>
    <m/>
    <n v="25"/>
    <m/>
    <m/>
    <n v="25"/>
    <n v="0"/>
    <n v="0"/>
    <n v="0"/>
    <n v="0"/>
    <n v="0"/>
    <n v="0"/>
    <n v="0"/>
    <n v="0"/>
    <n v="0"/>
    <n v="0"/>
    <n v="0"/>
    <n v="0"/>
    <n v="0"/>
    <n v="0"/>
    <n v="0"/>
    <n v="0"/>
    <n v="0"/>
    <n v="0"/>
    <n v="0"/>
    <n v="0"/>
    <n v="0"/>
    <n v="0"/>
    <n v="0"/>
    <n v="0"/>
    <n v="0"/>
    <n v="0"/>
    <n v="0"/>
    <n v="0"/>
    <n v="0"/>
    <n v="0"/>
    <n v="0"/>
    <n v="0"/>
    <n v="0"/>
    <n v="0"/>
    <n v="0"/>
    <n v="30"/>
    <n v="0"/>
    <n v="0"/>
    <n v="30"/>
    <n v="55"/>
  </r>
  <r>
    <x v="0"/>
    <x v="5"/>
    <s v="MG/LE"/>
    <s v="Leonardo Victoretti  _x000a_SIT-944 351"/>
    <s v="MG/LE"/>
    <s v="Leonardo Victoretti  _x000a_SIT-944 351"/>
    <s v="DGT"/>
    <s v="NA"/>
    <m/>
    <s v="GLE-INV-PPE-Aq-Eqp-termovisor-portátil"/>
    <s v="Descrição: MG/LE: Aquisição de (1) Termovisor portátil_x000a_Referência: Flir"/>
    <s v="Deficiência no atendimento à demandas de execução de manutenção dos ativos da geração. _x000a_Elevação de índices de indisponibilidade operativa de usinas. _x000a_Penalização por parte de orgão regulador."/>
    <m/>
    <n v="0"/>
    <n v="0"/>
    <n v="0"/>
    <n v="0"/>
    <n v="0"/>
    <n v="0"/>
    <n v="0"/>
    <n v="0"/>
    <n v="0"/>
    <n v="0"/>
    <n v="0"/>
    <m/>
    <m/>
    <m/>
    <m/>
    <m/>
    <m/>
    <m/>
    <n v="0"/>
    <n v="0"/>
    <n v="0"/>
    <n v="0"/>
    <n v="0"/>
    <n v="0"/>
    <n v="0"/>
    <n v="0"/>
    <n v="0"/>
    <n v="0"/>
    <n v="0"/>
    <n v="0"/>
    <n v="0"/>
    <n v="0"/>
    <n v="0"/>
    <n v="0"/>
    <n v="0"/>
    <n v="0"/>
    <n v="0"/>
    <n v="0"/>
    <n v="0"/>
    <n v="0"/>
    <n v="0"/>
    <n v="0"/>
    <n v="0"/>
    <n v="30"/>
    <n v="30"/>
    <n v="0"/>
    <n v="0"/>
    <n v="0"/>
    <n v="0"/>
    <n v="0"/>
    <n v="0"/>
    <n v="0"/>
    <n v="0"/>
    <n v="0"/>
    <n v="0"/>
    <n v="0"/>
    <n v="0"/>
    <n v="0"/>
    <n v="30"/>
  </r>
  <r>
    <x v="0"/>
    <x v="5"/>
    <s v="MG/LE"/>
    <s v="Leonardo Victoretti  _x000a_SIT-944 351"/>
    <s v="MG/LE"/>
    <s v="Leonardo Victoretti  _x000a_SIT-944 351"/>
    <s v="DGT"/>
    <s v="NA"/>
    <m/>
    <s v="GLE-INV-PPE-Aq-Eqp-calibr/gerador-sinais"/>
    <s v="Descrição: MG/LE: Aquisição de (1) Calibrador / Gerador de Sinais._x000a_Referência: Presys modelo Isocal mcs-xv"/>
    <s v="Deficiência no atendimento à demandas de execução de manutenção dos ativos da geração. _x000a_Elevação de índices de indisponibilidade operativa de usinas. _x000a_Penalização por parte de orgão regulador."/>
    <m/>
    <n v="0"/>
    <n v="0"/>
    <n v="0"/>
    <n v="0"/>
    <n v="0"/>
    <n v="0"/>
    <n v="0"/>
    <n v="0"/>
    <n v="0"/>
    <n v="0"/>
    <n v="0"/>
    <m/>
    <m/>
    <m/>
    <m/>
    <m/>
    <m/>
    <m/>
    <n v="0"/>
    <n v="0"/>
    <n v="0"/>
    <n v="0"/>
    <n v="0"/>
    <n v="0"/>
    <n v="0"/>
    <n v="0"/>
    <n v="0"/>
    <n v="0"/>
    <n v="0"/>
    <n v="0"/>
    <n v="23"/>
    <n v="23"/>
    <n v="0"/>
    <n v="0"/>
    <n v="0"/>
    <n v="0"/>
    <n v="0"/>
    <n v="0"/>
    <n v="0"/>
    <n v="0"/>
    <n v="0"/>
    <n v="0"/>
    <n v="0"/>
    <n v="0"/>
    <n v="0"/>
    <n v="0"/>
    <n v="0"/>
    <n v="0"/>
    <n v="0"/>
    <n v="0"/>
    <n v="0"/>
    <n v="0"/>
    <n v="0"/>
    <n v="0"/>
    <n v="0"/>
    <n v="0"/>
    <n v="0"/>
    <n v="0"/>
    <n v="23"/>
  </r>
  <r>
    <x v="0"/>
    <x v="5"/>
    <s v="MG/LE"/>
    <s v="Leonardo Victoretti  _x000a_SIT-944 351"/>
    <s v="MG/LE"/>
    <s v="Leonardo Victoretti  _x000a_SIT-944 351"/>
    <s v="DGT"/>
    <s v="NA"/>
    <m/>
    <s v="GLE-INV-PPE-Aq-Eqp-osciloscópio-portátil"/>
    <s v="Descrição: MG/LE: Aquisição de (1) Osciloscópio Portátil, 04 canais, isolados._x000a_Referência: Tektronix"/>
    <s v="Deficiência no atendimento à demandas de execução de manutenção dos ativos da geração. _x000a_Elevação de índices de indisponibilidade operativa de usinas. _x000a_Penalização por parte de orgão regulador."/>
    <m/>
    <n v="0"/>
    <n v="0"/>
    <n v="0"/>
    <n v="0"/>
    <n v="0"/>
    <n v="0"/>
    <n v="0"/>
    <n v="0"/>
    <n v="0"/>
    <n v="0"/>
    <n v="0"/>
    <m/>
    <m/>
    <m/>
    <m/>
    <m/>
    <m/>
    <m/>
    <n v="0"/>
    <n v="0"/>
    <n v="0"/>
    <n v="0"/>
    <n v="0"/>
    <n v="0"/>
    <n v="0"/>
    <n v="0"/>
    <n v="0"/>
    <n v="0"/>
    <n v="0"/>
    <n v="0"/>
    <n v="20"/>
    <n v="20"/>
    <n v="0"/>
    <n v="0"/>
    <n v="0"/>
    <n v="0"/>
    <n v="0"/>
    <n v="0"/>
    <n v="0"/>
    <n v="0"/>
    <n v="0"/>
    <n v="0"/>
    <n v="0"/>
    <n v="0"/>
    <n v="0"/>
    <n v="0"/>
    <n v="0"/>
    <n v="0"/>
    <n v="0"/>
    <n v="0"/>
    <n v="0"/>
    <n v="0"/>
    <n v="0"/>
    <n v="0"/>
    <n v="0"/>
    <n v="0"/>
    <n v="0"/>
    <n v="0"/>
    <n v="20"/>
  </r>
  <r>
    <x v="0"/>
    <x v="5"/>
    <s v="PO/MG"/>
    <s v="Jeferson"/>
    <s v="PO/MG"/>
    <s v="Jeferson"/>
    <s v="DGT"/>
    <s v="NA"/>
    <m/>
    <s v="Usinas - Aquisição de Transdutor de deslocamento diferencial variável linear (LVDT's de comprimentos diversos)"/>
    <s v="LVDT"/>
    <s v="Falha no diagnostico de equipamentos podendo levar a indisponibilidade operativa e consequente perda de receita da geração"/>
    <m/>
    <m/>
    <m/>
    <m/>
    <m/>
    <m/>
    <n v="0"/>
    <m/>
    <m/>
    <m/>
    <m/>
    <m/>
    <m/>
    <m/>
    <m/>
    <m/>
    <n v="16"/>
    <m/>
    <m/>
    <n v="16"/>
    <n v="0"/>
    <n v="0"/>
    <n v="0"/>
    <n v="0"/>
    <n v="0"/>
    <n v="0"/>
    <n v="0"/>
    <n v="0"/>
    <n v="0"/>
    <m/>
    <n v="0"/>
    <n v="0"/>
    <n v="0"/>
    <n v="0"/>
    <n v="0"/>
    <n v="0"/>
    <n v="0"/>
    <n v="0"/>
    <n v="0"/>
    <n v="0"/>
    <n v="0"/>
    <n v="0"/>
    <n v="0"/>
    <n v="0"/>
    <n v="0"/>
    <n v="0"/>
    <n v="0"/>
    <n v="0"/>
    <n v="0"/>
    <n v="0"/>
    <n v="0"/>
    <n v="0"/>
    <n v="0"/>
    <n v="0"/>
    <n v="0"/>
    <n v="0"/>
    <n v="0"/>
    <n v="0"/>
    <n v="0"/>
    <n v="16"/>
  </r>
  <r>
    <x v="0"/>
    <x v="5"/>
    <s v="MG/LE"/>
    <s v="Leonardo Victoretti  _x000a_SIT-944 351"/>
    <s v="MG/LE"/>
    <s v="Leonardo Victoretti  _x000a_SIT-944 351"/>
    <s v="DGT"/>
    <s v="NA"/>
    <m/>
    <s v="GLE-INV-PPE-Aq-Eqp-multímetro-profission"/>
    <s v="Descrição: MG/LE: Aquisição de (5) Multímetros profissionais._x000a_Referência: Fluke"/>
    <s v="Deficiência no atendimento à demandas de execução de manutenção dos ativos da geração. _x000a_"/>
    <m/>
    <n v="0"/>
    <n v="0"/>
    <n v="0"/>
    <n v="0"/>
    <n v="0"/>
    <n v="0"/>
    <n v="0"/>
    <n v="0"/>
    <n v="0"/>
    <n v="0"/>
    <n v="0"/>
    <m/>
    <m/>
    <m/>
    <m/>
    <m/>
    <m/>
    <m/>
    <n v="0"/>
    <n v="0"/>
    <n v="0"/>
    <n v="0"/>
    <n v="0"/>
    <n v="0"/>
    <n v="0"/>
    <n v="0"/>
    <n v="0"/>
    <n v="0"/>
    <n v="0"/>
    <n v="0"/>
    <n v="15"/>
    <n v="15"/>
    <n v="0"/>
    <n v="0"/>
    <n v="0"/>
    <n v="0"/>
    <n v="0"/>
    <n v="0"/>
    <n v="0"/>
    <n v="0"/>
    <n v="0"/>
    <n v="0"/>
    <n v="0"/>
    <n v="0"/>
    <n v="0"/>
    <n v="0"/>
    <n v="0"/>
    <n v="0"/>
    <n v="0"/>
    <n v="0"/>
    <n v="0"/>
    <n v="0"/>
    <n v="0"/>
    <n v="0"/>
    <n v="0"/>
    <n v="0"/>
    <n v="0"/>
    <n v="0"/>
    <n v="15"/>
  </r>
  <r>
    <x v="0"/>
    <x v="5"/>
    <s v="MG/TR"/>
    <s v="Rangel Araújo F Martins"/>
    <s v="MG/TR"/>
    <s v="Rangel Araújo F Martins"/>
    <s v="DGT"/>
    <s v="NA"/>
    <m/>
    <s v="Aquisição de 02 Notebooks - MG/OE"/>
    <s v="Aquisição de 02 Aparelhos Notebooks - MG/OE"/>
    <s v="Impossibilidade de diagnósticos corretos e de ajustes/parametrização de equipamentos eletromecânicos das Usinas."/>
    <m/>
    <m/>
    <m/>
    <m/>
    <m/>
    <m/>
    <n v="0"/>
    <n v="0"/>
    <n v="0"/>
    <n v="0"/>
    <n v="0"/>
    <n v="0"/>
    <m/>
    <m/>
    <m/>
    <m/>
    <m/>
    <m/>
    <m/>
    <n v="0"/>
    <n v="0"/>
    <n v="0"/>
    <n v="0"/>
    <n v="0"/>
    <n v="0"/>
    <n v="0"/>
    <n v="0"/>
    <n v="0"/>
    <n v="0"/>
    <n v="0"/>
    <n v="10.220000000000001"/>
    <n v="0"/>
    <n v="10.220000000000001"/>
    <n v="0"/>
    <n v="0"/>
    <n v="0"/>
    <n v="0"/>
    <n v="0"/>
    <n v="0"/>
    <n v="0"/>
    <n v="0"/>
    <n v="0"/>
    <n v="0"/>
    <n v="0"/>
    <n v="0"/>
    <n v="0"/>
    <n v="0"/>
    <n v="0"/>
    <n v="0"/>
    <n v="0"/>
    <n v="0"/>
    <n v="0"/>
    <n v="0"/>
    <n v="0"/>
    <n v="0"/>
    <n v="0"/>
    <n v="0"/>
    <n v="0"/>
    <n v="0"/>
    <n v="10.220000000000001"/>
  </r>
  <r>
    <x v="0"/>
    <x v="5"/>
    <s v="GE/PC"/>
    <s v="Viviane Fernanda"/>
    <s v="GE/PC"/>
    <s v="Viviane Fernanda"/>
    <s v="DGE"/>
    <s v="NA"/>
    <m/>
    <s v="Saldo 1-3-6 Ferramentas da Geração"/>
    <m/>
    <m/>
    <m/>
    <m/>
    <m/>
    <m/>
    <m/>
    <m/>
    <n v="0"/>
    <m/>
    <m/>
    <m/>
    <m/>
    <m/>
    <m/>
    <n v="5.5905885714285501"/>
    <m/>
    <m/>
    <m/>
    <m/>
    <m/>
    <n v="5.5905885714285501"/>
    <m/>
    <m/>
    <m/>
    <m/>
    <m/>
    <m/>
    <m/>
    <m/>
    <m/>
    <m/>
    <m/>
    <m/>
    <n v="0"/>
    <m/>
    <m/>
    <m/>
    <m/>
    <m/>
    <m/>
    <m/>
    <m/>
    <m/>
    <m/>
    <m/>
    <m/>
    <n v="0"/>
    <m/>
    <m/>
    <m/>
    <m/>
    <m/>
    <m/>
    <m/>
    <m/>
    <m/>
    <m/>
    <m/>
    <m/>
    <n v="0"/>
    <n v="5.5905885714285501"/>
  </r>
  <r>
    <x v="1"/>
    <x v="6"/>
    <s v="MT/LE"/>
    <s v="Joel Máximo Reis"/>
    <s v="MT/LE"/>
    <s v="Joel Máximo Reis"/>
    <s v="DGT"/>
    <s v="NA"/>
    <m/>
    <s v="Construção de 2 muros"/>
    <s v="Construção de 2 muros: SE Mesquita e Taquaril"/>
    <s v="Risco de acidentes com a população, vandalismo, invasões e roubos na instalação"/>
    <m/>
    <m/>
    <m/>
    <m/>
    <m/>
    <m/>
    <n v="0"/>
    <m/>
    <m/>
    <n v="268.53983000000017"/>
    <m/>
    <m/>
    <m/>
    <m/>
    <m/>
    <m/>
    <m/>
    <m/>
    <m/>
    <n v="268.53983000000017"/>
    <m/>
    <m/>
    <n v="131.46016999999981"/>
    <m/>
    <m/>
    <m/>
    <m/>
    <m/>
    <m/>
    <m/>
    <m/>
    <m/>
    <n v="131.46016999999981"/>
    <m/>
    <m/>
    <m/>
    <m/>
    <n v="400"/>
    <m/>
    <m/>
    <m/>
    <m/>
    <m/>
    <m/>
    <m/>
    <n v="400"/>
    <m/>
    <m/>
    <m/>
    <m/>
    <m/>
    <m/>
    <m/>
    <m/>
    <m/>
    <m/>
    <m/>
    <m/>
    <n v="0"/>
    <n v="800"/>
  </r>
  <r>
    <x v="1"/>
    <x v="6"/>
    <s v="SC"/>
    <s v="Flávio Henrique Silva Rosário"/>
    <s v="SC"/>
    <s v="Flávio Henrique Silva Rosário"/>
    <s v="DGE"/>
    <s v="SC01418"/>
    <m/>
    <s v="AR - P21 - Execução de 2 Muros de Arrimo"/>
    <s v="Obra de estabilização de 02 taludes ao lado das escadas entre o prédio 20 e 21 do Anel Rodoviário"/>
    <s v="Tombamento do muro; acidente com empregados e terceiros; danificar ativos da Cemig; deslizamento de solo"/>
    <m/>
    <m/>
    <m/>
    <m/>
    <m/>
    <m/>
    <n v="0"/>
    <m/>
    <m/>
    <m/>
    <m/>
    <m/>
    <m/>
    <m/>
    <n v="320"/>
    <m/>
    <m/>
    <m/>
    <m/>
    <n v="320"/>
    <m/>
    <m/>
    <m/>
    <m/>
    <m/>
    <m/>
    <m/>
    <m/>
    <m/>
    <m/>
    <m/>
    <m/>
    <n v="0"/>
    <m/>
    <m/>
    <m/>
    <m/>
    <m/>
    <m/>
    <m/>
    <m/>
    <m/>
    <m/>
    <m/>
    <m/>
    <n v="0"/>
    <m/>
    <m/>
    <m/>
    <m/>
    <m/>
    <m/>
    <m/>
    <m/>
    <m/>
    <m/>
    <m/>
    <m/>
    <n v="0"/>
    <n v="320"/>
  </r>
  <r>
    <x v="1"/>
    <x v="6"/>
    <s v="SC"/>
    <s v="Flávio Henrique Silva Rosário"/>
    <s v="SC"/>
    <s v="Flávio Henrique Silva Rosário"/>
    <s v="DGE"/>
    <s v="NA"/>
    <m/>
    <s v="AR - Construção de muro de arrimo, passeio e sistema de drenagem"/>
    <s v="Contratação de projetos executivos e construção de muro de arrimo, sistema de drenagem e passeio externo no estacionamento adjascente ao P21 no AR"/>
    <s v="Tombamento do muro de toras de madeira, podendo ocasionar danos materiais e acidentes de trabalho."/>
    <m/>
    <m/>
    <m/>
    <m/>
    <m/>
    <m/>
    <n v="0"/>
    <m/>
    <m/>
    <m/>
    <m/>
    <m/>
    <m/>
    <m/>
    <m/>
    <m/>
    <m/>
    <m/>
    <m/>
    <n v="0"/>
    <m/>
    <m/>
    <m/>
    <m/>
    <m/>
    <m/>
    <m/>
    <m/>
    <m/>
    <m/>
    <m/>
    <m/>
    <n v="0"/>
    <m/>
    <m/>
    <m/>
    <n v="5"/>
    <n v="14"/>
    <n v="65"/>
    <n v="75"/>
    <n v="87"/>
    <n v="49"/>
    <m/>
    <m/>
    <m/>
    <n v="295"/>
    <m/>
    <m/>
    <m/>
    <m/>
    <m/>
    <m/>
    <m/>
    <m/>
    <m/>
    <m/>
    <m/>
    <m/>
    <n v="0"/>
    <n v="295"/>
  </r>
  <r>
    <x v="1"/>
    <x v="6"/>
    <s v="MT/TA"/>
    <s v="Joel Máximo Reis"/>
    <s v="MT/TA"/>
    <s v="Joel Máximo Reis"/>
    <s v="DGT"/>
    <s v="NA"/>
    <m/>
    <s v="Construção de 2 abrigos para resíduos perigosos e inflamáveis"/>
    <s v="Construção de 2 abrigos para resíduos perigosos e inflamáveis na SE Emborcação"/>
    <s v="Perda do AVCB, multas ambientais, contaminação de solo"/>
    <m/>
    <m/>
    <m/>
    <m/>
    <m/>
    <m/>
    <n v="0"/>
    <m/>
    <m/>
    <m/>
    <m/>
    <m/>
    <m/>
    <n v="60"/>
    <m/>
    <m/>
    <m/>
    <m/>
    <m/>
    <n v="60"/>
    <m/>
    <m/>
    <n v="60"/>
    <m/>
    <m/>
    <m/>
    <m/>
    <m/>
    <m/>
    <m/>
    <m/>
    <m/>
    <n v="60"/>
    <m/>
    <m/>
    <m/>
    <m/>
    <m/>
    <m/>
    <m/>
    <m/>
    <m/>
    <m/>
    <m/>
    <m/>
    <n v="0"/>
    <m/>
    <m/>
    <m/>
    <m/>
    <m/>
    <m/>
    <m/>
    <m/>
    <m/>
    <m/>
    <m/>
    <m/>
    <n v="0"/>
    <n v="120"/>
  </r>
  <r>
    <x v="1"/>
    <x v="6"/>
    <s v="MT/CN MT/TA"/>
    <s v="Joel Máximo Reis"/>
    <s v="MT/CN MT/TA"/>
    <s v="Joel Máximo Reis"/>
    <s v="DGT"/>
    <s v="NA"/>
    <m/>
    <s v="Substituição de aparelhos de ar condicionado"/>
    <s v="Substituição de aparelhos de ar condicionado"/>
    <s v="Ruído elevado, calor excessivo no ambiente de trabalho, prejudicando o desempenho dos empregados._x000a_Risco de falha e danos nos equipamentos digitais por alta temperatura e condiçoes ergonômicas desfavoráveis, baixa qualidade do ar, desconforto térmico."/>
    <m/>
    <m/>
    <m/>
    <m/>
    <m/>
    <m/>
    <n v="0"/>
    <m/>
    <m/>
    <m/>
    <m/>
    <m/>
    <m/>
    <m/>
    <m/>
    <m/>
    <m/>
    <m/>
    <m/>
    <n v="0"/>
    <m/>
    <m/>
    <m/>
    <m/>
    <m/>
    <m/>
    <m/>
    <m/>
    <m/>
    <m/>
    <m/>
    <m/>
    <n v="0"/>
    <m/>
    <m/>
    <m/>
    <m/>
    <n v="100"/>
    <m/>
    <m/>
    <m/>
    <m/>
    <m/>
    <m/>
    <m/>
    <n v="100"/>
    <m/>
    <m/>
    <m/>
    <m/>
    <m/>
    <m/>
    <m/>
    <m/>
    <m/>
    <m/>
    <m/>
    <m/>
    <n v="0"/>
    <n v="100"/>
  </r>
  <r>
    <x v="1"/>
    <x v="6"/>
    <s v="MT/TA"/>
    <s v="Joel Máximo Reis"/>
    <s v="MT/TA"/>
    <s v="Joel Máximo Reis"/>
    <s v="DGT"/>
    <s v="NA"/>
    <m/>
    <s v="Perfuração de um novo Poço artesiano"/>
    <s v="Perfuração de um novo Poço artesiano"/>
    <s v="Faltar água na SE São Gotardo 2."/>
    <m/>
    <m/>
    <m/>
    <m/>
    <m/>
    <m/>
    <n v="0"/>
    <m/>
    <m/>
    <n v="70"/>
    <m/>
    <m/>
    <m/>
    <m/>
    <m/>
    <m/>
    <m/>
    <m/>
    <m/>
    <n v="70"/>
    <m/>
    <m/>
    <m/>
    <m/>
    <m/>
    <m/>
    <m/>
    <m/>
    <m/>
    <m/>
    <m/>
    <m/>
    <n v="0"/>
    <m/>
    <m/>
    <m/>
    <m/>
    <m/>
    <m/>
    <m/>
    <m/>
    <m/>
    <m/>
    <m/>
    <m/>
    <n v="0"/>
    <m/>
    <m/>
    <m/>
    <m/>
    <m/>
    <m/>
    <m/>
    <m/>
    <m/>
    <m/>
    <m/>
    <m/>
    <n v="0"/>
    <n v="70"/>
  </r>
  <r>
    <x v="1"/>
    <x v="6"/>
    <s v="MT/TA"/>
    <s v="Joel Máximo Reis"/>
    <s v="MT/TA"/>
    <s v="Joel Máximo Reis"/>
    <s v="DGT"/>
    <s v="NA"/>
    <m/>
    <s v="Construção de ferramentaria"/>
    <s v="Construção de ferramentaria para EMLT Ituiutaba"/>
    <s v="Danos ao ferramental da equipe devido ao mal acondicionamento e riscos de lesões devido à posturas inadequadas"/>
    <m/>
    <m/>
    <m/>
    <m/>
    <m/>
    <m/>
    <n v="0"/>
    <m/>
    <m/>
    <m/>
    <m/>
    <m/>
    <m/>
    <m/>
    <m/>
    <m/>
    <m/>
    <m/>
    <m/>
    <n v="0"/>
    <m/>
    <m/>
    <m/>
    <m/>
    <m/>
    <m/>
    <m/>
    <m/>
    <m/>
    <m/>
    <m/>
    <m/>
    <n v="0"/>
    <m/>
    <m/>
    <m/>
    <m/>
    <m/>
    <n v="60"/>
    <m/>
    <m/>
    <m/>
    <m/>
    <m/>
    <m/>
    <n v="60"/>
    <m/>
    <m/>
    <m/>
    <m/>
    <m/>
    <m/>
    <m/>
    <m/>
    <m/>
    <m/>
    <m/>
    <m/>
    <n v="0"/>
    <n v="60"/>
  </r>
  <r>
    <x v="1"/>
    <x v="6"/>
    <s v="MT/TA MT/SE"/>
    <s v="Joel Máximo Reis"/>
    <s v="MT/TA MT/SE"/>
    <s v="Joel Máximo Reis"/>
    <s v="DGT"/>
    <s v="NA"/>
    <m/>
    <s v="Aquisição e instalação de Sistema de vigilância"/>
    <s v="Aquisição de sistema de monitormamento por câmeras, video porteiro com vigilancia eletronica, sistema de intrusão e sensores"/>
    <s v="Furtos, roubos, perdas materiais e risco à integridade das pessoas da instalação"/>
    <m/>
    <m/>
    <m/>
    <m/>
    <m/>
    <m/>
    <n v="0"/>
    <m/>
    <m/>
    <n v="18"/>
    <m/>
    <m/>
    <m/>
    <m/>
    <m/>
    <m/>
    <m/>
    <m/>
    <m/>
    <n v="18"/>
    <m/>
    <m/>
    <m/>
    <m/>
    <m/>
    <m/>
    <m/>
    <m/>
    <m/>
    <m/>
    <m/>
    <m/>
    <n v="0"/>
    <m/>
    <m/>
    <m/>
    <m/>
    <m/>
    <m/>
    <n v="36"/>
    <m/>
    <m/>
    <m/>
    <m/>
    <m/>
    <n v="36"/>
    <m/>
    <m/>
    <m/>
    <m/>
    <m/>
    <m/>
    <m/>
    <m/>
    <m/>
    <m/>
    <m/>
    <m/>
    <n v="0"/>
    <n v="54"/>
  </r>
  <r>
    <x v="1"/>
    <x v="6"/>
    <s v="SC"/>
    <s v="Rogério Elias"/>
    <s v="SC"/>
    <s v="Rogério Elias"/>
    <s v="DGE"/>
    <s v="NA"/>
    <m/>
    <s v="Aquisição de mobiliário para atendimento cliente interno T"/>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m/>
    <m/>
    <m/>
    <m/>
    <m/>
    <n v="0"/>
    <m/>
    <m/>
    <m/>
    <m/>
    <m/>
    <m/>
    <m/>
    <m/>
    <m/>
    <m/>
    <n v="13"/>
    <m/>
    <n v="13"/>
    <m/>
    <m/>
    <m/>
    <m/>
    <m/>
    <m/>
    <m/>
    <m/>
    <m/>
    <m/>
    <n v="13"/>
    <m/>
    <n v="13"/>
    <m/>
    <m/>
    <m/>
    <m/>
    <m/>
    <m/>
    <m/>
    <m/>
    <m/>
    <m/>
    <m/>
    <m/>
    <n v="0"/>
    <m/>
    <m/>
    <m/>
    <m/>
    <m/>
    <m/>
    <m/>
    <m/>
    <m/>
    <m/>
    <n v="26"/>
    <m/>
    <n v="26"/>
    <n v="52"/>
  </r>
  <r>
    <x v="1"/>
    <x v="6"/>
    <s v="MT/CN MT/SE MT/LE MT/TA"/>
    <s v="Joel Máximo Reis"/>
    <s v="MT/CN MT/SE MT/LE MT/TA"/>
    <s v="Joel Máximo Reis"/>
    <s v="DGT"/>
    <s v="NA"/>
    <m/>
    <s v="Aquisição de 5 projetores multimídia"/>
    <s v="Aquisição de 5 projetores multimídia"/>
    <s v="Deficiência nos treinamentos da equipe e de terceiros_x000a_Demora na realização de reuniões que necessitam de projeção de imagem  e também dificuldade na apresentação do processo de primeiro acesso para atendimento ao sistema de gestão._x000a_Manobras indevidas e falha na identificação dos alremes e eventos gerados pelo SSCD."/>
    <m/>
    <m/>
    <m/>
    <m/>
    <m/>
    <m/>
    <n v="0"/>
    <m/>
    <m/>
    <m/>
    <m/>
    <m/>
    <m/>
    <m/>
    <m/>
    <m/>
    <m/>
    <m/>
    <m/>
    <n v="0"/>
    <m/>
    <m/>
    <m/>
    <m/>
    <m/>
    <m/>
    <m/>
    <m/>
    <m/>
    <m/>
    <m/>
    <m/>
    <n v="0"/>
    <m/>
    <m/>
    <m/>
    <m/>
    <n v="15"/>
    <m/>
    <m/>
    <m/>
    <m/>
    <m/>
    <m/>
    <m/>
    <n v="15"/>
    <m/>
    <m/>
    <m/>
    <m/>
    <m/>
    <m/>
    <m/>
    <m/>
    <m/>
    <m/>
    <m/>
    <m/>
    <n v="0"/>
    <n v="15"/>
  </r>
  <r>
    <x v="1"/>
    <x v="6"/>
    <s v="MT/CN MT/SE"/>
    <s v="Joel Máximo Reis"/>
    <s v="MT/CN MT/SE"/>
    <s v="Joel Máximo Reis"/>
    <s v="DGT"/>
    <s v="NA"/>
    <m/>
    <s v="Aquisição de 5 TV LED"/>
    <s v="Aquisição de 5 TV LED 40' com entrada HDMI"/>
    <s v="Precarização da segurança da instalação, dificuldade de ministrar treinamentos, não conformidade em auditorias do SIG devido à qualidade/entendimento dos treinamentos e apresentações para visitantes."/>
    <m/>
    <m/>
    <m/>
    <m/>
    <m/>
    <m/>
    <n v="0"/>
    <m/>
    <m/>
    <m/>
    <m/>
    <m/>
    <m/>
    <m/>
    <m/>
    <m/>
    <m/>
    <m/>
    <m/>
    <n v="0"/>
    <m/>
    <m/>
    <m/>
    <m/>
    <m/>
    <m/>
    <m/>
    <m/>
    <m/>
    <m/>
    <m/>
    <m/>
    <n v="0"/>
    <m/>
    <m/>
    <m/>
    <m/>
    <n v="12.5"/>
    <m/>
    <m/>
    <m/>
    <m/>
    <m/>
    <m/>
    <m/>
    <n v="12.5"/>
    <m/>
    <m/>
    <m/>
    <m/>
    <m/>
    <m/>
    <m/>
    <m/>
    <m/>
    <m/>
    <m/>
    <m/>
    <n v="0"/>
    <n v="12.5"/>
  </r>
  <r>
    <x v="1"/>
    <x v="6"/>
    <s v="MT/CN MT/LE"/>
    <s v="Joel Máximo Reis"/>
    <s v="MT/CN MT/LE"/>
    <s v="Joel Máximo Reis"/>
    <s v="DGT"/>
    <s v="NA"/>
    <m/>
    <s v="Aquisição de 4 Bebedouro industrial T"/>
    <s v="Aquisição de 4 Bebedouro industrial inox reservatório 50 litros"/>
    <s v="Não atender as normas de saúde e segurança._x000a_Indisponibilidade de água filtrada e refrigerada para equipes de manutenção de campo. Necessidade de comprar grande volume de água mineral refrigerada para equipes durante serviços em campo."/>
    <m/>
    <m/>
    <m/>
    <m/>
    <m/>
    <m/>
    <n v="0"/>
    <m/>
    <m/>
    <m/>
    <m/>
    <m/>
    <m/>
    <m/>
    <m/>
    <m/>
    <m/>
    <m/>
    <m/>
    <n v="0"/>
    <m/>
    <m/>
    <m/>
    <m/>
    <m/>
    <m/>
    <m/>
    <m/>
    <m/>
    <m/>
    <m/>
    <m/>
    <n v="0"/>
    <m/>
    <m/>
    <m/>
    <m/>
    <n v="8"/>
    <m/>
    <m/>
    <m/>
    <m/>
    <m/>
    <m/>
    <m/>
    <n v="8"/>
    <m/>
    <m/>
    <m/>
    <m/>
    <m/>
    <m/>
    <m/>
    <m/>
    <m/>
    <m/>
    <m/>
    <m/>
    <n v="0"/>
    <n v="8"/>
  </r>
  <r>
    <x v="1"/>
    <x v="6"/>
    <s v="MT/LE MT/SE"/>
    <s v="Joel Máximo Reis"/>
    <s v="MT/LE MT/SE"/>
    <s v="Joel Máximo Reis"/>
    <s v="DGT"/>
    <s v="NA"/>
    <m/>
    <s v="Aquisição de 2 lavadoras"/>
    <s v="Aquisição de uma lavadora de alta pressão e uma jateadora"/>
    <s v="Aumento com despesas com água._x000a_Acúmulo de óleo no chão, apresentando risco de queda de pessoas."/>
    <m/>
    <m/>
    <m/>
    <m/>
    <m/>
    <m/>
    <n v="0"/>
    <m/>
    <m/>
    <m/>
    <m/>
    <m/>
    <m/>
    <m/>
    <m/>
    <m/>
    <m/>
    <m/>
    <m/>
    <n v="0"/>
    <m/>
    <m/>
    <m/>
    <m/>
    <m/>
    <m/>
    <m/>
    <m/>
    <m/>
    <m/>
    <m/>
    <m/>
    <n v="0"/>
    <m/>
    <m/>
    <m/>
    <m/>
    <n v="4"/>
    <m/>
    <m/>
    <m/>
    <m/>
    <m/>
    <m/>
    <m/>
    <n v="4"/>
    <m/>
    <m/>
    <m/>
    <m/>
    <m/>
    <m/>
    <m/>
    <m/>
    <m/>
    <m/>
    <m/>
    <m/>
    <n v="0"/>
    <n v="4"/>
  </r>
  <r>
    <x v="1"/>
    <x v="7"/>
    <s v="TI/TC"/>
    <s v="Francisco Elson"/>
    <s v="TI/TC"/>
    <s v="Francisco Elson"/>
    <s v="DGE"/>
    <s v="NA"/>
    <s v="-"/>
    <s v="Redes Ópticas da Transmissora"/>
    <s v="Construção de Redes Ópticas da Geradora para interligação ao backbone de comunicação"/>
    <s v="Perda de comunicação por falta de alimentação comercial, penalidades previstas em contrato"/>
    <s v="Revisão do escopo do projeto, com postergação do desembolso conforme cronograma de execução."/>
    <n v="0"/>
    <n v="0"/>
    <n v="0"/>
    <n v="0"/>
    <n v="0"/>
    <n v="0"/>
    <n v="0"/>
    <n v="0"/>
    <n v="0"/>
    <n v="0"/>
    <n v="0"/>
    <n v="0"/>
    <n v="0"/>
    <n v="0"/>
    <n v="0"/>
    <n v="250"/>
    <n v="0"/>
    <n v="0"/>
    <n v="250"/>
    <n v="0"/>
    <n v="0"/>
    <n v="0"/>
    <n v="0"/>
    <n v="0"/>
    <n v="0"/>
    <n v="0"/>
    <n v="0"/>
    <n v="0"/>
    <n v="0"/>
    <n v="0"/>
    <n v="0"/>
    <n v="0"/>
    <n v="0"/>
    <n v="0"/>
    <n v="0"/>
    <n v="0"/>
    <n v="0"/>
    <n v="0"/>
    <n v="0"/>
    <n v="0"/>
    <n v="0"/>
    <n v="0"/>
    <n v="0"/>
    <n v="0"/>
    <n v="0"/>
    <n v="0"/>
    <n v="0"/>
    <n v="0"/>
    <n v="0"/>
    <n v="0"/>
    <n v="0"/>
    <n v="0"/>
    <n v="0"/>
    <n v="0"/>
    <n v="0"/>
    <n v="0"/>
    <n v="0"/>
    <n v="0"/>
    <n v="250"/>
  </r>
  <r>
    <x v="1"/>
    <x v="7"/>
    <s v="TI/TC"/>
    <s v="Francisco Elson"/>
    <s v="MT/CT"/>
    <s v="Joel Máximo Reis"/>
    <s v="DGE"/>
    <s v="TI06618"/>
    <s v="-"/>
    <s v="Comunicação via Satélite (Telefonia)"/>
    <s v="Aparelho para serviços de telefonia via satélite."/>
    <s v="Demora no restabelecimento de linhas de transmissão, onde não é possivel comunicar com a equipe, Risco de não execução de serviços e permanência da equipe na instalação sem poder executar manutenções em linhas de transmissão."/>
    <s v="Revisão do escopo do projeto, conforme demanda da área usuária."/>
    <n v="0"/>
    <n v="0"/>
    <n v="142.21934999999999"/>
    <n v="0"/>
    <n v="0"/>
    <n v="142.21934999999999"/>
    <n v="0"/>
    <n v="0"/>
    <n v="0"/>
    <n v="0"/>
    <n v="0"/>
    <n v="0"/>
    <n v="0"/>
    <n v="0"/>
    <n v="0"/>
    <n v="0"/>
    <n v="0"/>
    <n v="0"/>
    <n v="0"/>
    <n v="0"/>
    <n v="0"/>
    <n v="0"/>
    <n v="0"/>
    <n v="0"/>
    <n v="0"/>
    <n v="0"/>
    <n v="0"/>
    <n v="0"/>
    <n v="0"/>
    <n v="0"/>
    <n v="0"/>
    <n v="0"/>
    <n v="0"/>
    <n v="0"/>
    <n v="0"/>
    <n v="0"/>
    <n v="0"/>
    <n v="0"/>
    <n v="0"/>
    <n v="0"/>
    <n v="0"/>
    <n v="0"/>
    <n v="0"/>
    <n v="0"/>
    <n v="0"/>
    <n v="0"/>
    <n v="0"/>
    <n v="0"/>
    <n v="0"/>
    <n v="0"/>
    <n v="0"/>
    <n v="0"/>
    <n v="0"/>
    <n v="0"/>
    <n v="0"/>
    <n v="0"/>
    <n v="0"/>
    <n v="0"/>
    <n v="142.21934999999999"/>
  </r>
  <r>
    <x v="1"/>
    <x v="7"/>
    <s v="TI/IO"/>
    <s v="Tiago Leite"/>
    <s v="TI/IO"/>
    <s v="Tiago Leite"/>
    <s v="DGE"/>
    <s v="NA"/>
    <m/>
    <s v="Instrumentos da Transmissora - Equipe Campo"/>
    <s v="Aquisição de Instrumentos da Transmissora para suporte e manutenção em estações de comunicação"/>
    <s v="Auemento do tempo de reparo, risco de queima de equipamentos por uso de instrumentos inadequados"/>
    <s v="-"/>
    <n v="0"/>
    <n v="0"/>
    <n v="0"/>
    <n v="0"/>
    <n v="0"/>
    <n v="0"/>
    <n v="0"/>
    <n v="0"/>
    <n v="0"/>
    <n v="0"/>
    <n v="0"/>
    <n v="0"/>
    <n v="0"/>
    <n v="0"/>
    <n v="124.39999999999999"/>
    <n v="0"/>
    <n v="0"/>
    <n v="0"/>
    <n v="124.39999999999999"/>
    <n v="0"/>
    <n v="0"/>
    <n v="0"/>
    <n v="0"/>
    <n v="0"/>
    <n v="0"/>
    <n v="0"/>
    <n v="0"/>
    <n v="0"/>
    <n v="0"/>
    <n v="0"/>
    <n v="0"/>
    <n v="0"/>
    <n v="0"/>
    <n v="0"/>
    <n v="0"/>
    <n v="0"/>
    <n v="0"/>
    <n v="0"/>
    <n v="0"/>
    <n v="0"/>
    <n v="0"/>
    <n v="0"/>
    <n v="0"/>
    <n v="0"/>
    <n v="0"/>
    <n v="0"/>
    <n v="0"/>
    <n v="0"/>
    <n v="0"/>
    <n v="0"/>
    <n v="0"/>
    <n v="0"/>
    <n v="0"/>
    <n v="0"/>
    <n v="0"/>
    <n v="0"/>
    <n v="0"/>
    <n v="0"/>
    <n v="124.39999999999999"/>
  </r>
  <r>
    <x v="1"/>
    <x v="7"/>
    <s v="TI/IO"/>
    <s v="Tiago Leite"/>
    <s v="TI/IO"/>
    <s v="Tiago Leite"/>
    <s v="DGE"/>
    <s v="TI07818"/>
    <m/>
    <s v="Sistemas de Ar Condicionado da Transmissora - Ses"/>
    <m/>
    <m/>
    <s v="Demanda incorporada à carteira, considerando remanejamento entre projetos."/>
    <n v="0"/>
    <n v="0"/>
    <n v="0"/>
    <n v="0"/>
    <n v="0"/>
    <n v="0"/>
    <n v="40"/>
    <n v="0"/>
    <n v="0"/>
    <n v="0"/>
    <n v="0"/>
    <n v="0"/>
    <n v="0"/>
    <n v="34.433332495118158"/>
    <n v="0"/>
    <n v="0"/>
    <n v="0"/>
    <n v="0"/>
    <n v="74.433332495118151"/>
    <n v="0"/>
    <n v="0"/>
    <n v="0"/>
    <n v="0"/>
    <n v="0"/>
    <n v="0"/>
    <n v="0"/>
    <n v="0"/>
    <n v="0"/>
    <n v="0"/>
    <n v="0"/>
    <n v="0"/>
    <n v="0"/>
    <n v="0"/>
    <n v="0"/>
    <n v="0"/>
    <n v="0"/>
    <n v="0"/>
    <n v="0"/>
    <n v="0"/>
    <n v="0"/>
    <n v="0"/>
    <n v="0"/>
    <n v="0"/>
    <n v="0"/>
    <n v="0"/>
    <n v="0"/>
    <n v="0"/>
    <n v="0"/>
    <n v="0"/>
    <n v="0"/>
    <n v="0"/>
    <n v="0"/>
    <n v="0"/>
    <n v="0"/>
    <n v="0"/>
    <n v="0"/>
    <n v="0"/>
    <n v="0"/>
    <n v="74.433332495118151"/>
  </r>
  <r>
    <x v="1"/>
    <x v="8"/>
    <s v="TI/IO"/>
    <s v="Carlos Araújo"/>
    <s v="TI/IO"/>
    <s v="Carlos Araújo"/>
    <s v="DGE"/>
    <s v="TI04418"/>
    <s v="TINV.18.T.045.MP"/>
    <s v="Modernização do Parque Microinformática (CORPORATIVO) T"/>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s v="-"/>
    <n v="0"/>
    <n v="0"/>
    <n v="0"/>
    <n v="0"/>
    <n v="415"/>
    <n v="415"/>
    <n v="0"/>
    <n v="0"/>
    <n v="0"/>
    <n v="0"/>
    <n v="0"/>
    <n v="0"/>
    <n v="0"/>
    <n v="0"/>
    <n v="55"/>
    <n v="0"/>
    <n v="0"/>
    <n v="0"/>
    <n v="55"/>
    <n v="0"/>
    <n v="0"/>
    <n v="0"/>
    <n v="0"/>
    <n v="0"/>
    <n v="0"/>
    <n v="0"/>
    <n v="209"/>
    <n v="0"/>
    <n v="0"/>
    <n v="0"/>
    <n v="0"/>
    <n v="209"/>
    <n v="0"/>
    <n v="0"/>
    <n v="0"/>
    <n v="0"/>
    <n v="0"/>
    <n v="0"/>
    <n v="0"/>
    <n v="55"/>
    <n v="0"/>
    <n v="0"/>
    <n v="0"/>
    <n v="0"/>
    <n v="55"/>
    <n v="0"/>
    <n v="0"/>
    <n v="0"/>
    <n v="0"/>
    <n v="0"/>
    <n v="0"/>
    <n v="0"/>
    <n v="209.5"/>
    <n v="0"/>
    <n v="0"/>
    <n v="0"/>
    <n v="0"/>
    <n v="209.5"/>
    <n v="943.5"/>
  </r>
  <r>
    <x v="1"/>
    <x v="9"/>
    <s v="TI/TC"/>
    <s v="Roberto Sebastião"/>
    <s v="TI/TC"/>
    <s v="Roberto Sebastião"/>
    <s v="DGE"/>
    <s v="TI06118"/>
    <s v="TINV.18.T.054.FW"/>
    <s v="Atualizações de versão de software para Solução de Firewall Check Point "/>
    <s v="Proteção do ambiente corporativo da CEMIG contra ataques, invasões oriundas da Internet e terceiros; Autorização e controle de acesso remoto ao ambiente corporativo; Garantir a comunicação da Cemig com a CCEE e com os grandes consumidores de energia da Cemig."/>
    <s v="Exposição inadequada das informações da Cemig; Contaminação dos dados da Rede Corporativa; Indisponibilidade de sistemas corporativos."/>
    <s v="Revisão do valor em virtude do balizamento de preços."/>
    <n v="97.797317504882813"/>
    <n v="0"/>
    <n v="0"/>
    <n v="0"/>
    <n v="0"/>
    <n v="97.797317504882813"/>
    <n v="0"/>
    <n v="0"/>
    <n v="0"/>
    <n v="0"/>
    <n v="0"/>
    <n v="0"/>
    <n v="0"/>
    <n v="0"/>
    <n v="0"/>
    <n v="98"/>
    <n v="0"/>
    <n v="0"/>
    <n v="98"/>
    <n v="0"/>
    <n v="0"/>
    <n v="0"/>
    <n v="0"/>
    <n v="0"/>
    <n v="98"/>
    <n v="0"/>
    <n v="0"/>
    <n v="0"/>
    <n v="0"/>
    <n v="0"/>
    <n v="0"/>
    <n v="98"/>
    <n v="0"/>
    <n v="0"/>
    <n v="0"/>
    <n v="0"/>
    <n v="0"/>
    <n v="98"/>
    <n v="0"/>
    <n v="0"/>
    <n v="0"/>
    <n v="0"/>
    <n v="0"/>
    <n v="0"/>
    <n v="98"/>
    <n v="0"/>
    <n v="0"/>
    <n v="0"/>
    <n v="0"/>
    <n v="0"/>
    <n v="98"/>
    <n v="0"/>
    <n v="0"/>
    <n v="0"/>
    <n v="0"/>
    <n v="0"/>
    <n v="0"/>
    <n v="98"/>
    <n v="489.79731750488281"/>
  </r>
  <r>
    <x v="1"/>
    <x v="9"/>
    <s v="TI/SI"/>
    <s v="Álisson Costa"/>
    <s v="TI/SI"/>
    <s v="Álisson Costa"/>
    <s v="DGE"/>
    <s v="NA"/>
    <m/>
    <s v="Projeto PMT"/>
    <m/>
    <m/>
    <s v="Demanda incorporada à carteira, considerando remanejamento entre projetos."/>
    <n v="0"/>
    <m/>
    <n v="0"/>
    <n v="0"/>
    <n v="0"/>
    <n v="0"/>
    <n v="0"/>
    <n v="0"/>
    <n v="50"/>
    <n v="50"/>
    <n v="100"/>
    <n v="0"/>
    <n v="0"/>
    <n v="0"/>
    <n v="0"/>
    <n v="0"/>
    <n v="0"/>
    <n v="0"/>
    <n v="200"/>
    <n v="0"/>
    <n v="0"/>
    <n v="0"/>
    <n v="0"/>
    <n v="0"/>
    <n v="0"/>
    <n v="0"/>
    <n v="0"/>
    <n v="0"/>
    <n v="0"/>
    <n v="0"/>
    <n v="0"/>
    <n v="0"/>
    <n v="0"/>
    <n v="0"/>
    <n v="0"/>
    <n v="0"/>
    <n v="0"/>
    <n v="0"/>
    <n v="0"/>
    <n v="0"/>
    <n v="0"/>
    <n v="0"/>
    <n v="0"/>
    <n v="0"/>
    <n v="0"/>
    <n v="0"/>
    <n v="0"/>
    <n v="0"/>
    <n v="0"/>
    <n v="0"/>
    <n v="0"/>
    <n v="0"/>
    <n v="0"/>
    <n v="0"/>
    <n v="0"/>
    <n v="0"/>
    <n v="0"/>
    <n v="0"/>
    <n v="200"/>
  </r>
  <r>
    <x v="1"/>
    <x v="10"/>
    <s v="MT/LE"/>
    <s v="Joel Máximo Reis"/>
    <s v="MT/LE"/>
    <s v="Joel Máximo Reis"/>
    <s v="DGT"/>
    <s v="MT00218"/>
    <s v="INAT/18/VE"/>
    <s v="Equipamentos e veículos para a MT"/>
    <s v="Aquisição de equipamentos como plataformas aérea articuladas e guindastes para o processo de manutenção da Transmissão._x000a_Aquisição (físico):_x000a_- 5 (cinco) Guindastes até 14 toneladas para instalação em caminhão existente;_x000a_- 1 (um) Guindaste até 23 toneladas para instalação no caminhão existente com opcionais de guincho e controle remoto. (preço Hyva);_x000a_- 5 (cinco) Guindastes até 23 toneladas para instalação no caminhão existente com opcionais de guincho e controle remoto;_x000a_- 2 (duas) Plataformas aéreas articuladas  20 metros;_x000a_- 3 (três) Plataformas aéreas articuladas, máxima altura (Acima de 14m);_x000a_- 2 (dois) Veículos para instalação da plataforma._x000a__x000a_Necessidade de substituição dos atuais equipamentos pelos seguintes problemas:_x000a__x000a_-Cesto simples, apenas um executante, aumento no tempo de execução das tarefas._x000a_-Dificuldade de entrar ao cesto, risco de queda. Foto 1._x000a_-Limite de altura do Cesto simples de 10 metros, insuficiente para acesso aos equipamentos acima de 345kV e alguns equipamentos de 230kV._x000a_-Cesto simples sem acesso ao piso. Caso ocorra queda de alguma ferramenta ou material no piso do cesto é necessário baixar a lança até o solo. Foto 1._x000a_-Movimentos bruscos da lança, não linear, principalmente no início do movimento tem provocado aumento no tempo de posicionamento dos equipamentos içados e consequentemente possibilidade de danos aos equipamentos e risco para pessoas. _x000a_-Falta de articulações na lança, dificultando o acesso nos equipamentos e nas manobras nos pátios de 138 kV, aumentando o tempo de execução com perda de produtividade. Cestas Masal possui apenas uma articulação, foto 2._x000a_-Acidente com a equipe da CEMIG-D na cidade de Lafaiete, provocou recall, falha de projeto, em todas as cestas aéreas, provocando transtorno nas equipes e reprogramação de diversos serviços._x000a__x000a_"/>
    <s v="Comprometimento da produtividade, segurança e condições ergonômicas para a realização das atividades de manutenção do sistema elétrico;_x000a_Falta de ferramentas de trabalho para as equipes de manutenção, e a não adequação legal, comprometendo a segurança de empregados e a produtividade das equipes;_x000a_Manter na frota veículos obsoletos, com alto índice de indisponibilidade, podendo até mesmo comprometer a segurança dos empregados e sua produtividade._x000a_"/>
    <s v="Projeto com início previsto para 2018 (R$ 1.513 mil) postergado para 2019 devido a dificuldades com adaptação dos implementos nos veículos disponíveis e diferença de prazo de entrega, que era 60 dias e nos novos orçamentos foi de 150."/>
    <m/>
    <m/>
    <m/>
    <m/>
    <m/>
    <n v="0"/>
    <m/>
    <m/>
    <m/>
    <m/>
    <n v="1513"/>
    <m/>
    <m/>
    <m/>
    <m/>
    <m/>
    <m/>
    <m/>
    <n v="1513"/>
    <m/>
    <m/>
    <m/>
    <m/>
    <m/>
    <m/>
    <m/>
    <m/>
    <m/>
    <m/>
    <n v="1050"/>
    <m/>
    <n v="1050"/>
    <m/>
    <m/>
    <m/>
    <m/>
    <m/>
    <m/>
    <m/>
    <m/>
    <m/>
    <m/>
    <n v="1008"/>
    <m/>
    <n v="1008"/>
    <m/>
    <m/>
    <m/>
    <m/>
    <m/>
    <m/>
    <m/>
    <m/>
    <m/>
    <m/>
    <m/>
    <m/>
    <n v="0"/>
    <n v="3571"/>
  </r>
  <r>
    <x v="1"/>
    <x v="10"/>
    <s v="SC"/>
    <s v="Ormindo Coutinho Filho"/>
    <s v="SC"/>
    <s v="Ormindo Coutinho Filho"/>
    <s v="DGE"/>
    <s v="NA"/>
    <m/>
    <s v="Substituição de Veículos da Diretoria Executiva - Transmissão"/>
    <s v="Renovação da frota de veículos da Diretoria Executiva - Transmiss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m/>
    <m/>
    <m/>
    <m/>
    <m/>
    <n v="0"/>
    <m/>
    <m/>
    <m/>
    <m/>
    <m/>
    <m/>
    <n v="105.44"/>
    <m/>
    <m/>
    <m/>
    <m/>
    <m/>
    <n v="105.44"/>
    <m/>
    <m/>
    <m/>
    <m/>
    <m/>
    <m/>
    <m/>
    <m/>
    <m/>
    <m/>
    <m/>
    <m/>
    <n v="0"/>
    <m/>
    <m/>
    <m/>
    <m/>
    <m/>
    <m/>
    <m/>
    <m/>
    <m/>
    <m/>
    <m/>
    <m/>
    <n v="0"/>
    <m/>
    <m/>
    <m/>
    <m/>
    <m/>
    <m/>
    <m/>
    <m/>
    <m/>
    <m/>
    <m/>
    <m/>
    <n v="0"/>
    <n v="105.44"/>
  </r>
  <r>
    <x v="1"/>
    <x v="11"/>
    <s v="MT/CT"/>
    <s v="Gustavo Soares/Leandro Veloso Cunha/Joel Máximo"/>
    <s v="MT/CT"/>
    <s v="Gustavo Soares/Leandro Veloso Cunha/Joel Máximo"/>
    <s v="DGT"/>
    <s v="NA"/>
    <s v="-"/>
    <s v="Aquisição de 04 cestas aéreas"/>
    <s v="Aquisição de 04 Cestas aérea para trabalho em Linha viva 345/500 kV até 18m em substituição as extensões isolantes para grua."/>
    <s v="Multas do MTE; Restrição de ferramentas para execução de serviços em linha viva; elevação dos custos de Parcela Variável."/>
    <m/>
    <n v="0"/>
    <n v="0"/>
    <n v="0"/>
    <n v="0"/>
    <n v="0"/>
    <n v="0"/>
    <n v="0"/>
    <n v="0"/>
    <n v="0"/>
    <n v="0"/>
    <n v="0"/>
    <n v="0"/>
    <n v="0"/>
    <n v="0"/>
    <n v="0"/>
    <n v="0"/>
    <n v="0"/>
    <n v="0"/>
    <n v="0"/>
    <n v="0"/>
    <n v="0"/>
    <n v="0"/>
    <n v="0"/>
    <n v="0"/>
    <n v="0"/>
    <n v="0"/>
    <n v="0"/>
    <n v="0"/>
    <n v="0"/>
    <n v="0"/>
    <n v="0"/>
    <n v="0"/>
    <n v="0"/>
    <n v="0"/>
    <n v="2244.14"/>
    <n v="0"/>
    <n v="0"/>
    <n v="305.57898999999998"/>
    <m/>
    <m/>
    <m/>
    <m/>
    <m/>
    <m/>
    <n v="2549.7189899999998"/>
    <m/>
    <m/>
    <m/>
    <m/>
    <m/>
    <m/>
    <m/>
    <m/>
    <m/>
    <m/>
    <m/>
    <m/>
    <n v="0"/>
    <n v="2549.7189899999998"/>
  </r>
  <r>
    <x v="1"/>
    <x v="11"/>
    <s v="MT/CT"/>
    <s v="Gustavo Soares/Joel Máximo"/>
    <s v="MT/CT"/>
    <s v="Gustavo Soares/Joel Máximo"/>
    <s v="DGT"/>
    <s v="NA"/>
    <s v="-"/>
    <s v="AQUISIÇÃO DE FERRAMENTAS MT SALDO NA 2019 e 2020"/>
    <m/>
    <m/>
    <m/>
    <m/>
    <m/>
    <m/>
    <m/>
    <m/>
    <n v="0"/>
    <m/>
    <m/>
    <m/>
    <m/>
    <n v="62.516737499999977"/>
    <n v="77.703347499999992"/>
    <n v="77.703347499999992"/>
    <n v="77.703347499999992"/>
    <n v="77.703347499999992"/>
    <n v="79.365322519340168"/>
    <n v="77.703347499999992"/>
    <n v="77.703347499999992"/>
    <n v="608.10214501934013"/>
    <n v="77.703347499999992"/>
    <n v="77.703347499999992"/>
    <n v="77.703347499999992"/>
    <n v="77.703347499999992"/>
    <n v="77.703347499999992"/>
    <n v="77.703347499999992"/>
    <n v="77.703347499999992"/>
    <n v="77.703347499999992"/>
    <n v="77.703347499999992"/>
    <n v="77.703347499999992"/>
    <n v="0"/>
    <n v="0"/>
    <n v="777.03347499999984"/>
    <m/>
    <m/>
    <m/>
    <m/>
    <m/>
    <m/>
    <m/>
    <m/>
    <m/>
    <m/>
    <m/>
    <m/>
    <n v="0"/>
    <m/>
    <m/>
    <m/>
    <m/>
    <m/>
    <m/>
    <m/>
    <m/>
    <m/>
    <m/>
    <m/>
    <m/>
    <n v="0"/>
    <n v="1385.13562001934"/>
  </r>
  <r>
    <x v="1"/>
    <x v="11"/>
    <s v="PO/MT"/>
    <s v="Gustavo Soares/Eduardo Martins/Adriana de Castro"/>
    <s v="PO/MT"/>
    <s v="Gustavo Soares/Eduardo Martins/Adriana de Castro"/>
    <s v="DGT"/>
    <s v="PO00417"/>
    <s v="INGT/18/783/FERR"/>
    <s v="Ferramentas para o Centro de Monitoramento Preditivo e para o Laboratório de integração de novos ativos de Proteção, Controle, Supervisão e Automação da PO/MT"/>
    <s v="Ferramentas PO/MT_CMP e PCSA"/>
    <s v="Produtividade; atraso na realização e análises de testes de integração/monitoramento de ativos; segurança de pessoal; "/>
    <m/>
    <n v="132.45830917358398"/>
    <n v="335.56800007820129"/>
    <m/>
    <m/>
    <n v="232.46505074821471"/>
    <n v="700.49135999999999"/>
    <n v="0"/>
    <n v="0"/>
    <n v="0"/>
    <n v="0"/>
    <n v="0"/>
    <n v="0"/>
    <n v="0"/>
    <n v="0"/>
    <n v="0"/>
    <n v="0"/>
    <n v="0"/>
    <n v="390.17914000000013"/>
    <n v="390.17914000000013"/>
    <n v="0"/>
    <n v="0"/>
    <n v="0"/>
    <n v="0"/>
    <n v="0"/>
    <n v="0"/>
    <n v="0"/>
    <n v="0"/>
    <n v="0"/>
    <n v="0"/>
    <n v="0"/>
    <n v="0"/>
    <n v="0"/>
    <n v="0"/>
    <n v="0"/>
    <n v="0"/>
    <n v="0"/>
    <n v="0"/>
    <n v="0"/>
    <n v="0"/>
    <n v="0"/>
    <n v="0"/>
    <n v="0"/>
    <n v="0"/>
    <n v="0"/>
    <n v="0"/>
    <m/>
    <m/>
    <m/>
    <m/>
    <m/>
    <m/>
    <m/>
    <m/>
    <m/>
    <m/>
    <m/>
    <m/>
    <n v="0"/>
    <n v="1090.6705000000002"/>
  </r>
  <r>
    <x v="1"/>
    <x v="11"/>
    <s v="MT/CT"/>
    <s v="Gustavo Soares/Joel Máximo"/>
    <s v="MT/CT"/>
    <s v="Gustavo Soares/Joel Máximo"/>
    <s v="DGT"/>
    <s v="MT01017"/>
    <s v="INAT/18/FE"/>
    <s v="Aquisição de ferramentas de manutenção diversas 2018 - MT01017"/>
    <s v="Ferramentas de manutenção MT"/>
    <s v="Produtividade das rotinas de manutenção, mantendo-se as condições de segurança para os empregados, e cumprimento dos requisitos da ReN Aneel nº 669/2015 - Requisitos Mínimos de Manutenção"/>
    <m/>
    <n v="31.809390187263489"/>
    <n v="46.746319770812988"/>
    <n v="60.330230712890625"/>
    <n v="74.525760173797607"/>
    <n v="868.4351591552346"/>
    <n v="1081.8468599999992"/>
    <m/>
    <m/>
    <m/>
    <m/>
    <m/>
    <m/>
    <m/>
    <m/>
    <m/>
    <m/>
    <m/>
    <m/>
    <n v="0"/>
    <m/>
    <m/>
    <m/>
    <m/>
    <m/>
    <m/>
    <m/>
    <m/>
    <m/>
    <m/>
    <m/>
    <m/>
    <n v="0"/>
    <n v="0"/>
    <n v="0"/>
    <n v="0"/>
    <n v="0"/>
    <n v="0"/>
    <n v="0"/>
    <n v="0"/>
    <n v="0"/>
    <n v="0"/>
    <n v="0"/>
    <n v="0"/>
    <n v="0"/>
    <n v="0"/>
    <m/>
    <m/>
    <m/>
    <m/>
    <m/>
    <m/>
    <m/>
    <m/>
    <m/>
    <m/>
    <m/>
    <m/>
    <n v="0"/>
    <n v="1081.8468599999992"/>
  </r>
  <r>
    <x v="1"/>
    <x v="11"/>
    <s v="MT/CT"/>
    <s v="Gustavo Soares/Joel Máximo"/>
    <s v="MT/CT"/>
    <s v="Gustavo Soares/Joel Máximo"/>
    <s v="DGT"/>
    <s v="MT50118"/>
    <s v="INAT/19/FE"/>
    <s v="AQUISIÇÃO DE FERRAMENTAS MT 2019"/>
    <m/>
    <m/>
    <m/>
    <m/>
    <m/>
    <m/>
    <m/>
    <m/>
    <n v="0"/>
    <n v="81.5"/>
    <n v="81.5"/>
    <n v="81.5"/>
    <n v="81.5"/>
    <m/>
    <m/>
    <m/>
    <m/>
    <m/>
    <m/>
    <m/>
    <m/>
    <n v="326"/>
    <m/>
    <m/>
    <m/>
    <m/>
    <m/>
    <m/>
    <m/>
    <m/>
    <m/>
    <m/>
    <m/>
    <m/>
    <n v="0"/>
    <m/>
    <m/>
    <m/>
    <m/>
    <m/>
    <m/>
    <m/>
    <m/>
    <m/>
    <m/>
    <m/>
    <m/>
    <n v="0"/>
    <m/>
    <m/>
    <m/>
    <m/>
    <m/>
    <m/>
    <m/>
    <m/>
    <m/>
    <m/>
    <m/>
    <m/>
    <n v="0"/>
    <n v="326"/>
  </r>
  <r>
    <x v="1"/>
    <x v="11"/>
    <s v="MT"/>
    <s v="Gustavo Soares/Eduardo Martins/Adriana de Castro"/>
    <s v="MT"/>
    <s v="Gustavo Soares/Eduardo Martins/Adriana de Castro"/>
    <s v="DGT"/>
    <s v="MT00516"/>
    <s v="INAT/16/FE"/>
    <s v="Ferramentas 2016 - MT"/>
    <m/>
    <m/>
    <m/>
    <n v="4.3380299806594849"/>
    <m/>
    <m/>
    <m/>
    <m/>
    <n v="4.3380299806594849"/>
    <m/>
    <m/>
    <m/>
    <m/>
    <m/>
    <m/>
    <m/>
    <m/>
    <m/>
    <m/>
    <m/>
    <m/>
    <n v="0"/>
    <m/>
    <m/>
    <m/>
    <m/>
    <m/>
    <m/>
    <m/>
    <m/>
    <m/>
    <m/>
    <m/>
    <m/>
    <n v="0"/>
    <m/>
    <m/>
    <m/>
    <m/>
    <m/>
    <m/>
    <m/>
    <m/>
    <m/>
    <m/>
    <m/>
    <m/>
    <n v="0"/>
    <m/>
    <m/>
    <m/>
    <m/>
    <m/>
    <m/>
    <m/>
    <m/>
    <m/>
    <m/>
    <m/>
    <m/>
    <n v="0"/>
    <n v="4.3380299806594849"/>
  </r>
  <r>
    <x v="2"/>
    <x v="12"/>
    <s v="MD/CS"/>
    <s v="Emerson de Sales Cruz"/>
    <s v="MD/CS"/>
    <s v="Emerson de Sales Cruz"/>
    <s v="DDC"/>
    <s v="NA"/>
    <m/>
    <s v="Programa de Substituição e Modernização de Ferramentas MD/CS - NA"/>
    <m/>
    <m/>
    <m/>
    <m/>
    <m/>
    <m/>
    <m/>
    <m/>
    <n v="0"/>
    <m/>
    <m/>
    <m/>
    <m/>
    <m/>
    <m/>
    <n v="1104"/>
    <n v="406"/>
    <n v="319"/>
    <m/>
    <m/>
    <n v="240"/>
    <n v="2069"/>
    <m/>
    <m/>
    <m/>
    <m/>
    <m/>
    <m/>
    <n v="700"/>
    <n v="350"/>
    <n v="1190"/>
    <m/>
    <m/>
    <m/>
    <n v="2240"/>
    <m/>
    <m/>
    <m/>
    <m/>
    <m/>
    <m/>
    <n v="300"/>
    <n v="720"/>
    <n v="1300"/>
    <n v="900"/>
    <m/>
    <m/>
    <n v="3220"/>
    <m/>
    <m/>
    <m/>
    <m/>
    <m/>
    <m/>
    <n v="513"/>
    <n v="1000"/>
    <n v="958"/>
    <n v="0"/>
    <m/>
    <m/>
    <n v="2471"/>
    <n v="10000"/>
  </r>
  <r>
    <x v="2"/>
    <x v="12"/>
    <s v="MD/CS"/>
    <s v="Emerson de Sales Cruz"/>
    <s v="MD/CS"/>
    <s v="Emerson de Sales Cruz"/>
    <s v="DDC"/>
    <s v="MD00118"/>
    <s v="INFR.341.01118"/>
    <s v="Programa de Substituição e Modernização de Ferramentas MD/CS 2018"/>
    <s v="Aquisição de ferramentas para as equipes das gerências de manutenção e serviços de campo da MD"/>
    <s v="Comprometer a produtividade das equipes, a qualidade dos serviços prestados  e atendimento aos indices de qualidade de fornecimento da Distribuição."/>
    <m/>
    <n v="7.9200000762939453"/>
    <m/>
    <m/>
    <n v="50"/>
    <n v="333.37534999847401"/>
    <n v="391.29535007476795"/>
    <m/>
    <n v="130"/>
    <m/>
    <m/>
    <m/>
    <m/>
    <m/>
    <m/>
    <m/>
    <m/>
    <m/>
    <m/>
    <n v="130"/>
    <m/>
    <m/>
    <m/>
    <m/>
    <m/>
    <m/>
    <m/>
    <m/>
    <m/>
    <m/>
    <m/>
    <m/>
    <n v="0"/>
    <m/>
    <m/>
    <m/>
    <m/>
    <m/>
    <m/>
    <m/>
    <m/>
    <m/>
    <m/>
    <m/>
    <m/>
    <n v="0"/>
    <m/>
    <m/>
    <m/>
    <m/>
    <m/>
    <m/>
    <m/>
    <m/>
    <m/>
    <m/>
    <m/>
    <m/>
    <n v="0"/>
    <n v="521.29535007476795"/>
  </r>
  <r>
    <x v="2"/>
    <x v="12"/>
    <s v="AD/AD"/>
    <s v="Flavio Henrique M. Vieira"/>
    <s v="AD/AD"/>
    <s v="Flavio Henrique M. Vieira"/>
    <s v="DDC"/>
    <s v="NA"/>
    <m/>
    <s v="Laboratório para homologação de equipamentos de automação "/>
    <s v="Aquisição de equipamentos para montagem do laboratório de homologação de equipamentos de automação na cidade industrial Q14"/>
    <s v="A automação da distribuição é essencial para atingir objetivos melhoria de processos. O não desenvolvimento de novas soluções e tecnologias para equipamentos de rede e SEs  implica em não obtenção da redução de custos operacionais e de agregação de receita bem como melhoria dos indicadores de qualidade, dentre eles o DEC."/>
    <m/>
    <m/>
    <m/>
    <m/>
    <m/>
    <m/>
    <n v="0"/>
    <m/>
    <m/>
    <m/>
    <m/>
    <m/>
    <m/>
    <m/>
    <m/>
    <m/>
    <m/>
    <m/>
    <m/>
    <n v="0"/>
    <n v="500"/>
    <m/>
    <m/>
    <m/>
    <m/>
    <m/>
    <m/>
    <m/>
    <m/>
    <m/>
    <m/>
    <m/>
    <n v="500"/>
    <n v="500"/>
    <m/>
    <m/>
    <m/>
    <m/>
    <m/>
    <m/>
    <m/>
    <m/>
    <m/>
    <m/>
    <m/>
    <n v="500"/>
    <m/>
    <m/>
    <m/>
    <m/>
    <m/>
    <m/>
    <m/>
    <m/>
    <m/>
    <m/>
    <m/>
    <m/>
    <n v="0"/>
    <n v="1000"/>
  </r>
  <r>
    <x v="2"/>
    <x v="12"/>
    <s v="AD/AC"/>
    <s v="Thais Freire"/>
    <s v="AD/AC"/>
    <s v="Thais Freire"/>
    <s v="DDC"/>
    <s v="NA"/>
    <m/>
    <s v="Aquisição de medidores de qualidade de energia classe A para atendimento aos requisitos dos Procedimentos de Rede e da revisão 8 do Módulo 8 do PRODIST.  - NA"/>
    <s v="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
    <s v="Risco de penalidades por descumprimento da legislação ANEEL e ONS."/>
    <m/>
    <m/>
    <m/>
    <m/>
    <m/>
    <m/>
    <n v="0"/>
    <m/>
    <m/>
    <m/>
    <m/>
    <m/>
    <m/>
    <m/>
    <n v="177.91638"/>
    <m/>
    <m/>
    <m/>
    <m/>
    <n v="177.91638"/>
    <m/>
    <m/>
    <m/>
    <n v="120"/>
    <m/>
    <m/>
    <m/>
    <m/>
    <m/>
    <m/>
    <m/>
    <m/>
    <n v="120"/>
    <m/>
    <m/>
    <m/>
    <m/>
    <m/>
    <m/>
    <m/>
    <m/>
    <m/>
    <m/>
    <m/>
    <m/>
    <n v="0"/>
    <m/>
    <m/>
    <m/>
    <m/>
    <m/>
    <m/>
    <m/>
    <m/>
    <m/>
    <m/>
    <m/>
    <m/>
    <n v="0"/>
    <n v="297.91638"/>
  </r>
  <r>
    <x v="2"/>
    <x v="12"/>
    <s v="AD/AC"/>
    <s v="Thais Freire"/>
    <s v="AD/AC"/>
    <s v="Thais Freire"/>
    <s v="DDC"/>
    <s v="AD00218"/>
    <s v="INFR.341.04218"/>
    <s v="Aquisição de medidores de qualidade de energia classe A para atendimento aos requisitos dos Procedimentos de Rede e da revisão 8 do Módulo 8 do PRODIST. - AD00218"/>
    <s v="O projeto visa cumprir as campanhas de medição de qualidade estabelecidas nos itens 15.6 e 15.7 do Submódulo 2.8 dos Procedimentos de Rede do ONS, imediatamente antes e depois da conexão de instalações não lineares à rede básica ou aos barramentos dos transformadores de fronteira, e a revisão 8 do Módulo 8 dos Procedimentos de Distribuição. Os equipamentos de medição para as campanhas do ONS e para disputas judiciais devem ser do tipo Classe A."/>
    <s v="Risco de penalidades por descumprimento da legislação ANEEL e ONS."/>
    <m/>
    <m/>
    <m/>
    <m/>
    <m/>
    <n v="302.08362"/>
    <n v="302.08362"/>
    <m/>
    <m/>
    <m/>
    <m/>
    <m/>
    <m/>
    <m/>
    <m/>
    <m/>
    <m/>
    <m/>
    <m/>
    <n v="0"/>
    <m/>
    <m/>
    <m/>
    <m/>
    <m/>
    <m/>
    <m/>
    <m/>
    <m/>
    <m/>
    <m/>
    <m/>
    <n v="0"/>
    <m/>
    <m/>
    <m/>
    <m/>
    <m/>
    <m/>
    <m/>
    <m/>
    <m/>
    <m/>
    <m/>
    <m/>
    <n v="0"/>
    <m/>
    <m/>
    <m/>
    <m/>
    <m/>
    <m/>
    <m/>
    <m/>
    <m/>
    <m/>
    <m/>
    <m/>
    <n v="0"/>
    <n v="302.08362"/>
  </r>
  <r>
    <x v="2"/>
    <x v="12"/>
    <s v="GR/PC"/>
    <s v="Ronaldo Oliveira"/>
    <s v="GR/PC"/>
    <s v="Ronaldo Oliveira"/>
    <s v="DDC"/>
    <s v="GR00118"/>
    <s v="INFR.341.01918"/>
    <s v="Aquisição camara climática"/>
    <s v="Equipamento de testes de materiais e componentes eletricos e eletronicos em laboratorio, com temperatura e umidade programaveis"/>
    <s v="Tem como objetivo utilizar critérios para homologação de medidores eletrônicos visando levantar sua vida útil(13 anos), por meio do ensaio de vida acelerada, onde o medidor é submetido a câmara climática com temperatura de 85°C e 87% de umidade, durante um período de tempo calculado com referencia na NBR16078. A aquisição de uma câmara climática pela CEMIG é de essencial importância para o acompanhamento/verificação da conformidade do modelo aprovado no projeto Sinergia, ou seja, possibilitar as verificações posteriores nos medidores de fornecimento, garantindo a conformidade com o produto aprovado nos ensaios de vida acelerada. Estes testes evitaram erro no faturamento e de custos de manutenção. "/>
    <m/>
    <m/>
    <m/>
    <m/>
    <m/>
    <m/>
    <n v="0"/>
    <m/>
    <m/>
    <m/>
    <m/>
    <m/>
    <m/>
    <m/>
    <m/>
    <m/>
    <m/>
    <m/>
    <m/>
    <n v="0"/>
    <n v="350"/>
    <m/>
    <m/>
    <m/>
    <m/>
    <m/>
    <m/>
    <m/>
    <m/>
    <m/>
    <m/>
    <m/>
    <n v="350"/>
    <m/>
    <m/>
    <m/>
    <m/>
    <m/>
    <m/>
    <m/>
    <m/>
    <m/>
    <m/>
    <m/>
    <m/>
    <n v="0"/>
    <m/>
    <m/>
    <m/>
    <m/>
    <m/>
    <m/>
    <m/>
    <m/>
    <m/>
    <m/>
    <m/>
    <m/>
    <n v="0"/>
    <n v="350"/>
  </r>
  <r>
    <x v="2"/>
    <x v="12"/>
    <s v="RH/EC"/>
    <s v="Marcela Augusta"/>
    <s v="RH/EC"/>
    <s v="Marcela Augusta"/>
    <s v="DRH"/>
    <s v="RH00218"/>
    <s v="INFR.341.01718"/>
    <s v="Aquisição de recursos pedagógicos para Univercemig - RH00218"/>
    <s v="Aquisição de recursos pedagógicos para Univercemig 2018"/>
    <m/>
    <m/>
    <m/>
    <n v="4"/>
    <n v="5"/>
    <n v="22"/>
    <n v="223"/>
    <n v="254"/>
    <m/>
    <m/>
    <m/>
    <m/>
    <m/>
    <m/>
    <m/>
    <m/>
    <m/>
    <m/>
    <m/>
    <m/>
    <n v="0"/>
    <m/>
    <m/>
    <m/>
    <m/>
    <m/>
    <m/>
    <m/>
    <m/>
    <m/>
    <m/>
    <m/>
    <m/>
    <n v="0"/>
    <m/>
    <m/>
    <m/>
    <m/>
    <m/>
    <m/>
    <m/>
    <m/>
    <m/>
    <m/>
    <m/>
    <m/>
    <n v="0"/>
    <m/>
    <m/>
    <m/>
    <m/>
    <m/>
    <m/>
    <m/>
    <m/>
    <m/>
    <m/>
    <m/>
    <m/>
    <n v="0"/>
    <n v="254"/>
  </r>
  <r>
    <x v="2"/>
    <x v="12"/>
    <s v="EM/CE"/>
    <s v="Emerson Sidney"/>
    <s v="EM/CE"/>
    <s v="Emerson Sidney"/>
    <s v="DDC"/>
    <s v="EM00118"/>
    <s v="INFR.341.02718"/>
    <s v="Programa de Substituição e Modernização de Ferramentas EM/CE"/>
    <s v="Compra de ferramentas para as equipes de projetos e obras de resdes BT/MT(recomposição, prospecção)"/>
    <s v="Equipes produzindo menos"/>
    <m/>
    <m/>
    <m/>
    <m/>
    <n v="58"/>
    <n v="347"/>
    <n v="405"/>
    <m/>
    <m/>
    <m/>
    <m/>
    <m/>
    <m/>
    <m/>
    <m/>
    <m/>
    <m/>
    <m/>
    <m/>
    <n v="0"/>
    <m/>
    <m/>
    <m/>
    <m/>
    <m/>
    <m/>
    <m/>
    <m/>
    <m/>
    <m/>
    <m/>
    <m/>
    <n v="0"/>
    <m/>
    <m/>
    <m/>
    <m/>
    <m/>
    <m/>
    <m/>
    <m/>
    <m/>
    <m/>
    <m/>
    <m/>
    <n v="0"/>
    <m/>
    <m/>
    <m/>
    <m/>
    <m/>
    <m/>
    <m/>
    <m/>
    <m/>
    <m/>
    <m/>
    <m/>
    <n v="0"/>
    <n v="405"/>
  </r>
  <r>
    <x v="2"/>
    <x v="12"/>
    <s v="AD/AD"/>
    <s v="Flavio Henrique M. Vieira"/>
    <s v="AD/AD"/>
    <s v="Flavio Henrique M. Vieira"/>
    <s v="DDC"/>
    <s v="AD00118"/>
    <s v="INFR.341.02918"/>
    <s v="Aquisição de Ferramentas para a AD/AD_x000a_Junção dos seguintes projetos:_x000a_Equipamento analisador de nível de sinal celular - AQS _x000a_Ferramentas e equipamentos para Laboratório de testes de equipamentos  em Uberlândia"/>
    <s v="Aquisição de 25 equipamento analisador de nível de sinal celular - AQS _x000a_Aquisição de equipamentos para testes em equipamentos de rede em Uberlândia (Fonte de corrente 300A,Hipots 10kV, Alicates volt amperímetro CAT IV e fontes de tensão VCC estabilizada)"/>
    <s v="Elevação de custos de OPEX com serviço de campo para  manutenção do pontos que apresentam baixa performance para operação do COD.  Não será capturado melhoria dos indicadores de qualidade, dentre eles o DEC_x000a_A Cemig tem plano de investimento nos próximos anos para aplicação  de religadores em cumprimento a ações pactuadas no Plano de Resultados da Aneel visando melhoria do DEC. A automação da distribuição é essencial para atingir objetivos melhoria de processo, sendo que a falta de recurso compromete a melhor  avaliação de equipamentos e produtividade da equipe"/>
    <m/>
    <m/>
    <m/>
    <n v="12"/>
    <n v="20"/>
    <n v="21"/>
    <n v="53"/>
    <n v="0"/>
    <m/>
    <m/>
    <n v="110"/>
    <m/>
    <m/>
    <m/>
    <m/>
    <m/>
    <m/>
    <m/>
    <m/>
    <n v="110"/>
    <m/>
    <m/>
    <m/>
    <m/>
    <m/>
    <m/>
    <m/>
    <m/>
    <m/>
    <m/>
    <m/>
    <m/>
    <n v="0"/>
    <m/>
    <m/>
    <m/>
    <m/>
    <m/>
    <m/>
    <m/>
    <m/>
    <m/>
    <m/>
    <m/>
    <m/>
    <n v="0"/>
    <m/>
    <m/>
    <m/>
    <m/>
    <m/>
    <m/>
    <m/>
    <m/>
    <m/>
    <m/>
    <m/>
    <m/>
    <n v="0"/>
    <n v="163"/>
  </r>
  <r>
    <x v="2"/>
    <x v="12"/>
    <s v="RH/EC"/>
    <s v="Marcela Augusta"/>
    <s v="RH/EC"/>
    <s v="Marcela Augusta"/>
    <s v="DRH"/>
    <s v="NA"/>
    <m/>
    <s v="Aquisição de recursos pedagógicos para Univercemig"/>
    <s v="Aquisição de recursos pedagógicos para Univercemig"/>
    <m/>
    <m/>
    <m/>
    <m/>
    <m/>
    <m/>
    <m/>
    <n v="0"/>
    <m/>
    <m/>
    <m/>
    <m/>
    <m/>
    <m/>
    <m/>
    <m/>
    <m/>
    <m/>
    <m/>
    <n v="138"/>
    <n v="138"/>
    <m/>
    <m/>
    <m/>
    <m/>
    <m/>
    <m/>
    <m/>
    <m/>
    <m/>
    <m/>
    <m/>
    <m/>
    <n v="0"/>
    <m/>
    <m/>
    <m/>
    <m/>
    <m/>
    <m/>
    <m/>
    <m/>
    <m/>
    <m/>
    <m/>
    <m/>
    <n v="0"/>
    <m/>
    <m/>
    <m/>
    <m/>
    <m/>
    <m/>
    <m/>
    <m/>
    <m/>
    <m/>
    <m/>
    <m/>
    <n v="0"/>
    <n v="138"/>
  </r>
  <r>
    <x v="2"/>
    <x v="12"/>
    <s v="EA"/>
    <s v="Afonso Vanderlei Nunes Barbosa EA/EP_x000a_Beline Q. A. Fonseca EA/EO_x000a_José William Campomizzi EA/EL_x000a_"/>
    <s v="EA"/>
    <s v="Afonso Vanderlei Nunes Barbosa"/>
    <s v="DDC"/>
    <s v="EA00118"/>
    <s v="INFR.341.03018"/>
    <s v="Aquisição de Ferramentas para EA_x000a_Junção dos seguintes projetos:_x000a_Modernização do parque tecnológio da EA/EP para serviços geodésicos._x000a_Modernização do parque tecnológio da EA/EP para serviços topográficos_x000a_Aquisição de 4 computadores  Notebook._x000a_Aquisição de Smartfone para os fiscais de obra, com recurso de internet e boa resolução para registro fotográfico, acesso em campo aos sistemas GESET e GEDEX._x000a_Aquisição de 2 computadores do tipo Notebook._x000a_Aquisição de uma máquina fotográfica Semi profissional"/>
    <s v="Aquisição de um par de Receptor GPS de dupla frequência L1/L2 - RTK  – Incluindo software de descarregamento e transformação dos dados brutos para formato RINEX e seus acessórios _x000a_Aquisição de uma estação total e seus acessórios  (mira, tripé, bolsae caixa de transporte, baliza e bastão de aluminio, baterias, controladora e trena eletrônica)_x000a_Aquisição de 4 Notebook´s para utilização dos técnicos de automação e comissionamento (2 Xomni e 2 Softer analisador de protocolo) _x000a_Aquisição de 6 Smartphones para os fiscais de obra, com recurso de internet e boa resolução para registro fotográfico, acesso em campo aos sistemas GESET e GEDEX.Necessidade comum em obra dos fiscais terem que enviar fotos com detalhes de montagem para os engenheiros avaliarem em escritório. Consulta aos documentos de segurança de empreiteiras e acesso a documentos de projeto._x000a_Substituição de dois notebooks obsoletos (Agnaldo Neves e Ricardo Dourado)._x000a_Aquisição de 4 máquinas fotográficas digital com Zoom ótico maior que 28X"/>
    <s v="Aumento do custo de mão-obra própria com o uso das tecnologias atuais;_x000a_Aumento do riscos de má qualidade do projetos;_x000a_Risco de atraso nas obras;_x000a_Dependencia de software  e hardware (Notebooks) das equipes de manutenção regional que nem sempre estao disponiveis ._x000a_Contribui para a morosidade na tomada de decisão do engenheiro de obra._x000a_Demora na disponibilização de informações de campo e prestação de contas em sistemas corporativos._x000a_A fiscalização, no solo, da montagem de estrturas em LD´s , pórticos etc.. Durante o pre-comissionamento, ocasionando o retrabalho do comissionamento das equipes de LD´s regionais."/>
    <m/>
    <m/>
    <m/>
    <m/>
    <n v="74"/>
    <n v="75"/>
    <n v="149"/>
    <m/>
    <m/>
    <m/>
    <m/>
    <m/>
    <m/>
    <m/>
    <m/>
    <m/>
    <m/>
    <m/>
    <m/>
    <n v="0"/>
    <m/>
    <m/>
    <m/>
    <m/>
    <m/>
    <m/>
    <m/>
    <m/>
    <m/>
    <m/>
    <m/>
    <m/>
    <n v="0"/>
    <m/>
    <m/>
    <m/>
    <m/>
    <m/>
    <m/>
    <m/>
    <m/>
    <m/>
    <m/>
    <m/>
    <m/>
    <n v="0"/>
    <m/>
    <m/>
    <m/>
    <m/>
    <m/>
    <m/>
    <m/>
    <m/>
    <m/>
    <m/>
    <m/>
    <m/>
    <n v="0"/>
    <n v="149"/>
  </r>
  <r>
    <x v="2"/>
    <x v="12"/>
    <s v="RH/EC"/>
    <s v="Denis"/>
    <s v="RH/EC"/>
    <s v="Denis"/>
    <s v="DRH"/>
    <s v="NA"/>
    <m/>
    <s v="Medidor de Relação de transformação digital"/>
    <s v="Equipamento para o curso de Ensaios Elétricos."/>
    <s v="A falta de treinamento das equipes impossibilitará as manutenções preventivas dos equipamentos de subestações, ocasionando altos índices de defeitos e indisponibilidade do sistema elétrico."/>
    <m/>
    <m/>
    <m/>
    <m/>
    <m/>
    <m/>
    <n v="0"/>
    <m/>
    <m/>
    <m/>
    <m/>
    <m/>
    <m/>
    <m/>
    <m/>
    <m/>
    <m/>
    <m/>
    <n v="33"/>
    <n v="33"/>
    <m/>
    <m/>
    <m/>
    <m/>
    <m/>
    <m/>
    <m/>
    <m/>
    <m/>
    <m/>
    <m/>
    <m/>
    <n v="0"/>
    <m/>
    <m/>
    <m/>
    <m/>
    <m/>
    <m/>
    <m/>
    <m/>
    <m/>
    <m/>
    <m/>
    <m/>
    <n v="0"/>
    <m/>
    <m/>
    <m/>
    <m/>
    <m/>
    <m/>
    <m/>
    <m/>
    <m/>
    <m/>
    <m/>
    <m/>
    <n v="0"/>
    <n v="33"/>
  </r>
  <r>
    <x v="2"/>
    <x v="12"/>
    <s v="RH/EC"/>
    <s v="Romeraldo"/>
    <s v="RH/EC"/>
    <s v="Romeraldo"/>
    <s v="DRH"/>
    <s v="NA"/>
    <m/>
    <s v="Calibrador tipo Corpo Negro (Fonte de Calor)"/>
    <s v="Equipamento para o curso de Termografia aplicada ao Sistema Elétrico."/>
    <s v="A falta de treinamento das equipes impossibilitará as manutenções preventivas dos equipamentos de subestações, ocasionando altos índices de defeitos e indisponibilidade do sistema elétrico."/>
    <m/>
    <m/>
    <m/>
    <m/>
    <m/>
    <m/>
    <n v="0"/>
    <m/>
    <m/>
    <m/>
    <m/>
    <m/>
    <m/>
    <m/>
    <m/>
    <m/>
    <m/>
    <m/>
    <m/>
    <n v="0"/>
    <m/>
    <m/>
    <m/>
    <m/>
    <m/>
    <m/>
    <m/>
    <m/>
    <m/>
    <m/>
    <m/>
    <n v="30"/>
    <n v="30"/>
    <m/>
    <m/>
    <m/>
    <m/>
    <m/>
    <m/>
    <m/>
    <m/>
    <m/>
    <m/>
    <m/>
    <m/>
    <n v="0"/>
    <m/>
    <m/>
    <m/>
    <m/>
    <m/>
    <m/>
    <m/>
    <m/>
    <m/>
    <m/>
    <m/>
    <m/>
    <n v="0"/>
    <n v="30"/>
  </r>
  <r>
    <x v="2"/>
    <x v="12"/>
    <s v="RH/EC"/>
    <s v="Januario"/>
    <s v="RH/EC"/>
    <s v="Januario"/>
    <s v="DRH"/>
    <s v="NA"/>
    <m/>
    <s v="2 HI-POTT CA até 60 kV"/>
    <s v="Equipamento para o treinamento de rede aerea isolada."/>
    <s v="A falta de treinamento das equipes impossibilitará as manutenções preventivas dos equipamentos de subestações, ocasionando altos índices de defeitos e indisponibilidade do sistema elétrico."/>
    <m/>
    <m/>
    <m/>
    <m/>
    <m/>
    <m/>
    <n v="0"/>
    <m/>
    <m/>
    <m/>
    <m/>
    <m/>
    <m/>
    <m/>
    <m/>
    <m/>
    <m/>
    <m/>
    <n v="10"/>
    <n v="10"/>
    <m/>
    <m/>
    <m/>
    <m/>
    <m/>
    <m/>
    <m/>
    <m/>
    <m/>
    <m/>
    <m/>
    <m/>
    <n v="0"/>
    <m/>
    <m/>
    <m/>
    <m/>
    <m/>
    <m/>
    <m/>
    <m/>
    <m/>
    <m/>
    <m/>
    <n v="10"/>
    <n v="10"/>
    <m/>
    <m/>
    <m/>
    <m/>
    <m/>
    <m/>
    <m/>
    <m/>
    <m/>
    <m/>
    <m/>
    <m/>
    <n v="0"/>
    <n v="20"/>
  </r>
  <r>
    <x v="2"/>
    <x v="12"/>
    <s v="CD "/>
    <s v="Fábio"/>
    <s v="CD "/>
    <s v="Fábio"/>
    <s v="DDC"/>
    <s v="CD00315"/>
    <s v="3CPOCD00315"/>
    <s v="Ferramentas DDC 2015"/>
    <m/>
    <m/>
    <m/>
    <n v="11.104649901390076"/>
    <m/>
    <m/>
    <m/>
    <n v="0"/>
    <n v="11.104649901390076"/>
    <m/>
    <m/>
    <m/>
    <m/>
    <m/>
    <m/>
    <m/>
    <m/>
    <m/>
    <m/>
    <m/>
    <m/>
    <n v="0"/>
    <m/>
    <m/>
    <m/>
    <m/>
    <m/>
    <m/>
    <m/>
    <m/>
    <m/>
    <m/>
    <m/>
    <m/>
    <n v="0"/>
    <m/>
    <m/>
    <m/>
    <m/>
    <m/>
    <m/>
    <m/>
    <m/>
    <m/>
    <m/>
    <m/>
    <m/>
    <n v="0"/>
    <m/>
    <m/>
    <m/>
    <m/>
    <m/>
    <m/>
    <m/>
    <m/>
    <m/>
    <m/>
    <m/>
    <m/>
    <n v="0"/>
    <n v="11.104649901390076"/>
  </r>
  <r>
    <x v="2"/>
    <x v="12"/>
    <s v="RH/EC"/>
    <s v="Romeraldo"/>
    <s v="RH/EC"/>
    <s v="Romeraldo"/>
    <s v="DRH"/>
    <s v="NA"/>
    <m/>
    <s v="2 Alicates amperímetros digital com tecnologia wi-fi."/>
    <s v="Equipamento para o curso de Termografia aplicada ao Sistema Elétrico."/>
    <s v="A falta de treinamento das equipes impossibilitará as manutenções preventivas dos equipamentos de subestações, ocasionando altos índices de defeitos e indisponibilidade do sistema elétrico."/>
    <m/>
    <m/>
    <m/>
    <m/>
    <m/>
    <m/>
    <n v="0"/>
    <m/>
    <m/>
    <m/>
    <m/>
    <m/>
    <m/>
    <m/>
    <m/>
    <m/>
    <m/>
    <m/>
    <m/>
    <n v="0"/>
    <m/>
    <m/>
    <m/>
    <m/>
    <m/>
    <m/>
    <m/>
    <m/>
    <m/>
    <m/>
    <m/>
    <n v="3"/>
    <n v="3"/>
    <m/>
    <m/>
    <m/>
    <m/>
    <m/>
    <m/>
    <m/>
    <m/>
    <m/>
    <m/>
    <m/>
    <n v="3"/>
    <n v="3"/>
    <m/>
    <m/>
    <m/>
    <m/>
    <m/>
    <m/>
    <m/>
    <m/>
    <m/>
    <m/>
    <m/>
    <m/>
    <n v="0"/>
    <n v="6"/>
  </r>
  <r>
    <x v="2"/>
    <x v="12"/>
    <s v="GE/PC"/>
    <s v="Viviane Fernanda"/>
    <s v="GE/PC"/>
    <s v="Viviane Fernanda"/>
    <s v="DGE"/>
    <s v="NA"/>
    <m/>
    <s v="Saldo 3-4-1 Ferramentas D"/>
    <m/>
    <m/>
    <m/>
    <m/>
    <m/>
    <m/>
    <m/>
    <m/>
    <n v="0"/>
    <m/>
    <m/>
    <m/>
    <m/>
    <m/>
    <m/>
    <m/>
    <m/>
    <m/>
    <m/>
    <m/>
    <m/>
    <n v="0"/>
    <m/>
    <m/>
    <m/>
    <m/>
    <m/>
    <m/>
    <m/>
    <m/>
    <m/>
    <m/>
    <m/>
    <m/>
    <n v="0"/>
    <m/>
    <m/>
    <m/>
    <m/>
    <m/>
    <m/>
    <m/>
    <m/>
    <m/>
    <m/>
    <m/>
    <m/>
    <n v="0"/>
    <m/>
    <m/>
    <m/>
    <m/>
    <m/>
    <m/>
    <m/>
    <m/>
    <m/>
    <m/>
    <m/>
    <m/>
    <n v="0"/>
    <n v="0"/>
  </r>
  <r>
    <x v="2"/>
    <x v="13"/>
    <s v="GE/PC"/>
    <s v="Viviane Fernanda"/>
    <s v="GE/PC"/>
    <s v="Viviane Fernanda"/>
    <s v="DGE"/>
    <s v="NA"/>
    <m/>
    <s v="Saldo 3-4-2 Edificações D"/>
    <m/>
    <m/>
    <m/>
    <m/>
    <m/>
    <m/>
    <m/>
    <m/>
    <n v="0"/>
    <m/>
    <m/>
    <m/>
    <m/>
    <m/>
    <m/>
    <m/>
    <m/>
    <m/>
    <m/>
    <m/>
    <n v="21.600000023842"/>
    <n v="21.600000023842"/>
    <m/>
    <m/>
    <m/>
    <m/>
    <m/>
    <m/>
    <m/>
    <m/>
    <m/>
    <m/>
    <m/>
    <m/>
    <n v="0"/>
    <m/>
    <m/>
    <m/>
    <m/>
    <m/>
    <m/>
    <m/>
    <m/>
    <m/>
    <m/>
    <m/>
    <m/>
    <n v="0"/>
    <m/>
    <m/>
    <m/>
    <m/>
    <m/>
    <m/>
    <m/>
    <m/>
    <m/>
    <m/>
    <m/>
    <m/>
    <n v="0"/>
    <n v="21.600000023842"/>
  </r>
  <r>
    <x v="2"/>
    <x v="13"/>
    <s v="MS/QL"/>
    <s v="Rodrigo Marques"/>
    <s v="MS/QL"/>
    <s v="Rodrigo Marques"/>
    <s v="DGE"/>
    <s v="NA"/>
    <m/>
    <s v="Construção de Laboratório de Ensaios de Materiais da MS/QL em novo CDM."/>
    <s v="Construção de Laboratório de Ensaios de Materiais da MS/QL em novo CDM-Centro de Distribuiçaõ de Materiais da CEMIG, tendo em vista a vendo dos sites atuais (quarteirões 1 e 2 do Jatobá)."/>
    <s v="Caso o projeto não seja executado, haverá comprometimento da capacitação da CEMIG nos ensaios para a devida verificação da qualidade dos materiais adquiridos e aplicados no sistema elétrico, e não alcance de apoio aos forncecedores no desenvolvimento tecnológico do parque industrial brasileiro._x000a_Além disso, irá inviabilizar a desocupação do Q1, onde estão montados os laboratórios atuais, para alienação e consequentemente a apuração de receita para a companhia."/>
    <m/>
    <m/>
    <m/>
    <m/>
    <m/>
    <m/>
    <n v="0"/>
    <m/>
    <m/>
    <m/>
    <m/>
    <m/>
    <m/>
    <m/>
    <m/>
    <m/>
    <m/>
    <m/>
    <m/>
    <n v="0"/>
    <m/>
    <n v="10"/>
    <n v="15"/>
    <n v="20"/>
    <n v="25"/>
    <n v="20"/>
    <n v="15"/>
    <m/>
    <m/>
    <m/>
    <m/>
    <m/>
    <n v="105"/>
    <m/>
    <m/>
    <m/>
    <n v="50"/>
    <n v="215"/>
    <n v="220"/>
    <n v="240"/>
    <n v="285"/>
    <n v="265"/>
    <n v="250"/>
    <n v="220"/>
    <n v="205"/>
    <n v="1950"/>
    <n v="200"/>
    <n v="190"/>
    <n v="175"/>
    <n v="155"/>
    <n v="135"/>
    <n v="120"/>
    <m/>
    <m/>
    <m/>
    <m/>
    <m/>
    <m/>
    <n v="975"/>
    <n v="3030"/>
  </r>
  <r>
    <x v="2"/>
    <x v="13"/>
    <s v="GE/IM"/>
    <s v="Samuel Matos"/>
    <s v="GE/IM"/>
    <s v="Samuel Matos"/>
    <s v="DGE"/>
    <s v="GE01018"/>
    <s v="INFR.342.01818"/>
    <s v="Otimização dos Ativos de Divinópolis"/>
    <s v="Obras para viabilização da transferência dos funcionários lotados na UHE Gafanhoto para o imóvel situado na Rua Itapecerica, e para o imóvel SE Divinópolis 02, visando à desocupação de parte da área do imóvel da Usina, prescindível aos negócios da empresa, para alienação, além da redução de despesas com contratos de transporte por ônibus e de vigilância armada."/>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total da área do imóvel da UHE Gafanhoto, prevista para ser alienada, inviabilizando a sua alienação e à redução de custos operacionais como serviço de transporte de ônibus, vigilância armada, conservação e limpeza, impostos e taxas, entre outros."/>
    <m/>
    <m/>
    <m/>
    <m/>
    <n v="10"/>
    <n v="20"/>
    <n v="30"/>
    <n v="145"/>
    <n v="65"/>
    <n v="65"/>
    <n v="65"/>
    <n v="65"/>
    <n v="69"/>
    <m/>
    <m/>
    <m/>
    <m/>
    <m/>
    <n v="2"/>
    <n v="476"/>
    <n v="207"/>
    <n v="237.01"/>
    <n v="161.41999999999999"/>
    <n v="252.32"/>
    <n v="202.53"/>
    <n v="158.07"/>
    <n v="233.24"/>
    <n v="118.07"/>
    <n v="100.29"/>
    <n v="118.07"/>
    <n v="104.73"/>
    <n v="84.95"/>
    <n v="1977.6999999999998"/>
    <m/>
    <m/>
    <m/>
    <m/>
    <m/>
    <m/>
    <m/>
    <m/>
    <m/>
    <m/>
    <m/>
    <m/>
    <n v="0"/>
    <m/>
    <m/>
    <m/>
    <m/>
    <m/>
    <m/>
    <m/>
    <m/>
    <m/>
    <m/>
    <m/>
    <m/>
    <n v="0"/>
    <n v="2483.6999999999998"/>
  </r>
  <r>
    <x v="2"/>
    <x v="13"/>
    <s v="GR/MP"/>
    <s v="Rafael Pimenta F Filho"/>
    <s v="GR/MP"/>
    <s v="Rafael Pimenta F Filho"/>
    <s v="DDC"/>
    <s v="NA"/>
    <m/>
    <s v="Aquisição de software para a GR"/>
    <m/>
    <m/>
    <m/>
    <m/>
    <m/>
    <m/>
    <m/>
    <m/>
    <n v="0"/>
    <m/>
    <m/>
    <m/>
    <m/>
    <m/>
    <m/>
    <n v="1969.9999999999998"/>
    <m/>
    <m/>
    <m/>
    <m/>
    <m/>
    <n v="1969.9999999999998"/>
    <m/>
    <m/>
    <m/>
    <m/>
    <m/>
    <m/>
    <m/>
    <m/>
    <m/>
    <m/>
    <m/>
    <m/>
    <n v="0"/>
    <m/>
    <m/>
    <m/>
    <m/>
    <m/>
    <m/>
    <m/>
    <m/>
    <m/>
    <m/>
    <m/>
    <m/>
    <n v="0"/>
    <m/>
    <m/>
    <m/>
    <m/>
    <m/>
    <m/>
    <m/>
    <m/>
    <m/>
    <m/>
    <m/>
    <m/>
    <n v="0"/>
    <n v="1969.9999999999998"/>
  </r>
  <r>
    <x v="2"/>
    <x v="13"/>
    <s v="SC"/>
    <s v="Flávio Henrique Silva Rosário"/>
    <s v="SC"/>
    <s v="Flávio Henrique Silva Rosário"/>
    <s v="DGE"/>
    <s v="NA"/>
    <m/>
    <s v="Q14/P2 e 3 e P2/Adelaide - Obra de recuperação estrutural e instalações"/>
    <s v="Obra de instalação do sistema de combate a incêndio, Sistema de Proteção conta Descargas Atmosféricas - SPDA e substituição de telhado."/>
    <s v="Infiltração do telhado podendo avariar equipamentos e materiais; segurança em relação a combate a incêndio, SPDA e instalações elétricas"/>
    <s v="Alongamento da curva de desembolso, para atendimento à demanda financeira da empresa. Além disso, está sendo elaborada pelo SC ata de registro de preços para obras, a fim de viabilizar execução dos trabalhos a partir de 2018."/>
    <m/>
    <m/>
    <m/>
    <m/>
    <m/>
    <n v="0"/>
    <m/>
    <m/>
    <m/>
    <m/>
    <m/>
    <m/>
    <m/>
    <m/>
    <n v="660"/>
    <m/>
    <m/>
    <m/>
    <n v="660"/>
    <n v="124"/>
    <n v="120"/>
    <n v="116"/>
    <n v="100"/>
    <n v="74"/>
    <m/>
    <m/>
    <m/>
    <m/>
    <m/>
    <m/>
    <m/>
    <n v="534"/>
    <m/>
    <m/>
    <m/>
    <m/>
    <n v="320"/>
    <m/>
    <m/>
    <m/>
    <m/>
    <m/>
    <m/>
    <n v="0"/>
    <n v="320"/>
    <m/>
    <m/>
    <m/>
    <m/>
    <m/>
    <m/>
    <m/>
    <m/>
    <m/>
    <m/>
    <m/>
    <n v="0"/>
    <n v="0"/>
    <n v="1514"/>
  </r>
  <r>
    <x v="2"/>
    <x v="13"/>
    <s v="GE/IM"/>
    <s v="Loan Lauar"/>
    <s v="GE/IM"/>
    <s v="Loan Lauar"/>
    <s v="DGE"/>
    <s v="NA"/>
    <m/>
    <s v="Otimização dos Ativos de Três Corações"/>
    <s v="Alienação do imóvel compartilhado, construção na SE e locação de imóvel para agência de atendimento."/>
    <s v="Não cumprimento do Acordo de Metas da Iniciativa 9 do Programa de Adequação da Cemig D ao Regulatório, a qual prevê a obtenção de receita com a alienação de imóvel inservível, e à redução de despesas operacionais."/>
    <m/>
    <m/>
    <m/>
    <m/>
    <m/>
    <m/>
    <n v="0"/>
    <m/>
    <n v="30"/>
    <m/>
    <n v="71"/>
    <m/>
    <m/>
    <m/>
    <m/>
    <m/>
    <m/>
    <m/>
    <m/>
    <n v="101"/>
    <m/>
    <m/>
    <m/>
    <m/>
    <m/>
    <m/>
    <m/>
    <m/>
    <n v="67.519000000000005"/>
    <n v="67.519000000000005"/>
    <n v="135.03800000000001"/>
    <n v="135.03800000000001"/>
    <n v="405.11400000000003"/>
    <n v="202.55600000000001"/>
    <n v="202.566"/>
    <n v="202.55600000000001"/>
    <n v="135.03800000000001"/>
    <n v="135.03800000000001"/>
    <n v="67.42899999999986"/>
    <m/>
    <m/>
    <m/>
    <m/>
    <m/>
    <m/>
    <n v="945.18299999999988"/>
    <m/>
    <m/>
    <m/>
    <m/>
    <m/>
    <m/>
    <m/>
    <m/>
    <m/>
    <m/>
    <m/>
    <m/>
    <n v="0"/>
    <n v="1451.297"/>
  </r>
  <r>
    <x v="2"/>
    <x v="13"/>
    <s v="GE/IM"/>
    <s v="Evandro Jardim"/>
    <s v="GE/IM"/>
    <s v="Evandro Jardim"/>
    <s v="DGE"/>
    <s v="NA"/>
    <m/>
    <s v="Otimização dos Ativos de Barbacena"/>
    <s v="Execução de adequações/reforma civil do imóvel da SE Barbacena 2."/>
    <s v="Não cumprimento do Acordo de Metas da Iniciativa 9 do Programa de Adequação da Cemig D ao Regulatório, a qual prevê a obtenção de receita com a alienação de imóvel inservível, e à redução de despesas operacionais."/>
    <m/>
    <m/>
    <m/>
    <m/>
    <m/>
    <m/>
    <n v="0"/>
    <m/>
    <m/>
    <m/>
    <m/>
    <m/>
    <m/>
    <n v="30"/>
    <m/>
    <m/>
    <n v="70"/>
    <m/>
    <m/>
    <n v="100"/>
    <m/>
    <m/>
    <m/>
    <m/>
    <m/>
    <m/>
    <m/>
    <m/>
    <n v="67.5"/>
    <n v="67.5"/>
    <n v="135"/>
    <n v="135"/>
    <n v="405"/>
    <n v="202.5"/>
    <n v="202.5"/>
    <n v="202.5"/>
    <n v="135"/>
    <n v="135"/>
    <n v="67.122358179476578"/>
    <m/>
    <m/>
    <m/>
    <m/>
    <m/>
    <m/>
    <n v="944.62235817947658"/>
    <m/>
    <m/>
    <m/>
    <m/>
    <m/>
    <m/>
    <m/>
    <m/>
    <m/>
    <m/>
    <m/>
    <m/>
    <n v="0"/>
    <n v="1449.6223581794766"/>
  </r>
  <r>
    <x v="2"/>
    <x v="13"/>
    <s v="SC"/>
    <s v="Flávio Henrique Silva Rosário"/>
    <s v="SC"/>
    <s v="Flávio Henrique Silva Rosário"/>
    <s v="DGE"/>
    <s v="SC00618"/>
    <s v="INFR.342.02418"/>
    <s v="Aquisição de Sistema multiponto RPCS VE  Equipado para 40 conexões HD ou 80 conexões SD "/>
    <s v="Aquisição de um sistema conexão multiponto para modernização e ampliação e substituição da unidade MCU - MGC 10,0 em utilização atualmente no sistema de videoconferência da Cemig."/>
    <s v="Impossibilidade de conexão entre todos os terminais de sistema de videoconferência. Negativa do fafricante Polycom, em prestar manutenção corretiva na MGC 100, por se tratar de equipamento ultrapassado e sem peças de reposição."/>
    <s v="Orçamento de mercado superior ao previsto em função de variação do dólar. O desembolso ocorre na entrega do pagamento, logo houve antecipação."/>
    <m/>
    <m/>
    <m/>
    <m/>
    <n v="1209"/>
    <n v="1209"/>
    <m/>
    <m/>
    <m/>
    <m/>
    <m/>
    <m/>
    <m/>
    <m/>
    <m/>
    <m/>
    <m/>
    <m/>
    <n v="0"/>
    <m/>
    <m/>
    <m/>
    <m/>
    <m/>
    <m/>
    <m/>
    <m/>
    <n v="196"/>
    <m/>
    <m/>
    <m/>
    <n v="196"/>
    <m/>
    <m/>
    <m/>
    <m/>
    <m/>
    <m/>
    <m/>
    <m/>
    <n v="0"/>
    <m/>
    <m/>
    <m/>
    <n v="0"/>
    <m/>
    <m/>
    <m/>
    <m/>
    <m/>
    <m/>
    <m/>
    <m/>
    <m/>
    <m/>
    <m/>
    <m/>
    <n v="0"/>
    <n v="1405"/>
  </r>
  <r>
    <x v="2"/>
    <x v="13"/>
    <s v="GE/IM"/>
    <s v="Loan Lauar"/>
    <s v="GE/IM"/>
    <s v="Loan Lauar"/>
    <s v="DGE"/>
    <s v="NA"/>
    <m/>
    <s v="Otimização dos Ativos de Varginha"/>
    <s v="Alienação do imóvel do centro, obras de adequação da SE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m/>
    <m/>
    <m/>
    <m/>
    <m/>
    <n v="0"/>
    <m/>
    <n v="39.462000000000003"/>
    <m/>
    <n v="92.078000000000003"/>
    <m/>
    <m/>
    <m/>
    <m/>
    <m/>
    <n v="87.144999999999996"/>
    <n v="91.435000000000002"/>
    <n v="94.289999999999992"/>
    <n v="404.40999999999997"/>
    <n v="191.43600000000001"/>
    <n v="111.43600000000001"/>
    <n v="111.43600000000001"/>
    <n v="124.29"/>
    <n v="139.29"/>
    <n v="87.144999999999996"/>
    <n v="90"/>
    <n v="80.128000000000611"/>
    <m/>
    <m/>
    <m/>
    <m/>
    <n v="935.16100000000051"/>
    <m/>
    <m/>
    <m/>
    <m/>
    <m/>
    <m/>
    <m/>
    <m/>
    <m/>
    <m/>
    <m/>
    <m/>
    <n v="0"/>
    <m/>
    <m/>
    <m/>
    <m/>
    <m/>
    <m/>
    <m/>
    <m/>
    <m/>
    <m/>
    <m/>
    <m/>
    <n v="0"/>
    <n v="1339.5710000000004"/>
  </r>
  <r>
    <x v="2"/>
    <x v="13"/>
    <s v="SC"/>
    <s v="Flávio Henrique Silva Rosário"/>
    <s v="SC"/>
    <s v="Flávio Henrique Silva Rosário"/>
    <s v="DGE"/>
    <s v="NA"/>
    <m/>
    <s v="Substituição do sistema de abastecimento de água das unidades AR, CI, IT e SE-NA"/>
    <s v="Substituição de toda a malha hidráulica dos prédios dentro das unidades AR, CI, IT e SE-NA dentro dos novos padrões de mercado e de produto"/>
    <s v="Rompimento de tubulações; interrupção de abastecimento em local de trabalho; contaminação em água potável; atendimentos emergenciais aos vazamentos; dificuldade para manutenção; impacto em outros sistemas construtivos, aumentando custo de manutenção"/>
    <s v="Alongamento da curva de desembolso, para atendimento à demanda financeira da empresa. Além disso, está sendo elaborada pelo SC ata de registro de preços para obras, a fim de viabilizar execução dos trabalhos a partir de 2018."/>
    <m/>
    <m/>
    <m/>
    <m/>
    <m/>
    <n v="0"/>
    <m/>
    <m/>
    <m/>
    <m/>
    <n v="30"/>
    <n v="30"/>
    <n v="25"/>
    <n v="30"/>
    <n v="30"/>
    <n v="38"/>
    <n v="40"/>
    <n v="45"/>
    <n v="268"/>
    <n v="50"/>
    <n v="55"/>
    <n v="60"/>
    <n v="65"/>
    <n v="70"/>
    <n v="80"/>
    <n v="80"/>
    <n v="80"/>
    <n v="75"/>
    <n v="70"/>
    <n v="65"/>
    <n v="60"/>
    <n v="810"/>
    <n v="55"/>
    <n v="45"/>
    <n v="40"/>
    <n v="35"/>
    <n v="35"/>
    <n v="25"/>
    <m/>
    <m/>
    <m/>
    <m/>
    <m/>
    <m/>
    <n v="235"/>
    <m/>
    <m/>
    <m/>
    <m/>
    <m/>
    <m/>
    <m/>
    <m/>
    <m/>
    <m/>
    <m/>
    <m/>
    <n v="0"/>
    <n v="1313"/>
  </r>
  <r>
    <x v="2"/>
    <x v="13"/>
    <s v="GE/IM"/>
    <s v="Evandro Jardim"/>
    <s v="GE/IM"/>
    <s v="Evandro Jardim"/>
    <s v="DGE"/>
    <s v="NA"/>
    <m/>
    <s v="Otimização dos Ativos de Araxá"/>
    <s v="Execução de obra civil de nova instalação de escritório no imóvel anexo à Subestação para recebimento do pessoal do imóvel do Centro."/>
    <s v="Não cumprimento do Acordo de Metas da Iniciativa 9 do Programa de Adequação da Cemig D ao Regulatório, a qual prevê a obtenção de receita com a alienação de imóvel inservível, e à redução de despesas operacionais."/>
    <m/>
    <m/>
    <m/>
    <m/>
    <m/>
    <m/>
    <n v="0"/>
    <m/>
    <m/>
    <m/>
    <m/>
    <m/>
    <m/>
    <n v="5"/>
    <n v="6"/>
    <n v="10"/>
    <n v="10"/>
    <n v="10"/>
    <n v="10"/>
    <n v="51"/>
    <m/>
    <m/>
    <m/>
    <m/>
    <m/>
    <n v="190"/>
    <n v="190"/>
    <n v="190"/>
    <n v="190"/>
    <n v="190"/>
    <n v="185.89284166100015"/>
    <m/>
    <n v="1135.8928416610001"/>
    <m/>
    <m/>
    <m/>
    <m/>
    <m/>
    <m/>
    <m/>
    <m/>
    <m/>
    <m/>
    <m/>
    <m/>
    <n v="0"/>
    <m/>
    <m/>
    <m/>
    <m/>
    <m/>
    <m/>
    <m/>
    <m/>
    <m/>
    <m/>
    <m/>
    <m/>
    <n v="0"/>
    <n v="1186.8928416610001"/>
  </r>
  <r>
    <x v="2"/>
    <x v="13"/>
    <s v="GE/IM"/>
    <s v="Loan Lauar"/>
    <s v="GE/IM"/>
    <s v="Loan Lauar"/>
    <s v="DGE"/>
    <s v="NA"/>
    <m/>
    <s v="Otimização dos Ativos de Governador Valadares"/>
    <s v="Alienação do imóvel do centro, transferência para o imóvel da Vila Mariana, onde será construída edificação, e locação de imóvel para a Agência de Atendimento."/>
    <s v="Não cumprimento do Acordo de Metas da Iniciativa 9 do Programa de Adequação da Cemig D ao Regulatório, a qual prevê a obtenção de receita com a alienação de imóvel inservível, e à redução de despesas operacionais."/>
    <m/>
    <m/>
    <m/>
    <m/>
    <m/>
    <m/>
    <n v="0"/>
    <m/>
    <m/>
    <m/>
    <m/>
    <m/>
    <n v="28"/>
    <n v="29"/>
    <m/>
    <m/>
    <m/>
    <n v="154"/>
    <n v="100"/>
    <n v="311"/>
    <n v="126"/>
    <n v="197"/>
    <n v="185"/>
    <n v="130"/>
    <n v="140"/>
    <m/>
    <m/>
    <m/>
    <m/>
    <m/>
    <m/>
    <m/>
    <n v="778"/>
    <m/>
    <m/>
    <m/>
    <m/>
    <m/>
    <m/>
    <m/>
    <m/>
    <m/>
    <m/>
    <m/>
    <m/>
    <n v="0"/>
    <m/>
    <m/>
    <m/>
    <m/>
    <m/>
    <m/>
    <m/>
    <m/>
    <m/>
    <m/>
    <m/>
    <m/>
    <n v="0"/>
    <n v="1089"/>
  </r>
  <r>
    <x v="2"/>
    <x v="13"/>
    <s v="SC"/>
    <s v="Flávio Henrique Silva Rosário/ Daniel Bretas"/>
    <s v="SC"/>
    <s v="Flávio Henrique Silva Rosário/ Daniel Bretas"/>
    <s v="DGE"/>
    <s v="NA"/>
    <m/>
    <s v="Aquisição de Equipamento Geral - Ar Condicionado, Bebedouro, Projetor e Microondas - Distribuição - NA"/>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s v="Alongamento da curva de desembolso, para atendimento à demanda financeira da empresa."/>
    <m/>
    <m/>
    <m/>
    <m/>
    <m/>
    <n v="0"/>
    <m/>
    <m/>
    <m/>
    <m/>
    <m/>
    <m/>
    <m/>
    <n v="200"/>
    <m/>
    <m/>
    <m/>
    <m/>
    <n v="200"/>
    <m/>
    <m/>
    <m/>
    <m/>
    <m/>
    <m/>
    <m/>
    <n v="200"/>
    <m/>
    <m/>
    <m/>
    <m/>
    <n v="200"/>
    <m/>
    <m/>
    <m/>
    <m/>
    <m/>
    <m/>
    <m/>
    <m/>
    <n v="200"/>
    <m/>
    <m/>
    <n v="0"/>
    <n v="200"/>
    <m/>
    <m/>
    <m/>
    <m/>
    <m/>
    <m/>
    <m/>
    <n v="402"/>
    <m/>
    <m/>
    <m/>
    <m/>
    <n v="402"/>
    <n v="1002"/>
  </r>
  <r>
    <x v="2"/>
    <x v="13"/>
    <s v="SC"/>
    <s v="Flávio Henrique Silva Rosário"/>
    <s v="SC"/>
    <s v="Flávio Henrique Silva Rosário"/>
    <s v="DGE"/>
    <s v="NA"/>
    <m/>
    <s v="Aquisição de baterias para os Nobreaks dos Edifícios Júlio Soares e Aureliano Chaves"/>
    <s v="Aquisição de baterias para os Nobreaks, que possuem vida útil média de 5 anos e precisam ser substituídas de periodicamente."/>
    <s v="Falha completa dos nobreaks, o que pode provocar interrupção no fornecimento de energia para áreas críticas da empresa, como COS, COD e TI, e consequentemente, diversos prejuízos em falhas operacionais e multas no Sistema Elétrica da Cemig."/>
    <m/>
    <m/>
    <m/>
    <m/>
    <m/>
    <m/>
    <n v="0"/>
    <m/>
    <m/>
    <m/>
    <m/>
    <m/>
    <m/>
    <m/>
    <m/>
    <m/>
    <m/>
    <m/>
    <m/>
    <n v="0"/>
    <m/>
    <m/>
    <m/>
    <m/>
    <m/>
    <m/>
    <m/>
    <m/>
    <m/>
    <m/>
    <m/>
    <m/>
    <n v="0"/>
    <m/>
    <m/>
    <m/>
    <m/>
    <m/>
    <m/>
    <m/>
    <m/>
    <n v="200"/>
    <m/>
    <m/>
    <m/>
    <n v="200"/>
    <m/>
    <m/>
    <m/>
    <m/>
    <m/>
    <m/>
    <m/>
    <m/>
    <n v="600"/>
    <m/>
    <m/>
    <m/>
    <n v="600"/>
    <n v="800"/>
  </r>
  <r>
    <x v="2"/>
    <x v="13"/>
    <s v="GE/IM"/>
    <s v="Samuel Matos"/>
    <s v="GE/IM"/>
    <s v="Samuel Matos"/>
    <s v="DGE"/>
    <s v="GE01118"/>
    <s v="PIRE/18/0342"/>
    <s v="Otimização dos Ativos de Lavras para atendimento da Cemig GT"/>
    <s v="Obras para viabilização da transferência da equipe da MG/CS do imóvel locado da Cemig GT, situado na rua Comendador José Esteves, nº 40, para o imóvel próprio da Cemig D, situado na Rua Chagas Doria, nº 95, atualmente ocupado pela MD/VR, visando à_x000a_rescisão do contrato de locação do imóvel da MG/CS, que possui custo mensal de R$ 9 mil e à otimização da ocupação do imóvel da Cemig D. Serão executadas obras na edificação visando  o adequado funcionamento das atividades das gerências locais."/>
    <s v="Não redução de despesa operacional, relativa à locação de imóvel para a Cemig GT, no município de Lavras."/>
    <m/>
    <m/>
    <m/>
    <m/>
    <n v="25"/>
    <n v="10"/>
    <n v="35"/>
    <n v="13"/>
    <n v="13"/>
    <n v="13"/>
    <m/>
    <m/>
    <m/>
    <m/>
    <n v="142"/>
    <n v="142"/>
    <n v="142"/>
    <n v="142"/>
    <n v="145"/>
    <n v="752"/>
    <m/>
    <m/>
    <m/>
    <m/>
    <m/>
    <m/>
    <m/>
    <m/>
    <m/>
    <m/>
    <m/>
    <m/>
    <n v="0"/>
    <m/>
    <m/>
    <m/>
    <m/>
    <m/>
    <m/>
    <m/>
    <m/>
    <m/>
    <m/>
    <m/>
    <m/>
    <n v="0"/>
    <m/>
    <m/>
    <m/>
    <m/>
    <m/>
    <m/>
    <m/>
    <m/>
    <m/>
    <m/>
    <m/>
    <m/>
    <n v="0"/>
    <n v="787"/>
  </r>
  <r>
    <x v="2"/>
    <x v="13"/>
    <s v="GE/IM"/>
    <s v="Evandro Jardim"/>
    <s v="GE/IM"/>
    <s v="Evandro Jardim"/>
    <s v="DGE"/>
    <s v="NA"/>
    <m/>
    <s v="Otimização dos Ativos de Montes Claros"/>
    <s v="Alienação do compartilhado e transferência das atividades para o imóvel situado no bairro Vila Mauricéia e locação de imóvel para agência. Adequação do imóvel para recebimento da equipe."/>
    <s v="Não cumprimento do Acordo de Metas da Iniciativa 9 do Programa de Adequação da Cemig D ao Regulatório, a qual prevê a obtenção de receita com a alienação de imóvel inservível, e à redução de despesas operacionais."/>
    <m/>
    <m/>
    <m/>
    <m/>
    <m/>
    <n v="50"/>
    <n v="50"/>
    <m/>
    <m/>
    <m/>
    <m/>
    <m/>
    <m/>
    <m/>
    <n v="35"/>
    <n v="35"/>
    <n v="70"/>
    <n v="70"/>
    <n v="49"/>
    <n v="259"/>
    <n v="126"/>
    <n v="105"/>
    <n v="70"/>
    <n v="70"/>
    <n v="70"/>
    <m/>
    <m/>
    <m/>
    <m/>
    <m/>
    <m/>
    <m/>
    <n v="441"/>
    <m/>
    <m/>
    <m/>
    <m/>
    <m/>
    <m/>
    <m/>
    <m/>
    <m/>
    <m/>
    <m/>
    <m/>
    <n v="0"/>
    <m/>
    <m/>
    <m/>
    <m/>
    <m/>
    <m/>
    <m/>
    <m/>
    <m/>
    <m/>
    <m/>
    <m/>
    <n v="0"/>
    <n v="750"/>
  </r>
  <r>
    <x v="2"/>
    <x v="13"/>
    <s v="GE/IM"/>
    <s v="Samuel Matos"/>
    <s v="GE/IM"/>
    <s v="Samuel Matos"/>
    <s v="DGE"/>
    <s v="GE01618"/>
    <s v="PIRE/18/REBT"/>
    <s v="Reforma da Edificação do CDA Betim"/>
    <s v="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_x000a_Adaptação de uma edificação utilizada como Quiosque no imóvel, por meio de uma reforma civil, para a instalação e funcionamento de um Almoxarifado para armazenamento de equipamentos de manutenção da MD local, possibilitando a desocupação de uma das edificações existentes na área a ser alienada."/>
    <m/>
    <m/>
    <m/>
    <m/>
    <m/>
    <m/>
    <n v="57"/>
    <n v="57"/>
    <m/>
    <m/>
    <m/>
    <m/>
    <m/>
    <m/>
    <m/>
    <m/>
    <m/>
    <m/>
    <m/>
    <m/>
    <n v="0"/>
    <m/>
    <m/>
    <m/>
    <m/>
    <m/>
    <m/>
    <m/>
    <m/>
    <m/>
    <m/>
    <m/>
    <m/>
    <n v="0"/>
    <m/>
    <m/>
    <m/>
    <m/>
    <m/>
    <m/>
    <m/>
    <m/>
    <m/>
    <m/>
    <m/>
    <m/>
    <n v="0"/>
    <m/>
    <m/>
    <m/>
    <m/>
    <m/>
    <m/>
    <m/>
    <m/>
    <m/>
    <m/>
    <m/>
    <m/>
    <n v="0"/>
    <n v="57"/>
  </r>
  <r>
    <x v="2"/>
    <x v="13"/>
    <s v="GE/IM"/>
    <s v="Samuel Matos"/>
    <s v="GE/IM"/>
    <s v="Samuel Matos"/>
    <s v="DGE"/>
    <s v="GE01718"/>
    <s v="INFR.342.04618"/>
    <s v="Otimização dos Ativos de Betim"/>
    <s v="Otimizar a ocupação do imóvel do CDA Betim por meio da transferência das atividades atualmente desenvolvidas no Prédio 2 e entorno deste – Escritório, Almoxarifado e Estacionamento – para o Prédio 1 e áreas subutilizadas existentes no próprio imóvel, com posterior disponibilização da área liberada para alienação, em conjunto com o terreno livre e prescindível já identificado._x000a_Executar obras que compreendem na construção de: cerca de divisa, almoxarifado, sistema de esgotamento sanitário, baias de sucatas e portaria."/>
    <m/>
    <m/>
    <m/>
    <m/>
    <m/>
    <n v="20"/>
    <m/>
    <n v="20"/>
    <n v="30"/>
    <n v="10"/>
    <m/>
    <m/>
    <m/>
    <m/>
    <n v="93"/>
    <n v="93"/>
    <n v="93"/>
    <n v="93"/>
    <n v="93"/>
    <n v="97"/>
    <n v="602"/>
    <m/>
    <m/>
    <m/>
    <m/>
    <m/>
    <m/>
    <m/>
    <m/>
    <m/>
    <m/>
    <m/>
    <m/>
    <n v="0"/>
    <m/>
    <m/>
    <m/>
    <m/>
    <m/>
    <m/>
    <m/>
    <m/>
    <m/>
    <m/>
    <m/>
    <m/>
    <n v="0"/>
    <m/>
    <m/>
    <m/>
    <m/>
    <m/>
    <m/>
    <m/>
    <m/>
    <m/>
    <m/>
    <m/>
    <m/>
    <n v="0"/>
    <n v="622"/>
  </r>
  <r>
    <x v="2"/>
    <x v="13"/>
    <s v="SC"/>
    <s v="Flávio Henrique Silva Rosário"/>
    <s v="SC"/>
    <s v="Flávio Henrique Silva Rosário"/>
    <s v="DGE"/>
    <s v="NA"/>
    <m/>
    <s v="Reforma total e impermeabilização do telhado do imóvel Q3 - Bloco A e B - Agência de Atendimento"/>
    <s v="Desintalação e remoção do telhado existente e troca total por telhado metálico novo e impermeabilização de áreas abertas."/>
    <s v="Infiltração do telhado podendo avariar equipamentos e materiais; segurança em relação a combate a incêndio, SPDA e instalações elétricas"/>
    <m/>
    <m/>
    <m/>
    <m/>
    <m/>
    <m/>
    <n v="0"/>
    <n v="10"/>
    <n v="10"/>
    <n v="10"/>
    <m/>
    <m/>
    <m/>
    <m/>
    <m/>
    <m/>
    <m/>
    <m/>
    <m/>
    <n v="30"/>
    <m/>
    <m/>
    <n v="50"/>
    <n v="110"/>
    <n v="155"/>
    <n v="175"/>
    <n v="100"/>
    <n v="50"/>
    <m/>
    <m/>
    <m/>
    <m/>
    <n v="640"/>
    <m/>
    <m/>
    <m/>
    <m/>
    <m/>
    <m/>
    <m/>
    <m/>
    <m/>
    <m/>
    <m/>
    <m/>
    <n v="0"/>
    <m/>
    <m/>
    <m/>
    <m/>
    <m/>
    <m/>
    <m/>
    <m/>
    <m/>
    <m/>
    <m/>
    <m/>
    <n v="0"/>
    <n v="670"/>
  </r>
  <r>
    <x v="2"/>
    <x v="13"/>
    <s v="GE/IM"/>
    <s v="José Luciano"/>
    <s v="GE/IM"/>
    <s v="José Luciano"/>
    <s v="DGE"/>
    <s v="GE01518"/>
    <s v="INFR.342.04118"/>
    <s v="Aquisição de Equipamento Geral para Diretoria"/>
    <m/>
    <m/>
    <m/>
    <m/>
    <m/>
    <m/>
    <m/>
    <n v="585"/>
    <n v="585"/>
    <m/>
    <m/>
    <m/>
    <m/>
    <m/>
    <m/>
    <m/>
    <m/>
    <m/>
    <m/>
    <m/>
    <m/>
    <n v="0"/>
    <m/>
    <m/>
    <m/>
    <m/>
    <m/>
    <m/>
    <m/>
    <m/>
    <m/>
    <m/>
    <m/>
    <m/>
    <n v="0"/>
    <m/>
    <m/>
    <m/>
    <m/>
    <m/>
    <m/>
    <m/>
    <m/>
    <m/>
    <m/>
    <m/>
    <m/>
    <n v="0"/>
    <m/>
    <m/>
    <m/>
    <m/>
    <m/>
    <m/>
    <m/>
    <m/>
    <m/>
    <m/>
    <m/>
    <m/>
    <n v="0"/>
    <n v="585"/>
  </r>
  <r>
    <x v="2"/>
    <x v="13"/>
    <s v="SC"/>
    <s v="Ian Garcia"/>
    <s v="SC"/>
    <s v="Ian Garcia"/>
    <s v="DGE"/>
    <s v="NA"/>
    <m/>
    <s v="Controle de Acesso - AR"/>
    <s v="Instalação de catracas na entrada principal e P21 do AR (depende do projeto de Infra._x000a_Infraestrutura para implantação de controle de acesso - AR_x000a_Instalação de infraestrutura para recebimento de controle de acesso no AR - Projeto elaborado_x000a_"/>
    <s v="Perda do controle da pontualidade dos empregados. Dificuldade no controle do fluxo de pessoas na unidade._x000a_Impossibilidade de implantação  do sistema eletrônico de controle de acesso. Dificuldade no controle do fluxo de pessoas na unidade."/>
    <s v="Alongamento da curva de desembolso, para atendimento à demanda financeira da empresa em conjunto com dificuldade de rastreamento do projeto, devido a desligamento de empregado pelo PDVP sem gestão do conhecimento."/>
    <m/>
    <m/>
    <m/>
    <m/>
    <m/>
    <n v="0"/>
    <m/>
    <m/>
    <m/>
    <m/>
    <m/>
    <m/>
    <m/>
    <m/>
    <m/>
    <m/>
    <m/>
    <m/>
    <n v="0"/>
    <m/>
    <m/>
    <m/>
    <m/>
    <m/>
    <m/>
    <m/>
    <n v="60"/>
    <n v="60"/>
    <n v="60"/>
    <m/>
    <m/>
    <n v="180"/>
    <m/>
    <m/>
    <m/>
    <m/>
    <m/>
    <m/>
    <m/>
    <n v="60"/>
    <n v="60"/>
    <n v="60"/>
    <m/>
    <m/>
    <n v="180"/>
    <m/>
    <m/>
    <m/>
    <m/>
    <m/>
    <m/>
    <m/>
    <n v="60"/>
    <n v="60"/>
    <n v="60"/>
    <m/>
    <m/>
    <n v="180"/>
    <n v="540"/>
  </r>
  <r>
    <x v="2"/>
    <x v="13"/>
    <s v="RH/EC"/>
    <s v="Marcela Augusta"/>
    <s v="RH/EC"/>
    <s v="Marcela Augusta"/>
    <s v="DRH"/>
    <s v="RH00118"/>
    <s v="INFR.342.00118"/>
    <s v="Modernização de equipamentos e mobiliário e construção da pista off road para o curso de direção defensiva na UNIVERCEMIG."/>
    <s v="Modernização de equipamentos e mobiliário e construção da pista off road para o curso de direção defensiva na UNIVERCEMIG - RH00118"/>
    <s v="A falta de treinamento das equipes impossibilitará as manutenções preventivas e corretivas dos disjuntores, ocasionando altos índices de defeitos e indisponibilidade do sistema elétrico."/>
    <m/>
    <m/>
    <m/>
    <n v="103.2"/>
    <m/>
    <n v="20.845002937315996"/>
    <n v="124.045002937316"/>
    <m/>
    <m/>
    <n v="137"/>
    <n v="200"/>
    <m/>
    <m/>
    <m/>
    <n v="51.954997062683098"/>
    <m/>
    <m/>
    <m/>
    <m/>
    <n v="388.95499706268311"/>
    <m/>
    <m/>
    <m/>
    <m/>
    <m/>
    <m/>
    <m/>
    <m/>
    <m/>
    <m/>
    <m/>
    <m/>
    <n v="0"/>
    <m/>
    <m/>
    <m/>
    <m/>
    <m/>
    <m/>
    <m/>
    <m/>
    <m/>
    <m/>
    <m/>
    <m/>
    <n v="0"/>
    <m/>
    <m/>
    <m/>
    <m/>
    <m/>
    <m/>
    <m/>
    <m/>
    <m/>
    <m/>
    <m/>
    <m/>
    <n v="0"/>
    <n v="512.99999999999909"/>
  </r>
  <r>
    <x v="2"/>
    <x v="13"/>
    <s v="MS/LA"/>
    <s v="José Flávio "/>
    <s v="MS/LA"/>
    <s v="José Flávio "/>
    <s v="DDC"/>
    <s v="NA"/>
    <m/>
    <s v="Aquisição/Instalação de Porta Pallets no CDA Igarapé"/>
    <m/>
    <m/>
    <m/>
    <m/>
    <m/>
    <m/>
    <m/>
    <m/>
    <n v="0"/>
    <m/>
    <m/>
    <m/>
    <m/>
    <m/>
    <m/>
    <n v="500"/>
    <m/>
    <m/>
    <m/>
    <m/>
    <m/>
    <n v="500"/>
    <m/>
    <m/>
    <m/>
    <m/>
    <m/>
    <m/>
    <m/>
    <m/>
    <m/>
    <m/>
    <m/>
    <m/>
    <n v="0"/>
    <m/>
    <m/>
    <m/>
    <m/>
    <m/>
    <m/>
    <m/>
    <m/>
    <m/>
    <m/>
    <m/>
    <m/>
    <n v="0"/>
    <m/>
    <m/>
    <m/>
    <m/>
    <m/>
    <m/>
    <m/>
    <m/>
    <m/>
    <m/>
    <m/>
    <m/>
    <n v="0"/>
    <n v="500"/>
  </r>
  <r>
    <x v="2"/>
    <x v="13"/>
    <s v="SC"/>
    <s v="Daniel Bretas (31-35062945)"/>
    <s v="SC"/>
    <s v="Daniel Bretas (31-35062945)"/>
    <s v="DGE"/>
    <s v="NA"/>
    <m/>
    <s v="JUIZ DE FORA - DRENAGEM DE SOLO E ASFALTAMENTO NA ÁREA DO SERVIÇO DE CAMPO"/>
    <s v="OBRA DE DRENAGEM, SUBSTITUIÇÃO DO ASFALTO EXISTENTE E IMPLANTAÇÃO DE ASFALTO ONDE NÃO HÁ"/>
    <s v="Aumento da execução de despesa operacional, visto que há constantes problemas (buracos) no alfalto existe, gerandos gastos em despesa operacional para correção, bem como alagamento de área quando de chuvas. Os buracos também causam dados a veículos que circulam no local e impacto no Clima dos empregados que utilizam a instalação."/>
    <s v="Alongamento da curva de desembolso, para atendimento à demanda financeira da empresa. Além de necessidade de contratação de projeto anterior a obra, o que traz a necessidade de postergação do valor da obra."/>
    <m/>
    <m/>
    <m/>
    <m/>
    <m/>
    <n v="0"/>
    <m/>
    <m/>
    <m/>
    <m/>
    <m/>
    <m/>
    <m/>
    <m/>
    <m/>
    <m/>
    <m/>
    <n v="120"/>
    <n v="120"/>
    <m/>
    <m/>
    <m/>
    <m/>
    <n v="330"/>
    <m/>
    <m/>
    <m/>
    <m/>
    <m/>
    <m/>
    <m/>
    <n v="330"/>
    <m/>
    <m/>
    <m/>
    <m/>
    <m/>
    <m/>
    <m/>
    <m/>
    <m/>
    <m/>
    <m/>
    <m/>
    <n v="0"/>
    <m/>
    <m/>
    <m/>
    <m/>
    <m/>
    <m/>
    <m/>
    <m/>
    <m/>
    <m/>
    <m/>
    <m/>
    <n v="0"/>
    <n v="450"/>
  </r>
  <r>
    <x v="2"/>
    <x v="13"/>
    <s v="SC"/>
    <s v="Daniel Bretas (31-35062945)"/>
    <s v="SC"/>
    <s v="Daniel Bretas (31-35062945)"/>
    <s v="DGE"/>
    <s v="SC00918"/>
    <s v="PIRE/18/0001"/>
    <s v="UBERLÂNDIA - SUBSTITUIÇÃO TELHADO NO CRIU"/>
    <s v="SUBSTITUIÇÃO DO TELHADO EXISTENTE, QUE ESTÁ MUITO DANIFICADO - BLOCO B, COMPREENDIDO PELA OFICINA, EQUIPES DA MD/UL, SA/SE E TI/TC"/>
    <s v="Aumento nos custos de manutenção (despesa operacional), danos a bens da Companhia quando de chuvas e vazamento dentro da instalação, impacto direto no clima organizacional com a insatisfação e reclamação dos empregados"/>
    <s v="Em 2018 haverá apenas a contratação de laudo técnico para avaliação da causa do problema e identificação de solução apropriada. A obra está prevista para 2019. Valor original: 350. Valor previsto com base em orçamentos de mercado: 400. A alteração de orçamento se deve à gravidade do problema que abrange parte da estrutura do telhado e dificuldade de identificação de solução mais apropriada."/>
    <m/>
    <m/>
    <m/>
    <m/>
    <n v="9"/>
    <n v="9"/>
    <m/>
    <m/>
    <m/>
    <m/>
    <m/>
    <m/>
    <m/>
    <n v="108"/>
    <n v="110"/>
    <n v="110"/>
    <n v="110"/>
    <m/>
    <n v="438"/>
    <m/>
    <m/>
    <m/>
    <m/>
    <m/>
    <m/>
    <m/>
    <m/>
    <m/>
    <m/>
    <m/>
    <m/>
    <n v="0"/>
    <m/>
    <m/>
    <m/>
    <m/>
    <m/>
    <m/>
    <m/>
    <m/>
    <m/>
    <m/>
    <m/>
    <m/>
    <n v="0"/>
    <m/>
    <m/>
    <m/>
    <m/>
    <m/>
    <m/>
    <m/>
    <m/>
    <m/>
    <m/>
    <m/>
    <m/>
    <n v="0"/>
    <n v="447"/>
  </r>
  <r>
    <x v="2"/>
    <x v="13"/>
    <s v="RH/EC"/>
    <s v="Marcela Augusta"/>
    <s v="RH/EC"/>
    <s v="Marcela Augusta"/>
    <s v="DRH"/>
    <s v="NA"/>
    <m/>
    <s v="Modernização de Recursos Pedagógicos"/>
    <s v="Modernização de salas de aula, paineis, equipamentos didáticos em geral."/>
    <s v="Impossibilitará reposição de materiais e equipamentos desgastados, impossibilitando os treinamentos."/>
    <m/>
    <m/>
    <m/>
    <m/>
    <m/>
    <m/>
    <n v="0"/>
    <m/>
    <m/>
    <m/>
    <m/>
    <m/>
    <m/>
    <m/>
    <m/>
    <m/>
    <m/>
    <m/>
    <m/>
    <n v="0"/>
    <m/>
    <m/>
    <m/>
    <m/>
    <m/>
    <m/>
    <m/>
    <m/>
    <m/>
    <m/>
    <m/>
    <n v="100"/>
    <n v="100"/>
    <m/>
    <m/>
    <m/>
    <m/>
    <m/>
    <m/>
    <m/>
    <m/>
    <m/>
    <m/>
    <m/>
    <n v="160"/>
    <n v="160"/>
    <m/>
    <m/>
    <m/>
    <m/>
    <m/>
    <m/>
    <m/>
    <m/>
    <m/>
    <m/>
    <m/>
    <n v="160"/>
    <n v="160"/>
    <n v="420"/>
  </r>
  <r>
    <x v="2"/>
    <x v="13"/>
    <s v="SC"/>
    <s v="Flávio Henrique Silva Rosário"/>
    <s v="SC"/>
    <s v="Flávio Henrique Silva Rosário"/>
    <s v="DGE"/>
    <s v="NA"/>
    <m/>
    <s v="Aquisição de Subestação Predial para o Quarteirão 14"/>
    <s v="Aquisição de equipamentos para as subestações dos prédios do Quarteirão 14."/>
    <s v="Caso os equipamentos entrem em falha, há risco de interrupção no fornecimento de energia, acidentes e incêndio nas edificações envolvidas. Há também riscos de multas por parte da Aneel pelas irregularidades nas medições de energia."/>
    <m/>
    <m/>
    <m/>
    <m/>
    <m/>
    <m/>
    <n v="0"/>
    <m/>
    <m/>
    <m/>
    <m/>
    <m/>
    <m/>
    <m/>
    <m/>
    <n v="100"/>
    <m/>
    <m/>
    <m/>
    <n v="100"/>
    <m/>
    <m/>
    <m/>
    <m/>
    <m/>
    <m/>
    <m/>
    <m/>
    <n v="100"/>
    <n v="100"/>
    <m/>
    <m/>
    <n v="200"/>
    <m/>
    <m/>
    <m/>
    <m/>
    <m/>
    <m/>
    <m/>
    <m/>
    <n v="100"/>
    <m/>
    <m/>
    <m/>
    <n v="100"/>
    <m/>
    <m/>
    <m/>
    <m/>
    <m/>
    <m/>
    <m/>
    <m/>
    <m/>
    <m/>
    <m/>
    <m/>
    <n v="0"/>
    <n v="400"/>
  </r>
  <r>
    <x v="2"/>
    <x v="13"/>
    <s v="GE/IM"/>
    <s v="Loan Lauar"/>
    <s v="GE/IM"/>
    <s v="Loan Lauar"/>
    <s v="DGE"/>
    <s v="NA"/>
    <m/>
    <s v="Otimização dos Ativos de Patrocínio"/>
    <s v="Alienação do imóvel próprio, construção de edificação na SE e locação de agência de atendimento."/>
    <s v="Não cumprimento do Acordo de Metas da Iniciativa 9 do Programa de Adequação da Cemig D ao Regulatório, a qual prevê a obtenção de receita com a alienação de imóvel inservível, e à redução de despesas operacionais."/>
    <m/>
    <m/>
    <m/>
    <m/>
    <m/>
    <n v="35"/>
    <n v="35"/>
    <m/>
    <m/>
    <m/>
    <n v="106.322"/>
    <n v="101.762"/>
    <n v="95"/>
    <m/>
    <m/>
    <m/>
    <m/>
    <m/>
    <m/>
    <n v="303.084"/>
    <m/>
    <m/>
    <m/>
    <m/>
    <m/>
    <m/>
    <m/>
    <m/>
    <m/>
    <m/>
    <m/>
    <m/>
    <n v="0"/>
    <m/>
    <m/>
    <m/>
    <m/>
    <m/>
    <m/>
    <m/>
    <m/>
    <m/>
    <m/>
    <m/>
    <m/>
    <n v="0"/>
    <m/>
    <m/>
    <m/>
    <m/>
    <m/>
    <m/>
    <m/>
    <m/>
    <m/>
    <m/>
    <m/>
    <m/>
    <n v="0"/>
    <n v="338.084"/>
  </r>
  <r>
    <x v="2"/>
    <x v="13"/>
    <s v="SC"/>
    <s v="Flávio Henrique Silva Rosário"/>
    <s v="SC"/>
    <s v="Flávio Henrique Silva Rosário"/>
    <s v="DGE"/>
    <s v="NA"/>
    <m/>
    <s v="Aquisição de Sistema de Proteção contra Descargas Atmosféricas (SPDA)"/>
    <s v="O empreendimento compreende a aquisição de sistema de proteção contra descargas atmosféricas para prédios da Cemig que não o possuem ou que foram danificados, como prédios do Quarteirões 03 e 14, Anel Rodovíario e Edifício Itambé. A instalação desses sistemas é obrigatória conforme  as Normas NBR-5419/2005 e NR10/2004."/>
    <s v="A não execução do projeto traz risco de dano aos equipamentos e às pessoas que que trabalham nas edificações que não possuem SPDA caso ocorra a queda de um raio (descarga elétrica). Há também risco de multas pelos órgãos competentes, por não atender às normas de segurança."/>
    <m/>
    <m/>
    <m/>
    <m/>
    <m/>
    <m/>
    <n v="0"/>
    <m/>
    <m/>
    <m/>
    <m/>
    <m/>
    <m/>
    <m/>
    <m/>
    <n v="100"/>
    <m/>
    <m/>
    <m/>
    <n v="100"/>
    <m/>
    <m/>
    <m/>
    <m/>
    <m/>
    <m/>
    <m/>
    <m/>
    <n v="100"/>
    <m/>
    <m/>
    <m/>
    <n v="100"/>
    <m/>
    <m/>
    <m/>
    <m/>
    <m/>
    <m/>
    <m/>
    <m/>
    <n v="100"/>
    <m/>
    <m/>
    <m/>
    <n v="100"/>
    <m/>
    <m/>
    <m/>
    <m/>
    <m/>
    <m/>
    <m/>
    <m/>
    <m/>
    <m/>
    <m/>
    <m/>
    <n v="0"/>
    <n v="300"/>
  </r>
  <r>
    <x v="2"/>
    <x v="13"/>
    <s v="GE/IM"/>
    <s v="Francely Duarte Sales Marques dos Santos _x000a__x000a_Rodrigo Elias S.  Santos"/>
    <s v="GE/IM"/>
    <s v="Francely Duarte Sales Marques dos Santos _x000a__x000a_Rodrigo Elias S.  Santos"/>
    <s v="DGE"/>
    <s v="NA"/>
    <m/>
    <s v="Regularização de Pendência com Imóveis - Distribuição"/>
    <s v="Casos Atípicos - Qualquer solicitação que fuja das atividades rotineiras. Ex.: Solicitação de indenização para empreendimento já construído, Averbação de Servidão existente, Solicitação de indenização por danos em imóveis de terceiros."/>
    <s v="Processos Judiciais, insatisfação do cliente, aumento de gastos para empresas."/>
    <m/>
    <m/>
    <m/>
    <m/>
    <m/>
    <m/>
    <n v="0"/>
    <m/>
    <m/>
    <m/>
    <m/>
    <m/>
    <m/>
    <m/>
    <m/>
    <m/>
    <m/>
    <m/>
    <n v="80"/>
    <n v="80"/>
    <m/>
    <m/>
    <m/>
    <m/>
    <m/>
    <m/>
    <m/>
    <m/>
    <m/>
    <m/>
    <m/>
    <n v="78.357229958346579"/>
    <n v="78.357229958346579"/>
    <m/>
    <m/>
    <m/>
    <m/>
    <m/>
    <m/>
    <m/>
    <m/>
    <m/>
    <m/>
    <m/>
    <n v="73"/>
    <n v="73"/>
    <m/>
    <m/>
    <m/>
    <m/>
    <m/>
    <m/>
    <m/>
    <m/>
    <m/>
    <m/>
    <m/>
    <n v="60"/>
    <n v="60"/>
    <n v="291.35722995834658"/>
  </r>
  <r>
    <x v="2"/>
    <x v="13"/>
    <s v="SC"/>
    <s v="Flávio Henrique Silva Rosário"/>
    <s v="SC"/>
    <s v="Flávio Henrique Silva Rosário"/>
    <s v="DGE"/>
    <s v="SC01318"/>
    <s v="INFR.342.03618"/>
    <s v="Equipamentos para cozinhas, refeitórios e restaurantes"/>
    <s v="Aquisição de equipamentos para cozinhas, refeitórios e restaurantes das unidades prediais administrativas da região metropolitana de Belo Horizonte sob gestão da Infraestrutura - SC"/>
    <s v="Insatisfação de empregados por infraestrutura inadequada para sua utilização em horário de almoço; contaminação por oxidação de alimentos armazenados em equipamentos antigos; manutenção muito frequente em equipamentos de destinação doméstica ou antigos utilizados atualmente; alimentos descartados por temperatura do ambiente excessiva; "/>
    <m/>
    <m/>
    <m/>
    <m/>
    <m/>
    <n v="40"/>
    <n v="40"/>
    <m/>
    <m/>
    <m/>
    <m/>
    <m/>
    <m/>
    <m/>
    <m/>
    <m/>
    <m/>
    <m/>
    <n v="120"/>
    <n v="120"/>
    <m/>
    <m/>
    <m/>
    <m/>
    <m/>
    <m/>
    <m/>
    <n v="45.5"/>
    <m/>
    <m/>
    <m/>
    <m/>
    <n v="45.5"/>
    <m/>
    <m/>
    <m/>
    <m/>
    <m/>
    <m/>
    <m/>
    <n v="39"/>
    <m/>
    <m/>
    <m/>
    <m/>
    <n v="39"/>
    <m/>
    <m/>
    <m/>
    <m/>
    <m/>
    <m/>
    <m/>
    <n v="39.540319137769984"/>
    <m/>
    <m/>
    <m/>
    <m/>
    <n v="39.540319137769984"/>
    <n v="284.04031913776998"/>
  </r>
  <r>
    <x v="2"/>
    <x v="13"/>
    <s v="SC"/>
    <s v="Flávio Henrique Silva Rosário"/>
    <s v="SC"/>
    <s v="Flávio Henrique Silva Rosário"/>
    <s v="DGE"/>
    <s v="SC00117"/>
    <s v="INFR.342.00117"/>
    <s v="CDI - Sete Lagoas - Execução de reforço do talude e obra de drenagem"/>
    <s v="Reforço do talude, demolição da escada externa e reforma do sistema de drenagem no CDI-Sete Lagoas"/>
    <s v="Queda da caixa de escada; desmoronamento do talude em que os caminhões de linha viva estacionam; transbordamento do sistema de drenagem pluvial e alagamento do pátio de estacionamento externo; enxurradas em épocas de chuva"/>
    <s v="É necessário contratação de projeto para definição de solução a ser dada, devido à complexidade do problema. A contratação conjunta de projeto e obra pode gerar conflito de interesse e não é recomendada pela empresa. Desta forma, o projeto está previsto para 2018. No entanto, a obra será desembolsada apenas em 2019."/>
    <m/>
    <m/>
    <m/>
    <n v="52"/>
    <m/>
    <n v="52"/>
    <m/>
    <m/>
    <m/>
    <m/>
    <m/>
    <m/>
    <m/>
    <m/>
    <n v="50"/>
    <n v="100"/>
    <n v="48"/>
    <m/>
    <n v="198"/>
    <m/>
    <m/>
    <m/>
    <m/>
    <m/>
    <m/>
    <m/>
    <m/>
    <m/>
    <m/>
    <m/>
    <m/>
    <n v="0"/>
    <m/>
    <m/>
    <m/>
    <m/>
    <m/>
    <m/>
    <m/>
    <m/>
    <m/>
    <m/>
    <m/>
    <m/>
    <n v="0"/>
    <m/>
    <m/>
    <m/>
    <m/>
    <m/>
    <m/>
    <m/>
    <m/>
    <m/>
    <m/>
    <m/>
    <m/>
    <n v="0"/>
    <n v="250"/>
  </r>
  <r>
    <x v="2"/>
    <x v="13"/>
    <s v="SC"/>
    <s v="Daniel Bretas (31-35062945)"/>
    <s v="SC"/>
    <s v="Daniel Bretas (31-35062945)"/>
    <s v="DGE"/>
    <s v="NA"/>
    <m/>
    <s v="SÃO JOÃO DEL REI - SUBSTITUIÇÃO DE TELHADO  "/>
    <s v="SUBSTITUIÇÃO COMPLETA DE TELHADO  "/>
    <s v="Aumento nos custos de manutenção (despesa operacional), danos a bens da Companhia quando de chuvas e vazamento dentro da instalação, impacto direto no clima organizacional com a insatisfação e reclamação dos empregados"/>
    <m/>
    <m/>
    <m/>
    <m/>
    <m/>
    <m/>
    <n v="0"/>
    <m/>
    <m/>
    <m/>
    <m/>
    <m/>
    <m/>
    <m/>
    <m/>
    <m/>
    <m/>
    <m/>
    <n v="250"/>
    <n v="250"/>
    <m/>
    <m/>
    <m/>
    <m/>
    <m/>
    <m/>
    <m/>
    <m/>
    <m/>
    <m/>
    <m/>
    <m/>
    <n v="0"/>
    <m/>
    <m/>
    <m/>
    <m/>
    <m/>
    <m/>
    <m/>
    <m/>
    <m/>
    <m/>
    <m/>
    <m/>
    <n v="0"/>
    <m/>
    <m/>
    <m/>
    <m/>
    <m/>
    <m/>
    <m/>
    <m/>
    <m/>
    <m/>
    <m/>
    <m/>
    <n v="0"/>
    <n v="250"/>
  </r>
  <r>
    <x v="2"/>
    <x v="13"/>
    <s v="SC"/>
    <s v="Flávio Henrique Silva Rosário"/>
    <s v="SC"/>
    <s v="Flávio Henrique Silva Rosário"/>
    <s v="DGE"/>
    <s v="SC00118"/>
    <s v="INFR.342.00418"/>
    <s v="CDI - Sete Lagoas - Execução de bacia de contenção coberta"/>
    <s v="Obra de bacia de contenção em concreto armado impermeabilizada com cobertura e fechamento lateral metálicos"/>
    <s v="Contaminação do solo por óleo; passivo ambiental"/>
    <s v="É necessário contratação de projeto executivo para realização de obras. O projeto está previsto para 2018. No entanto, a obra será desembolsada em 2019."/>
    <m/>
    <m/>
    <n v="7"/>
    <n v="3"/>
    <n v="20"/>
    <n v="30"/>
    <m/>
    <m/>
    <m/>
    <m/>
    <m/>
    <m/>
    <m/>
    <m/>
    <n v="55"/>
    <n v="100"/>
    <n v="55"/>
    <m/>
    <n v="210"/>
    <m/>
    <m/>
    <m/>
    <m/>
    <m/>
    <m/>
    <m/>
    <m/>
    <m/>
    <m/>
    <m/>
    <m/>
    <n v="0"/>
    <m/>
    <m/>
    <m/>
    <m/>
    <m/>
    <m/>
    <m/>
    <m/>
    <m/>
    <m/>
    <m/>
    <m/>
    <n v="0"/>
    <m/>
    <m/>
    <m/>
    <m/>
    <m/>
    <m/>
    <m/>
    <m/>
    <m/>
    <m/>
    <m/>
    <m/>
    <n v="0"/>
    <n v="240"/>
  </r>
  <r>
    <x v="2"/>
    <x v="13"/>
    <s v="SC"/>
    <s v="Rogério Elias"/>
    <s v="SC"/>
    <s v="Rogério Elias"/>
    <s v="DGE"/>
    <s v="NA"/>
    <m/>
    <s v="Aquisição de mobiliário para atender ao Estudo Estratégico de Ativos (EEA)"/>
    <s v="Aquisição de mobiliário para atender cidades do interior do estado para otimização da ocupação predial, dando suporte ao Estudo Estratégico de Ativos"/>
    <s v="Aumento da área construída para viabilizar a liberação de um imóvel."/>
    <m/>
    <m/>
    <m/>
    <m/>
    <m/>
    <m/>
    <n v="0"/>
    <m/>
    <m/>
    <m/>
    <m/>
    <m/>
    <m/>
    <m/>
    <m/>
    <m/>
    <m/>
    <n v="0"/>
    <m/>
    <n v="0"/>
    <m/>
    <m/>
    <m/>
    <m/>
    <m/>
    <m/>
    <m/>
    <m/>
    <m/>
    <m/>
    <n v="63"/>
    <m/>
    <n v="63"/>
    <m/>
    <m/>
    <m/>
    <m/>
    <m/>
    <m/>
    <m/>
    <m/>
    <m/>
    <m/>
    <n v="74"/>
    <m/>
    <n v="74"/>
    <m/>
    <m/>
    <m/>
    <m/>
    <m/>
    <m/>
    <m/>
    <m/>
    <m/>
    <m/>
    <m/>
    <n v="100"/>
    <n v="100"/>
    <n v="237"/>
  </r>
  <r>
    <x v="2"/>
    <x v="13"/>
    <s v="RH"/>
    <s v="Luiz Augusto"/>
    <s v="RH"/>
    <s v="Luiz Augusto"/>
    <s v="DRH"/>
    <s v="SC00718"/>
    <s v="INFR.342.02518"/>
    <s v="Registrador eletrônico de ponto - Distribuição - SC00718"/>
    <m/>
    <m/>
    <m/>
    <n v="10.799999952316284"/>
    <m/>
    <m/>
    <m/>
    <n v="165.20000004768372"/>
    <n v="176"/>
    <m/>
    <m/>
    <m/>
    <m/>
    <m/>
    <m/>
    <m/>
    <m/>
    <m/>
    <m/>
    <m/>
    <m/>
    <n v="0"/>
    <m/>
    <m/>
    <m/>
    <m/>
    <m/>
    <m/>
    <m/>
    <m/>
    <m/>
    <m/>
    <m/>
    <m/>
    <n v="0"/>
    <m/>
    <m/>
    <m/>
    <m/>
    <m/>
    <m/>
    <m/>
    <m/>
    <m/>
    <m/>
    <m/>
    <m/>
    <n v="0"/>
    <m/>
    <m/>
    <m/>
    <m/>
    <m/>
    <m/>
    <m/>
    <m/>
    <m/>
    <m/>
    <m/>
    <m/>
    <n v="0"/>
    <n v="176"/>
  </r>
  <r>
    <x v="2"/>
    <x v="13"/>
    <s v="SC"/>
    <s v="Rogério Elias"/>
    <s v="SC"/>
    <s v="Rogério Elias"/>
    <s v="DGE"/>
    <s v="NA"/>
    <m/>
    <s v="Aquisição de mobiliário para atendimento cliente interno D"/>
    <s v="Aquisição de mobiliário para atender a demandas de reposição por obsolescência ao longo dos 5 anos"/>
    <s v="- Aumento de móveis sucateados;_x000a_- Atraso na execução dos serviços de montagem e desmontagem de mobiliário, comprometendo o planejamento ocupacional;_x000a_- Aumento de reclamações dos clientes;_x000a_- Não cumprimento à Norma Regulamentadora 17, que visa a estabelecer parâmetros que permitam a adaptação das condições de trabalho às características psicofisiológicas dos trabalhadores, de modo a proporcionar um máximo de conforto, segurança e desempenho eficiente. As condições de trabalho incluem aspectos relacionados ao levantamento, transporte e descarga de materiais, ao mobiliário, aos equipamentos e às condições ambientais do posto de trabalho e à própria organização do trabalho. "/>
    <m/>
    <m/>
    <m/>
    <m/>
    <m/>
    <m/>
    <n v="0"/>
    <m/>
    <m/>
    <m/>
    <m/>
    <m/>
    <m/>
    <m/>
    <m/>
    <m/>
    <m/>
    <n v="50"/>
    <m/>
    <n v="50"/>
    <m/>
    <m/>
    <m/>
    <m/>
    <m/>
    <m/>
    <m/>
    <m/>
    <m/>
    <m/>
    <n v="50"/>
    <m/>
    <n v="50"/>
    <m/>
    <m/>
    <m/>
    <m/>
    <m/>
    <m/>
    <m/>
    <m/>
    <m/>
    <m/>
    <n v="50"/>
    <m/>
    <n v="50"/>
    <m/>
    <m/>
    <m/>
    <m/>
    <m/>
    <m/>
    <m/>
    <m/>
    <m/>
    <m/>
    <n v="50"/>
    <m/>
    <n v="50"/>
    <n v="200"/>
  </r>
  <r>
    <x v="2"/>
    <x v="13"/>
    <s v="SC"/>
    <s v="Ian Garcia"/>
    <s v="SC"/>
    <s v="Ian Garcia"/>
    <s v="DGE"/>
    <s v="NA"/>
    <m/>
    <s v="Controle de acesso Interior"/>
    <s v="Instalar catracas e controle de acesso nos prédios da Cemig localizados no interior do Estado"/>
    <s v="Dificuldade no controle e identificação de pessoas e, circulação no interior das unidades do interior."/>
    <s v="Cancelamento do projeto, devido a nova iniciativa que vem a substituir sua demanda. Previsto recurso mais baixo para aquisição de catraca para reposição em interiores, até a implantação total do projeto."/>
    <m/>
    <m/>
    <n v="0"/>
    <n v="0"/>
    <m/>
    <n v="0"/>
    <m/>
    <m/>
    <m/>
    <m/>
    <m/>
    <n v="60"/>
    <m/>
    <m/>
    <m/>
    <m/>
    <m/>
    <m/>
    <n v="60"/>
    <m/>
    <m/>
    <m/>
    <m/>
    <m/>
    <m/>
    <n v="60"/>
    <m/>
    <m/>
    <m/>
    <m/>
    <m/>
    <n v="60"/>
    <m/>
    <m/>
    <m/>
    <m/>
    <m/>
    <n v="60"/>
    <m/>
    <m/>
    <m/>
    <m/>
    <m/>
    <m/>
    <n v="60"/>
    <m/>
    <m/>
    <m/>
    <m/>
    <m/>
    <m/>
    <m/>
    <m/>
    <m/>
    <m/>
    <m/>
    <n v="15"/>
    <n v="15"/>
    <n v="195"/>
  </r>
  <r>
    <x v="2"/>
    <x v="13"/>
    <s v="SC"/>
    <s v="Flávio Henrique Silva Rosário/ Daniel Bretas"/>
    <s v="SC"/>
    <s v="Flávio Henrique Silva Rosário/ Daniel Bretas"/>
    <s v="DGE"/>
    <s v="SC00418"/>
    <s v="INFR.342.01618"/>
    <s v="Aquisição de Equipamento Geral - Ar Condicionado, Bebedouro, Projetor e Microondas - Distribuição - SC00418"/>
    <s v="Aquisição de Equipamentos de Ar Condicionado, Bebedouro, microondas e projetor para varias unidades do Estado."/>
    <s v="Dificuldade no fornecimento de aparelhos de ar condicionado para as instalações da Cemig e consequentemente, na garantia da climatização de ambientes conforme a Portaria 3523, de 28/08/1998 do Ministério da Saúde._x000a_• Aumento nos custos de manutenção (despesa operacional), uma vez que os atuais equipamentos obsoletos são submetidos e reiterados consertos_x000a_• Comprometimento de realização de reuniões de trabalho por falta de equipamento._x000a_• impacto direto no clima organizacional com a insatisfação e reclamação dos empregados por trabalharem em um ambiente sem o adequado fornecimento de água potável."/>
    <m/>
    <n v="78.618400573730469"/>
    <n v="10"/>
    <m/>
    <m/>
    <n v="64.381599426269446"/>
    <n v="152.99999999999991"/>
    <m/>
    <m/>
    <m/>
    <m/>
    <m/>
    <m/>
    <m/>
    <m/>
    <m/>
    <m/>
    <m/>
    <m/>
    <n v="0"/>
    <m/>
    <m/>
    <m/>
    <m/>
    <m/>
    <m/>
    <m/>
    <m/>
    <m/>
    <m/>
    <m/>
    <m/>
    <n v="0"/>
    <m/>
    <m/>
    <m/>
    <m/>
    <m/>
    <m/>
    <m/>
    <m/>
    <m/>
    <m/>
    <m/>
    <m/>
    <n v="0"/>
    <m/>
    <m/>
    <m/>
    <m/>
    <m/>
    <m/>
    <m/>
    <m/>
    <m/>
    <m/>
    <m/>
    <m/>
    <n v="0"/>
    <n v="152.99999999999991"/>
  </r>
  <r>
    <x v="2"/>
    <x v="13"/>
    <s v="MS"/>
    <s v="Pablo"/>
    <s v="MS"/>
    <s v="Pablo"/>
    <s v="DGE"/>
    <s v="MS00218"/>
    <s v="INFR.342.04518"/>
    <s v="Arquivo deslizante - readequação do arquivo da MS/CS e MS/MT"/>
    <m/>
    <m/>
    <m/>
    <m/>
    <m/>
    <m/>
    <m/>
    <n v="150"/>
    <n v="150"/>
    <m/>
    <m/>
    <m/>
    <m/>
    <m/>
    <m/>
    <m/>
    <m/>
    <m/>
    <m/>
    <m/>
    <m/>
    <n v="0"/>
    <m/>
    <m/>
    <m/>
    <m/>
    <m/>
    <m/>
    <m/>
    <m/>
    <m/>
    <m/>
    <m/>
    <m/>
    <n v="0"/>
    <m/>
    <m/>
    <m/>
    <m/>
    <m/>
    <m/>
    <m/>
    <m/>
    <m/>
    <m/>
    <m/>
    <m/>
    <n v="0"/>
    <m/>
    <m/>
    <m/>
    <m/>
    <m/>
    <m/>
    <m/>
    <m/>
    <m/>
    <m/>
    <m/>
    <m/>
    <n v="0"/>
    <n v="150"/>
  </r>
  <r>
    <x v="2"/>
    <x v="13"/>
    <s v="GE/IM"/>
    <s v="Loan Lauar"/>
    <s v="GE/IM"/>
    <s v="Loan Lauar"/>
    <s v="DGE"/>
    <s v="NA"/>
    <m/>
    <s v="Otimização dos Ativos de Passos"/>
    <s v="Obra de adequação do imóvel compartilhado e alienação de parte do terreno do imóvel compartilhado."/>
    <s v="Não cumprimento do Acordo de Metas da Iniciativa 9 do Programa de Adequação da Cemig D ao Regulatório, a qual prevê a obtenção de receita com a alienação de imóvel inservível, e à redução de despesas operacionais."/>
    <m/>
    <m/>
    <m/>
    <m/>
    <m/>
    <m/>
    <n v="0"/>
    <m/>
    <n v="50"/>
    <m/>
    <m/>
    <m/>
    <m/>
    <n v="90"/>
    <m/>
    <m/>
    <m/>
    <m/>
    <m/>
    <n v="140"/>
    <m/>
    <m/>
    <m/>
    <m/>
    <m/>
    <m/>
    <m/>
    <m/>
    <m/>
    <m/>
    <m/>
    <m/>
    <n v="0"/>
    <m/>
    <m/>
    <m/>
    <m/>
    <m/>
    <m/>
    <m/>
    <m/>
    <m/>
    <m/>
    <m/>
    <m/>
    <n v="0"/>
    <m/>
    <m/>
    <m/>
    <m/>
    <m/>
    <m/>
    <m/>
    <m/>
    <m/>
    <m/>
    <m/>
    <m/>
    <n v="0"/>
    <n v="140"/>
  </r>
  <r>
    <x v="2"/>
    <x v="13"/>
    <s v="RH/EC"/>
    <s v="Marcela Augusta"/>
    <s v="RH/EC"/>
    <s v="Marcela Augusta"/>
    <s v="DRH"/>
    <s v="NA"/>
    <m/>
    <s v="Modernização de equipamentos e mobiliário UNIVERCEMIG."/>
    <s v="Modernização de equipamentos e mobiliário e construção da pista off road para o curso de direção defensiva na UNIVERCEMIG."/>
    <s v="A falta de treinamento das equipes impossibilitará as manutenções preventivas e corretivas dos disjuntores, ocasionando altos índices de defeitos e indisponibilidade do sistema elétrico."/>
    <m/>
    <m/>
    <m/>
    <m/>
    <m/>
    <m/>
    <n v="0"/>
    <m/>
    <m/>
    <m/>
    <m/>
    <m/>
    <m/>
    <m/>
    <m/>
    <m/>
    <m/>
    <m/>
    <n v="8"/>
    <n v="8"/>
    <m/>
    <m/>
    <m/>
    <m/>
    <m/>
    <m/>
    <m/>
    <m/>
    <m/>
    <m/>
    <m/>
    <n v="58"/>
    <n v="58"/>
    <m/>
    <m/>
    <m/>
    <m/>
    <m/>
    <m/>
    <m/>
    <m/>
    <m/>
    <m/>
    <m/>
    <n v="8"/>
    <n v="8"/>
    <m/>
    <m/>
    <m/>
    <m/>
    <m/>
    <m/>
    <m/>
    <m/>
    <m/>
    <m/>
    <m/>
    <n v="58"/>
    <n v="58"/>
    <n v="132"/>
  </r>
  <r>
    <x v="2"/>
    <x v="13"/>
    <s v="EM/CE"/>
    <s v="Emerson Sidney"/>
    <s v="EM/CE"/>
    <s v="Emerson Sidney"/>
    <s v="DDC"/>
    <s v="EM00218"/>
    <s v="INFR.342.02818"/>
    <s v="Aquisição de Equipamento Geral (câmera fotográfica) para EM"/>
    <m/>
    <m/>
    <m/>
    <m/>
    <m/>
    <m/>
    <n v="115.20000123977661"/>
    <n v="9.7999987602239997"/>
    <n v="125.00000000000061"/>
    <m/>
    <m/>
    <m/>
    <m/>
    <m/>
    <m/>
    <m/>
    <m/>
    <m/>
    <m/>
    <m/>
    <m/>
    <n v="0"/>
    <m/>
    <m/>
    <m/>
    <m/>
    <m/>
    <m/>
    <m/>
    <m/>
    <m/>
    <m/>
    <m/>
    <m/>
    <n v="0"/>
    <m/>
    <m/>
    <m/>
    <m/>
    <m/>
    <m/>
    <m/>
    <m/>
    <m/>
    <m/>
    <m/>
    <m/>
    <n v="0"/>
    <m/>
    <m/>
    <m/>
    <m/>
    <m/>
    <m/>
    <m/>
    <m/>
    <m/>
    <m/>
    <m/>
    <m/>
    <n v="0"/>
    <n v="125.00000000000061"/>
  </r>
  <r>
    <x v="2"/>
    <x v="13"/>
    <s v="GE/IM"/>
    <s v="Samuel Matos"/>
    <s v="GE/IM"/>
    <s v="Samuel Matos"/>
    <s v="DGE"/>
    <s v="NA"/>
    <m/>
    <s v="Transferência de Base Operativa da MD/MM do Itambé para o Anel Rodoviário e Barro Preto (Projeto de Centralização Administrativa)"/>
    <s v="Transferência das equipes de manutenção de rede subterrânea, da MD/MM, do prédio Itambé para a instalação Anel Rodoviário, bem como montagem de base avançada na na instalação do Barro Preto, visando à liberação do prédio Itambé e do lote situado na rua Juiz de Fora para alienação."/>
    <s v="Não cumprimento de meta estabelecida no Projeto de Centralização Administrativa da Cemig no Edifício Aureliano Chaves, relativa à obtenção de receita com a alienação do prédio Itambé. "/>
    <m/>
    <m/>
    <m/>
    <m/>
    <m/>
    <m/>
    <n v="0"/>
    <m/>
    <m/>
    <m/>
    <m/>
    <m/>
    <n v="48"/>
    <n v="68.698999999999998"/>
    <m/>
    <m/>
    <m/>
    <m/>
    <m/>
    <n v="116.699"/>
    <m/>
    <m/>
    <m/>
    <m/>
    <m/>
    <m/>
    <m/>
    <m/>
    <m/>
    <m/>
    <m/>
    <m/>
    <n v="0"/>
    <m/>
    <m/>
    <m/>
    <m/>
    <m/>
    <m/>
    <m/>
    <m/>
    <m/>
    <m/>
    <m/>
    <m/>
    <n v="0"/>
    <m/>
    <m/>
    <m/>
    <m/>
    <m/>
    <m/>
    <m/>
    <m/>
    <m/>
    <m/>
    <m/>
    <m/>
    <n v="0"/>
    <n v="116.699"/>
  </r>
  <r>
    <x v="2"/>
    <x v="13"/>
    <s v="MS/QL"/>
    <s v="Rodrigo Marques"/>
    <s v="MS/QL"/>
    <s v="Rodrigo Marques"/>
    <s v="DGE"/>
    <s v="MS00118"/>
    <s v="INFR.342.03318"/>
    <s v="Aquisição de Equipamentos e instrumentos para laboratório MS/QL"/>
    <s v="Aquisição de Equipamentos e instrumentos para laboratório MS/QL, para realização de ensaios e adequação às necessidades atuais."/>
    <s v="A não execução pode levar ao risco de baixar a qualidade dos materiais adquiridos pela CEMIG e até mesMO de paralizar a realização de ensaios dos laboratórios da MS/QL."/>
    <m/>
    <m/>
    <m/>
    <m/>
    <m/>
    <n v="114"/>
    <n v="114"/>
    <m/>
    <m/>
    <m/>
    <m/>
    <m/>
    <m/>
    <m/>
    <m/>
    <m/>
    <m/>
    <m/>
    <m/>
    <n v="0"/>
    <m/>
    <m/>
    <m/>
    <m/>
    <m/>
    <m/>
    <m/>
    <m/>
    <m/>
    <m/>
    <m/>
    <m/>
    <n v="0"/>
    <m/>
    <m/>
    <m/>
    <m/>
    <m/>
    <m/>
    <m/>
    <m/>
    <m/>
    <m/>
    <m/>
    <m/>
    <n v="0"/>
    <m/>
    <m/>
    <m/>
    <m/>
    <m/>
    <m/>
    <m/>
    <m/>
    <m/>
    <m/>
    <m/>
    <m/>
    <n v="0"/>
    <n v="114"/>
  </r>
  <r>
    <x v="2"/>
    <x v="13"/>
    <s v="GE/IM"/>
    <s v="Samuel Matos"/>
    <s v="GE/IM"/>
    <s v="Samuel Matos"/>
    <s v="DGE"/>
    <s v="NA"/>
    <m/>
    <s v="Otimização dos Ativos de Itajubá"/>
    <s v="Obra de construção de edificação no imóvel Depósito de Postes para recebimento dos funcionários atualmente lotados no imóvel Base Operativa/Agência, o qual será liberado para alienação por estar superdimensionado e ser prescindível aos negócios da empresa. Alienação de parte do terreno Depósito de Postes para alienação, após desmembramento."/>
    <s v="Não cumprimento de meta estabelecida no Acordo de Metas da Iniciativa 9 - Otimização do Portfólio de Imóveis da Cemig D, a qual prevê a obtenção de receita com a alienação de imóvel inservível, e à redução de despesas operacionais. Impossibilidade de desocupação de imóvel superdimensionado, previsto para ser alienado, inviabilizando a sua alienação e à redução de custos operacionais."/>
    <m/>
    <n v="0"/>
    <n v="0"/>
    <n v="0"/>
    <n v="0"/>
    <m/>
    <n v="0"/>
    <m/>
    <m/>
    <m/>
    <m/>
    <m/>
    <m/>
    <n v="20"/>
    <n v="60"/>
    <n v="32"/>
    <m/>
    <m/>
    <m/>
    <n v="112"/>
    <m/>
    <m/>
    <m/>
    <m/>
    <m/>
    <m/>
    <m/>
    <m/>
    <m/>
    <m/>
    <m/>
    <m/>
    <n v="0"/>
    <m/>
    <m/>
    <m/>
    <m/>
    <m/>
    <m/>
    <m/>
    <m/>
    <m/>
    <m/>
    <m/>
    <m/>
    <n v="0"/>
    <m/>
    <m/>
    <m/>
    <m/>
    <m/>
    <m/>
    <m/>
    <m/>
    <m/>
    <m/>
    <m/>
    <m/>
    <n v="0"/>
    <n v="112"/>
  </r>
  <r>
    <x v="2"/>
    <x v="13"/>
    <s v="SC"/>
    <s v="Flávio Henrique Silva Rosário"/>
    <s v="SC"/>
    <s v="Flávio Henrique Silva Rosário"/>
    <s v="DGE"/>
    <s v="NA"/>
    <m/>
    <s v="Aquisição de Bebedouros CEMIG"/>
    <s v="Aquisição de Bebedouros para várias unidades da Cemig."/>
    <s v="Dificuldade no fornecimento de bebedouros para as instalações da Cemig e consequentemente, no fornecimento de água para os funcionários conforme normas regulamentadores."/>
    <m/>
    <m/>
    <m/>
    <m/>
    <m/>
    <m/>
    <n v="0"/>
    <m/>
    <m/>
    <m/>
    <m/>
    <m/>
    <m/>
    <m/>
    <m/>
    <n v="25"/>
    <m/>
    <m/>
    <m/>
    <n v="25"/>
    <m/>
    <m/>
    <m/>
    <m/>
    <m/>
    <m/>
    <m/>
    <m/>
    <n v="25"/>
    <m/>
    <m/>
    <m/>
    <n v="25"/>
    <m/>
    <m/>
    <m/>
    <m/>
    <m/>
    <m/>
    <m/>
    <m/>
    <n v="25"/>
    <m/>
    <m/>
    <m/>
    <n v="25"/>
    <m/>
    <m/>
    <m/>
    <m/>
    <m/>
    <m/>
    <m/>
    <m/>
    <n v="25"/>
    <m/>
    <m/>
    <m/>
    <n v="25"/>
    <n v="100"/>
  </r>
  <r>
    <x v="2"/>
    <x v="13"/>
    <s v="CE"/>
    <s v="Tércia Moreira"/>
    <s v="CE"/>
    <s v="Tércia Moreira"/>
    <s v="DRC"/>
    <s v="CE00118"/>
    <s v="INFR.342.02618"/>
    <s v="Aquisição de equipamentos de video/imagem para CE"/>
    <m/>
    <m/>
    <m/>
    <m/>
    <m/>
    <m/>
    <m/>
    <n v="92"/>
    <n v="92"/>
    <m/>
    <m/>
    <m/>
    <m/>
    <m/>
    <m/>
    <m/>
    <m/>
    <m/>
    <m/>
    <m/>
    <m/>
    <n v="0"/>
    <m/>
    <m/>
    <m/>
    <m/>
    <m/>
    <m/>
    <m/>
    <m/>
    <m/>
    <m/>
    <m/>
    <m/>
    <n v="0"/>
    <m/>
    <m/>
    <m/>
    <m/>
    <m/>
    <m/>
    <m/>
    <m/>
    <m/>
    <m/>
    <m/>
    <m/>
    <n v="0"/>
    <m/>
    <m/>
    <m/>
    <m/>
    <m/>
    <m/>
    <m/>
    <m/>
    <m/>
    <m/>
    <m/>
    <m/>
    <n v="0"/>
    <n v="92"/>
  </r>
  <r>
    <x v="2"/>
    <x v="13"/>
    <s v="SC"/>
    <s v="Flávio Henrique Silva Rosário"/>
    <s v="SC"/>
    <s v="Flávio Henrique Silva Rosário"/>
    <s v="DGE"/>
    <s v="NA"/>
    <m/>
    <s v="Kit para teste de detecção de fumaça "/>
    <s v="Aquisição de equipamentos para testes dos sistemas de alarme e combate a incêndio das edificações."/>
    <s v="Dificuldade na realização das manutenções preventivas nos detectores de fumaça, e aumento na chance de falha desses detectores."/>
    <s v="Projeto em planejamento, desembolso previsto apenas para 2019."/>
    <m/>
    <m/>
    <m/>
    <m/>
    <m/>
    <n v="0"/>
    <m/>
    <m/>
    <m/>
    <m/>
    <m/>
    <m/>
    <m/>
    <n v="80"/>
    <m/>
    <m/>
    <m/>
    <m/>
    <n v="80"/>
    <m/>
    <m/>
    <m/>
    <m/>
    <m/>
    <m/>
    <m/>
    <m/>
    <m/>
    <m/>
    <m/>
    <m/>
    <n v="0"/>
    <m/>
    <m/>
    <m/>
    <m/>
    <m/>
    <m/>
    <m/>
    <m/>
    <m/>
    <m/>
    <m/>
    <m/>
    <n v="0"/>
    <m/>
    <m/>
    <m/>
    <m/>
    <m/>
    <m/>
    <m/>
    <m/>
    <m/>
    <m/>
    <m/>
    <m/>
    <n v="0"/>
    <n v="80"/>
  </r>
  <r>
    <x v="2"/>
    <x v="13"/>
    <s v="SC"/>
    <s v="Daniel Bretas (31-35062945)"/>
    <s v="SC"/>
    <s v="Daniel Bretas (31-35062945)"/>
    <s v="DGE"/>
    <s v="NA"/>
    <m/>
    <s v="ITAJUBÁ - SUBSTITUIÇÃO DO TELHADO E MADEIRAMENTO DO PRÉDIO"/>
    <s v="SUBSTITUIÇÃO DO TELHADO E MADEIRAMENTO DO PRÉDIO"/>
    <s v="Aumento nos custos de manutenção (despesa operacional), danos a bens da Companhia quando de chuvas e vazamento dentro da instalação, impacto direto no clima organizacional com a insatisfação e reclamação dos empregados"/>
    <m/>
    <m/>
    <m/>
    <m/>
    <m/>
    <m/>
    <n v="0"/>
    <m/>
    <m/>
    <m/>
    <m/>
    <m/>
    <m/>
    <m/>
    <m/>
    <m/>
    <m/>
    <m/>
    <m/>
    <n v="0"/>
    <m/>
    <m/>
    <m/>
    <m/>
    <m/>
    <m/>
    <m/>
    <m/>
    <m/>
    <m/>
    <m/>
    <n v="60"/>
    <n v="60"/>
    <m/>
    <m/>
    <m/>
    <m/>
    <m/>
    <m/>
    <m/>
    <m/>
    <m/>
    <m/>
    <m/>
    <m/>
    <n v="0"/>
    <m/>
    <m/>
    <m/>
    <m/>
    <m/>
    <m/>
    <m/>
    <m/>
    <m/>
    <m/>
    <m/>
    <m/>
    <n v="0"/>
    <n v="60"/>
  </r>
  <r>
    <x v="2"/>
    <x v="13"/>
    <s v="SC"/>
    <s v="Mariana Tanure"/>
    <s v="SC"/>
    <s v="Mariana Tanure"/>
    <s v="DGE"/>
    <s v="CD00215"/>
    <s v="PIGD.15.687.O1.GE"/>
    <s v="2017 - Prestobat - Itens 1 e 3 do Pedido de compras 4500029427 – 27 aparelhos de ar condicionado"/>
    <s v="2017 - Prestobat - Itens 1 e 3 do Pedido de compras 4500029427 – 27 aparelhos de ar condicionado"/>
    <s v="2017 - Prestobat - Itens 1 e 3 do Pedido de compras 4500029427 – 27 aparelhos de ar condicionado"/>
    <m/>
    <n v="54.296999216079712"/>
    <m/>
    <m/>
    <m/>
    <m/>
    <n v="54.296999216079712"/>
    <m/>
    <m/>
    <m/>
    <m/>
    <m/>
    <m/>
    <m/>
    <m/>
    <m/>
    <m/>
    <m/>
    <m/>
    <n v="0"/>
    <m/>
    <m/>
    <m/>
    <m/>
    <m/>
    <m/>
    <m/>
    <m/>
    <m/>
    <m/>
    <m/>
    <m/>
    <n v="0"/>
    <m/>
    <m/>
    <m/>
    <m/>
    <m/>
    <m/>
    <m/>
    <m/>
    <m/>
    <m/>
    <m/>
    <m/>
    <n v="0"/>
    <m/>
    <m/>
    <m/>
    <m/>
    <m/>
    <m/>
    <m/>
    <m/>
    <m/>
    <m/>
    <m/>
    <m/>
    <n v="0"/>
    <n v="54.296999216079712"/>
  </r>
  <r>
    <x v="2"/>
    <x v="13"/>
    <s v="GE/IM"/>
    <s v="Loan Lauar"/>
    <s v="GE/IM"/>
    <s v="Loan Lauar"/>
    <s v="DGE"/>
    <s v="NA"/>
    <m/>
    <s v="Otimização dos Ativos de Almenara"/>
    <s v="Alienação do compartilhado e estacionamento transferência das atividades para o depósito de materiais e locação de imóvel para agência. Adequação do depósito de materiais para recebimento da equipe."/>
    <s v="Não cumprimento do Acordo de Metas da Iniciativa 9 do Programa de Adequação da Cemig D ao Regulatório, a qual prevê a obtenção de receita com a alienação de imóvel inservível, e à redução de despesas operacionais."/>
    <m/>
    <m/>
    <m/>
    <m/>
    <m/>
    <m/>
    <n v="0"/>
    <m/>
    <n v="51.1"/>
    <m/>
    <m/>
    <m/>
    <m/>
    <m/>
    <m/>
    <m/>
    <m/>
    <m/>
    <m/>
    <n v="51.1"/>
    <m/>
    <m/>
    <m/>
    <m/>
    <m/>
    <m/>
    <m/>
    <m/>
    <m/>
    <m/>
    <m/>
    <m/>
    <n v="0"/>
    <m/>
    <m/>
    <m/>
    <m/>
    <m/>
    <m/>
    <m/>
    <m/>
    <m/>
    <m/>
    <m/>
    <m/>
    <n v="0"/>
    <m/>
    <m/>
    <m/>
    <m/>
    <m/>
    <m/>
    <m/>
    <m/>
    <m/>
    <m/>
    <m/>
    <m/>
    <n v="0"/>
    <n v="51.1"/>
  </r>
  <r>
    <x v="2"/>
    <x v="13"/>
    <s v="SC"/>
    <s v="Ian Garcia"/>
    <s v="SC"/>
    <s v="Ian Garcia"/>
    <s v="DGE"/>
    <s v="NA"/>
    <m/>
    <s v="Implantação de Cancelas com acesso eletrônico e registro de veículos no edif. Julio Soares"/>
    <s v="Automatizar controle de entrada e saida de veículos da sede"/>
    <s v="Permanencia de controles manuais não precisos. Histórico comprometido."/>
    <m/>
    <m/>
    <m/>
    <m/>
    <m/>
    <m/>
    <n v="0"/>
    <m/>
    <m/>
    <m/>
    <m/>
    <m/>
    <m/>
    <m/>
    <m/>
    <m/>
    <m/>
    <m/>
    <m/>
    <n v="0"/>
    <m/>
    <m/>
    <m/>
    <m/>
    <m/>
    <m/>
    <m/>
    <n v="30"/>
    <n v="20"/>
    <m/>
    <m/>
    <m/>
    <n v="50"/>
    <m/>
    <m/>
    <m/>
    <m/>
    <m/>
    <m/>
    <m/>
    <m/>
    <m/>
    <m/>
    <m/>
    <m/>
    <n v="0"/>
    <m/>
    <m/>
    <m/>
    <m/>
    <m/>
    <m/>
    <m/>
    <m/>
    <m/>
    <m/>
    <m/>
    <m/>
    <n v="0"/>
    <n v="50"/>
  </r>
  <r>
    <x v="2"/>
    <x v="13"/>
    <s v="SC"/>
    <s v="Daniel Bretas (31-35062945)"/>
    <s v="SC"/>
    <s v="Daniel Bretas (31-35062945)"/>
    <s v="DGE"/>
    <s v="NA"/>
    <m/>
    <s v="AQUISIÇÃO DE ELETRODOMÉSTICOS"/>
    <s v="AQUISIÇÃO DE 18 ELETRODOMÉSTICOS (REFRIGERADORES E FOGÕES) PARA REGIONAIS DA DGE - INSTALAÇÕES DA CEMIG D"/>
    <s v="• Aumento nos custos de manutenção (despesa operacional), uma vez que os atuais equipamentos obsoletos são submetidos e reiterados consertos"/>
    <m/>
    <m/>
    <m/>
    <m/>
    <m/>
    <m/>
    <n v="0"/>
    <m/>
    <m/>
    <m/>
    <m/>
    <m/>
    <m/>
    <m/>
    <m/>
    <m/>
    <m/>
    <m/>
    <m/>
    <n v="0"/>
    <m/>
    <m/>
    <m/>
    <m/>
    <m/>
    <m/>
    <m/>
    <m/>
    <m/>
    <m/>
    <m/>
    <m/>
    <n v="0"/>
    <m/>
    <m/>
    <m/>
    <m/>
    <m/>
    <m/>
    <m/>
    <m/>
    <m/>
    <m/>
    <m/>
    <n v="20"/>
    <n v="20"/>
    <m/>
    <m/>
    <m/>
    <m/>
    <m/>
    <n v="20"/>
    <m/>
    <m/>
    <m/>
    <m/>
    <m/>
    <m/>
    <n v="20"/>
    <n v="40"/>
  </r>
  <r>
    <x v="2"/>
    <x v="13"/>
    <s v="SC"/>
    <s v="Mariana Tanure"/>
    <s v="SC"/>
    <s v="Mariana Tanure"/>
    <s v="DGE"/>
    <s v="SC00518"/>
    <s v="INFR.342.02118"/>
    <s v="AQUISIÇÃO EXTINTORES DE INCÊNDIO - SE's CEMIG D-REGIONAIS LESTE E VALE DO AÇO "/>
    <m/>
    <m/>
    <m/>
    <m/>
    <m/>
    <m/>
    <n v="23.331"/>
    <m/>
    <n v="23.331"/>
    <m/>
    <m/>
    <m/>
    <m/>
    <m/>
    <m/>
    <m/>
    <m/>
    <m/>
    <m/>
    <m/>
    <m/>
    <n v="0"/>
    <m/>
    <m/>
    <m/>
    <m/>
    <m/>
    <m/>
    <m/>
    <m/>
    <m/>
    <m/>
    <m/>
    <m/>
    <n v="0"/>
    <m/>
    <m/>
    <m/>
    <m/>
    <m/>
    <m/>
    <m/>
    <m/>
    <m/>
    <m/>
    <m/>
    <m/>
    <n v="0"/>
    <m/>
    <m/>
    <m/>
    <m/>
    <m/>
    <m/>
    <m/>
    <m/>
    <m/>
    <m/>
    <m/>
    <m/>
    <n v="0"/>
    <n v="23.331"/>
  </r>
  <r>
    <x v="2"/>
    <x v="13"/>
    <s v="RH/EC"/>
    <s v="Uaded"/>
    <s v="RH/EC"/>
    <s v="Uaded"/>
    <s v="DRH"/>
    <s v="NA"/>
    <m/>
    <s v="Lavadoura de pratos industrial"/>
    <s v="Lavadora de pratos para o refeitorio da Univercemig"/>
    <s v="Máquina é essencial para economia de mão de obra e tempo."/>
    <m/>
    <m/>
    <m/>
    <m/>
    <m/>
    <m/>
    <n v="0"/>
    <m/>
    <m/>
    <m/>
    <m/>
    <m/>
    <m/>
    <m/>
    <m/>
    <m/>
    <m/>
    <m/>
    <n v="21"/>
    <n v="21"/>
    <m/>
    <m/>
    <m/>
    <m/>
    <m/>
    <m/>
    <m/>
    <m/>
    <m/>
    <m/>
    <m/>
    <m/>
    <n v="0"/>
    <m/>
    <m/>
    <m/>
    <m/>
    <m/>
    <m/>
    <m/>
    <m/>
    <m/>
    <m/>
    <m/>
    <m/>
    <n v="0"/>
    <m/>
    <m/>
    <m/>
    <m/>
    <m/>
    <m/>
    <m/>
    <m/>
    <m/>
    <m/>
    <m/>
    <m/>
    <n v="0"/>
    <n v="21"/>
  </r>
  <r>
    <x v="2"/>
    <x v="13"/>
    <s v="GE/PC"/>
    <s v="Daniel Macedo"/>
    <s v="GE/PC"/>
    <s v="Daniel Macedo"/>
    <s v="DGE"/>
    <s v="GE01418"/>
    <s v="INFR.342.03718"/>
    <s v="Aquisição de Equipamento Geral para GE/PC"/>
    <m/>
    <m/>
    <m/>
    <m/>
    <m/>
    <m/>
    <m/>
    <n v="25"/>
    <n v="25"/>
    <m/>
    <m/>
    <m/>
    <m/>
    <m/>
    <m/>
    <m/>
    <m/>
    <m/>
    <m/>
    <m/>
    <m/>
    <n v="0"/>
    <m/>
    <m/>
    <m/>
    <m/>
    <m/>
    <m/>
    <m/>
    <m/>
    <m/>
    <m/>
    <m/>
    <m/>
    <n v="0"/>
    <m/>
    <m/>
    <m/>
    <m/>
    <m/>
    <m/>
    <m/>
    <m/>
    <m/>
    <m/>
    <m/>
    <m/>
    <n v="0"/>
    <m/>
    <m/>
    <m/>
    <m/>
    <m/>
    <m/>
    <m/>
    <m/>
    <m/>
    <m/>
    <m/>
    <m/>
    <n v="0"/>
    <n v="25"/>
  </r>
  <r>
    <x v="2"/>
    <x v="13"/>
    <s v="TI/TC"/>
    <s v="Sebastião Jacinto"/>
    <s v="TI/TC"/>
    <s v="Sebastião Jacinto"/>
    <s v="DGE"/>
    <s v="TI05018"/>
    <s v="INFR.342.01418"/>
    <s v="Aquisição de equipamentos e mobiliário para o CGR"/>
    <s v="Aquisição de 6 cadeiras e 1 geladeira para atender  aos operadores de Telecom durante a escala 24/7."/>
    <s v="Risco de afastamento de funcionário._x000a_Risco de processos contra a Cemig._x000a_Aumento do horário de intervalo de descanso do operador._x000a_Não atendimento as normas de operação."/>
    <m/>
    <n v="11.725610017776489"/>
    <m/>
    <m/>
    <m/>
    <m/>
    <n v="11.725610017776489"/>
    <m/>
    <m/>
    <m/>
    <m/>
    <m/>
    <m/>
    <m/>
    <m/>
    <m/>
    <m/>
    <m/>
    <m/>
    <n v="0"/>
    <m/>
    <m/>
    <m/>
    <m/>
    <m/>
    <m/>
    <m/>
    <m/>
    <m/>
    <m/>
    <m/>
    <m/>
    <n v="0"/>
    <m/>
    <m/>
    <m/>
    <m/>
    <m/>
    <m/>
    <m/>
    <m/>
    <m/>
    <m/>
    <m/>
    <m/>
    <n v="0"/>
    <m/>
    <m/>
    <m/>
    <m/>
    <m/>
    <m/>
    <m/>
    <m/>
    <m/>
    <m/>
    <m/>
    <m/>
    <n v="0"/>
    <n v="11.725610017776489"/>
  </r>
  <r>
    <x v="2"/>
    <x v="13"/>
    <s v="SC"/>
    <s v="Flávio Henrique Silva Rosário"/>
    <s v="SC"/>
    <s v="Flávio Henrique Silva Rosário"/>
    <s v="DGE"/>
    <s v="SC00818"/>
    <s v="INFR.342.03118"/>
    <s v="Aquisição de carrinho para a cozinha da Diretoria"/>
    <s v="Aquisição de carrinho para a cozinha da Diretoria visando melhorar a infraestrutura da cozinha e dos serviços prestados à Diretoria"/>
    <s v="Queda na qualidade do atendimento à Diretoria"/>
    <m/>
    <n v="2.8900001049041748"/>
    <m/>
    <m/>
    <m/>
    <n v="3.6099998950958252"/>
    <n v="6.5"/>
    <m/>
    <m/>
    <m/>
    <m/>
    <m/>
    <m/>
    <m/>
    <m/>
    <m/>
    <m/>
    <m/>
    <m/>
    <n v="0"/>
    <m/>
    <m/>
    <m/>
    <m/>
    <m/>
    <m/>
    <m/>
    <m/>
    <m/>
    <m/>
    <m/>
    <m/>
    <n v="0"/>
    <m/>
    <m/>
    <m/>
    <m/>
    <m/>
    <m/>
    <m/>
    <m/>
    <m/>
    <m/>
    <m/>
    <m/>
    <n v="0"/>
    <m/>
    <m/>
    <m/>
    <m/>
    <m/>
    <m/>
    <m/>
    <m/>
    <m/>
    <m/>
    <m/>
    <m/>
    <n v="0"/>
    <n v="6.5"/>
  </r>
  <r>
    <x v="2"/>
    <x v="13"/>
    <s v="SC"/>
    <s v="Rafael Braga"/>
    <s v="SC"/>
    <s v="Rafael Braga"/>
    <s v="DGE"/>
    <s v="GE00214"/>
    <s v="INFR.342.00414"/>
    <s v="2017 - Aquisição de Bebedouro e Itens 10 e 13 do PC 4500029072 Seal Telecom"/>
    <s v="2017 - Aquisição de Bebedouro e Itens 10 e 13 do PC 4500029072 Seal Telecom"/>
    <s v="2017 - Aquisição de Bebedouro e Itens 10 e 13 do PC 4500029072 Seal Telecom"/>
    <m/>
    <n v="-6.9145699739456177"/>
    <m/>
    <m/>
    <m/>
    <n v="6.9145699739456177"/>
    <n v="0"/>
    <m/>
    <m/>
    <m/>
    <m/>
    <m/>
    <m/>
    <m/>
    <m/>
    <m/>
    <m/>
    <m/>
    <m/>
    <n v="0"/>
    <m/>
    <m/>
    <m/>
    <m/>
    <m/>
    <m/>
    <m/>
    <m/>
    <m/>
    <m/>
    <m/>
    <m/>
    <n v="0"/>
    <m/>
    <m/>
    <m/>
    <m/>
    <m/>
    <m/>
    <m/>
    <m/>
    <m/>
    <m/>
    <m/>
    <m/>
    <n v="0"/>
    <m/>
    <m/>
    <m/>
    <m/>
    <m/>
    <m/>
    <m/>
    <m/>
    <m/>
    <m/>
    <m/>
    <m/>
    <n v="0"/>
    <n v="0"/>
  </r>
  <r>
    <x v="2"/>
    <x v="14"/>
    <s v="TI/TC"/>
    <s v="Francisco Elson"/>
    <s v="TI/TC"/>
    <s v="Francisco Elson"/>
    <s v="DGE"/>
    <s v="TI05918"/>
    <s v="TINV.18.D.054.RO"/>
    <s v="Redes Ópticas da Distribuidora"/>
    <s v="Construção de Redes Ópticas da Distribuidora para interligação ao backbone de comunicação e redução de alugueis de links"/>
    <s v="Perda de comunicação por falta de alimentação comercial, penalidades previstas em copntrato"/>
    <s v="Revisão do escopo do projeto alinhada com a proposta de redução dos cabos OPGW das subestações, bem como nos escritórios da MT e MG devido à entrega das concessões das usinas no Triângulo."/>
    <n v="19.600669860839844"/>
    <n v="0"/>
    <n v="1027.2611999999999"/>
    <n v="0"/>
    <n v="1150.3993301391602"/>
    <n v="2197.2611999999999"/>
    <n v="0"/>
    <n v="0"/>
    <n v="0"/>
    <n v="0"/>
    <n v="0"/>
    <n v="0"/>
    <n v="0"/>
    <n v="0"/>
    <n v="0"/>
    <n v="500"/>
    <n v="500"/>
    <n v="1000"/>
    <n v="2000"/>
    <n v="0"/>
    <n v="0"/>
    <n v="0"/>
    <n v="0"/>
    <n v="0"/>
    <n v="0"/>
    <n v="0"/>
    <n v="0"/>
    <n v="1000"/>
    <n v="1000"/>
    <n v="1000"/>
    <n v="1000"/>
    <n v="4000"/>
    <n v="0"/>
    <n v="0"/>
    <n v="0"/>
    <n v="0"/>
    <n v="0"/>
    <n v="0"/>
    <n v="0"/>
    <n v="0"/>
    <n v="0"/>
    <n v="2000"/>
    <n v="2000"/>
    <n v="1000"/>
    <n v="5000"/>
    <n v="0"/>
    <n v="0"/>
    <n v="0"/>
    <n v="0"/>
    <n v="0"/>
    <n v="0"/>
    <n v="0"/>
    <n v="0"/>
    <n v="2000"/>
    <n v="2000"/>
    <n v="2000"/>
    <n v="2000"/>
    <n v="8000"/>
    <n v="21197.261200000001"/>
  </r>
  <r>
    <x v="2"/>
    <x v="14"/>
    <s v="TI/TC"/>
    <s v="Francisco Elson"/>
    <s v="TI/TC"/>
    <s v="Francisco Elson"/>
    <s v="DGE"/>
    <s v="TI07318"/>
    <s v="-"/>
    <s v="Centrais Telefônicas da Distribuidora"/>
    <s v="Aquisição de Centrais Telefônicas da Distribuidora"/>
    <s v="Falha de comunicação com as equipes regionais, aumento do custo de O&amp;M"/>
    <s v="Revisão do escopo do projeto."/>
    <n v="0"/>
    <n v="0"/>
    <n v="0"/>
    <n v="0"/>
    <n v="80"/>
    <n v="80"/>
    <n v="0"/>
    <n v="0"/>
    <n v="0"/>
    <n v="0"/>
    <n v="0"/>
    <n v="0"/>
    <n v="0"/>
    <n v="0"/>
    <n v="0"/>
    <n v="0"/>
    <n v="0"/>
    <n v="265.02199999999999"/>
    <n v="265.02199999999999"/>
    <n v="0"/>
    <n v="0"/>
    <n v="0"/>
    <n v="0"/>
    <n v="0"/>
    <n v="0"/>
    <n v="0"/>
    <n v="0"/>
    <n v="647"/>
    <n v="0"/>
    <n v="0"/>
    <n v="0"/>
    <n v="647"/>
    <n v="0"/>
    <n v="0"/>
    <n v="0"/>
    <n v="0"/>
    <n v="0"/>
    <n v="0"/>
    <n v="0"/>
    <n v="0"/>
    <n v="0"/>
    <n v="0"/>
    <n v="602.88200000000006"/>
    <n v="0"/>
    <n v="602.88200000000006"/>
    <n v="0"/>
    <n v="0"/>
    <n v="0"/>
    <n v="0"/>
    <n v="0"/>
    <n v="0"/>
    <n v="0"/>
    <n v="0"/>
    <n v="0"/>
    <n v="0"/>
    <n v="0"/>
    <n v="208.232"/>
    <n v="208.232"/>
    <n v="1803.136"/>
  </r>
  <r>
    <x v="2"/>
    <x v="14"/>
    <s v="TI/TC"/>
    <s v="Francisco Elson"/>
    <s v="TI/TC"/>
    <s v="Francisco Elson"/>
    <s v="DGE"/>
    <s v="TI07918"/>
    <s v="-"/>
    <s v="Bancos de Baterias da Distribuidora"/>
    <s v="Aquisição de conjuntos de Bancos de Baterias da Distribuidora para estações de comunicação"/>
    <s v="Perda de comunicação por falta de alimentação comercial, penalidades previstas em copntrato"/>
    <s v="Postergação do desembolso para adequação da curva de investimento."/>
    <n v="146.51003949344158"/>
    <n v="0"/>
    <n v="0"/>
    <n v="0"/>
    <n v="563.48996050655842"/>
    <n v="710"/>
    <n v="0"/>
    <n v="0"/>
    <n v="0"/>
    <n v="0"/>
    <n v="0"/>
    <n v="0"/>
    <n v="63"/>
    <n v="0"/>
    <n v="0"/>
    <n v="0"/>
    <n v="0"/>
    <n v="0"/>
    <n v="63"/>
    <n v="0"/>
    <n v="0"/>
    <n v="0"/>
    <n v="0"/>
    <n v="0"/>
    <n v="0"/>
    <n v="0"/>
    <n v="0"/>
    <n v="0"/>
    <n v="0"/>
    <n v="0"/>
    <n v="137.17400000000001"/>
    <n v="137.17400000000001"/>
    <n v="0"/>
    <n v="0"/>
    <n v="0"/>
    <n v="0"/>
    <n v="0"/>
    <n v="0"/>
    <n v="0"/>
    <n v="0"/>
    <n v="0"/>
    <n v="0"/>
    <n v="43.896000000000001"/>
    <n v="0"/>
    <n v="43.896000000000001"/>
    <n v="0"/>
    <n v="0"/>
    <n v="0"/>
    <n v="0"/>
    <n v="0"/>
    <n v="0"/>
    <n v="0"/>
    <n v="0"/>
    <n v="0"/>
    <n v="0"/>
    <n v="0"/>
    <n v="30.178000000000001"/>
    <n v="30.178000000000001"/>
    <n v="984.24800000000005"/>
  </r>
  <r>
    <x v="2"/>
    <x v="14"/>
    <s v="TI/TC"/>
    <s v="Francisco Elson"/>
    <s v="TI/TC"/>
    <s v="Francisco Elson"/>
    <s v="DGE"/>
    <s v="NA"/>
    <s v="-"/>
    <s v="Instrumentos da Distribuidora"/>
    <s v="Aquisição de Instrumentos da Distribuidora  para suporte e manutenção em estações de comunicação"/>
    <s v="Auemento do tempo de reparo, risco de queima de equipamentos por uso de instrumentos inadequados"/>
    <s v="Postergação do desembolso para adequação da curva de investimento."/>
    <n v="0"/>
    <n v="0"/>
    <n v="0"/>
    <n v="0"/>
    <n v="0"/>
    <n v="0"/>
    <n v="0"/>
    <n v="0"/>
    <n v="0"/>
    <n v="0"/>
    <n v="0"/>
    <n v="50"/>
    <n v="0"/>
    <n v="0"/>
    <n v="0"/>
    <n v="0"/>
    <n v="0"/>
    <n v="0"/>
    <n v="50"/>
    <n v="0"/>
    <n v="0"/>
    <n v="0"/>
    <n v="0"/>
    <n v="0"/>
    <n v="0"/>
    <n v="0"/>
    <n v="0"/>
    <n v="0"/>
    <n v="176"/>
    <n v="0"/>
    <n v="0"/>
    <n v="176"/>
    <n v="0"/>
    <n v="0"/>
    <n v="0"/>
    <n v="0"/>
    <n v="0"/>
    <n v="0"/>
    <n v="0"/>
    <n v="0"/>
    <n v="0"/>
    <n v="0"/>
    <n v="269.59800000000001"/>
    <n v="0"/>
    <n v="269.59800000000001"/>
    <n v="0"/>
    <n v="0"/>
    <n v="0"/>
    <n v="0"/>
    <n v="0"/>
    <n v="0"/>
    <n v="0"/>
    <n v="0"/>
    <n v="0"/>
    <n v="0"/>
    <n v="0"/>
    <n v="261.09899999999999"/>
    <n v="261.09899999999999"/>
    <n v="756.697"/>
  </r>
  <r>
    <x v="2"/>
    <x v="14"/>
    <s v="TI/TC"/>
    <s v="Francisco Elson"/>
    <s v="TI/TC"/>
    <s v="Francisco Elson"/>
    <s v="DGE"/>
    <s v="NA"/>
    <s v="-"/>
    <s v="Multiplexadores da Distribuidora"/>
    <s v="Aquisição de Multiplexadores da Distribuidora para estações de comunicação"/>
    <s v="Perda de comunicação por falta de alimentação comercial, penalidades previstas em copntrato"/>
    <s v="Revisão do escopo do projeto, com postergação do desembolso conforme cronograma de execução."/>
    <n v="0"/>
    <n v="0"/>
    <n v="0"/>
    <n v="0"/>
    <n v="0"/>
    <n v="0"/>
    <n v="0"/>
    <n v="0"/>
    <n v="0"/>
    <n v="0"/>
    <n v="0"/>
    <n v="100"/>
    <n v="0"/>
    <n v="0"/>
    <n v="0"/>
    <n v="0"/>
    <n v="0"/>
    <n v="0"/>
    <n v="100"/>
    <n v="0"/>
    <n v="0"/>
    <n v="0"/>
    <n v="0"/>
    <n v="0"/>
    <n v="0"/>
    <n v="0"/>
    <n v="0"/>
    <n v="288"/>
    <n v="0"/>
    <n v="0"/>
    <n v="0"/>
    <n v="288"/>
    <n v="0"/>
    <n v="0"/>
    <n v="0"/>
    <n v="0"/>
    <n v="0"/>
    <n v="0"/>
    <n v="0"/>
    <n v="0"/>
    <n v="0"/>
    <n v="0"/>
    <n v="224.029"/>
    <n v="0"/>
    <n v="224.029"/>
    <n v="0"/>
    <n v="0"/>
    <n v="0"/>
    <n v="0"/>
    <n v="0"/>
    <n v="0"/>
    <n v="0"/>
    <n v="0"/>
    <n v="0"/>
    <n v="0"/>
    <n v="0"/>
    <n v="85.27"/>
    <n v="85.27"/>
    <n v="697.29899999999998"/>
  </r>
  <r>
    <x v="2"/>
    <x v="14"/>
    <s v="TI/TC"/>
    <s v="Francisco Elson"/>
    <s v="TI/TC"/>
    <s v="Francisco Elson"/>
    <s v="DGE"/>
    <s v="NA"/>
    <s v="-"/>
    <s v="Sistemas Rádios da Distribuidora"/>
    <s v="Aquisição de Sistemas Rádios da Distribuidora para estações de comunicação"/>
    <s v="Perda de comunicação por falta de alimentação comercial, penalidades previstas em copntrato"/>
    <s v="Revisão do escopo do projeto, com postergação do desembolso conforme cronograma de execução."/>
    <n v="0"/>
    <n v="0"/>
    <n v="0"/>
    <n v="0"/>
    <n v="0"/>
    <n v="0"/>
    <n v="0"/>
    <n v="0"/>
    <n v="0"/>
    <n v="0"/>
    <n v="0"/>
    <n v="0"/>
    <n v="0"/>
    <n v="0"/>
    <n v="0"/>
    <n v="0"/>
    <n v="0"/>
    <n v="0"/>
    <n v="0"/>
    <n v="0"/>
    <n v="0"/>
    <n v="0"/>
    <n v="0"/>
    <n v="0"/>
    <n v="0"/>
    <n v="0"/>
    <n v="0"/>
    <n v="0"/>
    <n v="332"/>
    <n v="0"/>
    <n v="0"/>
    <n v="332"/>
    <n v="0"/>
    <n v="0"/>
    <n v="0"/>
    <n v="0"/>
    <n v="0"/>
    <n v="0"/>
    <n v="0"/>
    <n v="0"/>
    <n v="0"/>
    <n v="0"/>
    <n v="195"/>
    <n v="0"/>
    <n v="195"/>
    <n v="0"/>
    <n v="0"/>
    <n v="0"/>
    <n v="0"/>
    <n v="0"/>
    <n v="0"/>
    <n v="0"/>
    <n v="0"/>
    <n v="0"/>
    <n v="0"/>
    <n v="0"/>
    <n v="65.078000000000003"/>
    <n v="65.078000000000003"/>
    <n v="592.07799999999997"/>
  </r>
  <r>
    <x v="2"/>
    <x v="14"/>
    <s v="TI/TC"/>
    <s v="Francisco Elson"/>
    <s v="TI/TC"/>
    <s v="Francisco Elson"/>
    <s v="DGE"/>
    <s v="NA"/>
    <s v="-"/>
    <s v="Sistemas de Ar Condicionado da Distribuidora"/>
    <s v="Aquisição de Sistemas de Ar Condicionado da Distribuidora para estações de comunicação"/>
    <s v="Queima dos equipametos de comunicaçõ por temperatura alta nas estações de comunicação"/>
    <s v="Revisão do escopo do projeto, conforme novas demandas de equipamentos."/>
    <n v="0"/>
    <n v="0"/>
    <n v="0"/>
    <n v="0"/>
    <n v="0"/>
    <n v="0"/>
    <n v="0"/>
    <n v="0"/>
    <n v="0"/>
    <n v="0"/>
    <n v="0"/>
    <n v="0"/>
    <n v="0"/>
    <n v="0"/>
    <n v="0"/>
    <n v="0"/>
    <n v="0"/>
    <n v="124"/>
    <n v="124"/>
    <n v="0"/>
    <n v="0"/>
    <n v="0"/>
    <n v="0"/>
    <n v="0"/>
    <n v="0"/>
    <n v="0"/>
    <n v="0"/>
    <n v="0"/>
    <n v="162"/>
    <n v="0"/>
    <n v="0"/>
    <n v="162"/>
    <n v="0"/>
    <n v="0"/>
    <n v="0"/>
    <n v="0"/>
    <n v="0"/>
    <n v="0"/>
    <n v="0"/>
    <n v="0"/>
    <n v="0"/>
    <n v="0"/>
    <n v="51.96"/>
    <n v="0"/>
    <n v="51.96"/>
    <n v="0"/>
    <n v="0"/>
    <n v="0"/>
    <n v="0"/>
    <n v="0"/>
    <n v="0"/>
    <n v="0"/>
    <n v="0"/>
    <n v="0"/>
    <n v="0"/>
    <n v="29.228000000000002"/>
    <n v="35.722999999999999"/>
    <n v="64.950999999999993"/>
    <n v="402.911"/>
  </r>
  <r>
    <x v="2"/>
    <x v="14"/>
    <s v="TI/TC"/>
    <s v="Francisco Elson"/>
    <s v="SC"/>
    <s v="Daniel Bretas"/>
    <s v="DGE"/>
    <s v="NA"/>
    <s v="-"/>
    <s v="ALMENARA E OURO PRETO - CENTRAL TELEFÔNICA PARA INSTALAÇAO DDR"/>
    <s v="AQUISIÇÃO E INSTALAÇAO DE DDR NA CENTRAL TELEFÔNICA "/>
    <s v="Continuidade de gastos em despesa operacional com custo mensal de Recepcionista para atendimento telefônico"/>
    <s v="Postergação do desembolso para adequação da curva de investimento."/>
    <n v="0"/>
    <n v="0"/>
    <s v="                         -  "/>
    <n v="0"/>
    <s v="                         -  "/>
    <n v="0"/>
    <n v="0"/>
    <n v="0"/>
    <n v="0"/>
    <n v="400"/>
    <n v="0"/>
    <n v="0"/>
    <n v="0"/>
    <n v="0"/>
    <n v="0"/>
    <n v="0"/>
    <n v="0"/>
    <n v="0"/>
    <n v="400"/>
    <n v="0"/>
    <n v="0"/>
    <n v="0"/>
    <n v="0"/>
    <n v="0"/>
    <n v="0"/>
    <n v="0"/>
    <n v="0"/>
    <n v="0"/>
    <n v="0"/>
    <n v="0"/>
    <n v="0"/>
    <n v="0"/>
    <n v="0"/>
    <n v="0"/>
    <n v="0"/>
    <n v="0"/>
    <n v="0"/>
    <n v="0"/>
    <n v="0"/>
    <n v="0"/>
    <n v="0"/>
    <n v="0"/>
    <n v="0"/>
    <n v="0"/>
    <n v="0"/>
    <n v="0"/>
    <n v="0"/>
    <n v="0"/>
    <n v="0"/>
    <n v="0"/>
    <n v="0"/>
    <n v="0"/>
    <n v="0"/>
    <n v="0"/>
    <n v="0"/>
    <n v="0"/>
    <n v="0"/>
    <n v="0"/>
    <n v="400"/>
  </r>
  <r>
    <x v="2"/>
    <x v="14"/>
    <s v="TI/IO"/>
    <s v="Tiago Leite"/>
    <s v="TI/IO"/>
    <s v="Tiago Leite"/>
    <s v="DGE"/>
    <s v="NA"/>
    <m/>
    <s v="Instrumentos da Distribuidora - Equipe Campo"/>
    <s v="Instrumentos de teste de equipamentos de telecomunicações."/>
    <s v="Demora no reparo dos equipamentos de telecomunicações e fibra óptica."/>
    <s v="Demanda incorporada à carteira, considerando remanejamento entre projetos."/>
    <n v="0"/>
    <n v="0"/>
    <n v="0"/>
    <n v="0"/>
    <n v="0"/>
    <n v="0"/>
    <n v="0"/>
    <n v="0"/>
    <n v="0"/>
    <n v="0"/>
    <n v="0"/>
    <n v="0"/>
    <n v="0"/>
    <n v="0"/>
    <n v="368"/>
    <n v="0"/>
    <n v="0"/>
    <n v="0"/>
    <n v="368"/>
    <n v="0"/>
    <n v="0"/>
    <n v="0"/>
    <n v="0"/>
    <n v="0"/>
    <n v="0"/>
    <n v="0"/>
    <n v="0"/>
    <n v="0"/>
    <n v="0"/>
    <n v="0"/>
    <n v="0"/>
    <n v="0"/>
    <n v="0"/>
    <n v="0"/>
    <n v="0"/>
    <n v="0"/>
    <n v="0"/>
    <n v="0"/>
    <n v="0"/>
    <n v="0"/>
    <n v="0"/>
    <n v="0"/>
    <n v="0"/>
    <n v="0"/>
    <n v="0"/>
    <m/>
    <m/>
    <m/>
    <m/>
    <m/>
    <m/>
    <m/>
    <m/>
    <m/>
    <m/>
    <m/>
    <m/>
    <n v="0"/>
    <n v="368"/>
  </r>
  <r>
    <x v="2"/>
    <x v="14"/>
    <s v="TI/TC"/>
    <s v="Luciano Nunes"/>
    <s v="TI/TC"/>
    <s v="Luciano Nunes"/>
    <s v="DGE"/>
    <s v="TI02918"/>
    <s v="TINV.18.D.054.SG"/>
    <s v="Atendimento de Telecom da Base Operativa do São Gabriel"/>
    <s v="Aquisição de uma central telefônica para migração do Sistema de Telecomunicações da Sala de Telecomunicações para a Sala de Telefonia."/>
    <s v="Perda do Sistema de Telefonia para os usuários do São Gabriel e/ou multa contratual"/>
    <s v="-"/>
    <n v="0"/>
    <n v="367"/>
    <n v="0"/>
    <n v="0"/>
    <n v="0"/>
    <n v="367"/>
    <n v="0"/>
    <n v="0"/>
    <n v="0"/>
    <n v="0"/>
    <n v="0"/>
    <n v="0"/>
    <n v="0"/>
    <n v="0"/>
    <n v="0"/>
    <n v="0"/>
    <n v="0"/>
    <n v="0"/>
    <n v="0"/>
    <n v="0"/>
    <n v="0"/>
    <n v="0"/>
    <n v="0"/>
    <n v="0"/>
    <n v="0"/>
    <n v="0"/>
    <n v="0"/>
    <n v="0"/>
    <n v="0"/>
    <n v="0"/>
    <n v="0"/>
    <n v="0"/>
    <n v="0"/>
    <n v="0"/>
    <n v="0"/>
    <n v="0"/>
    <n v="0"/>
    <n v="0"/>
    <n v="0"/>
    <n v="0"/>
    <n v="0"/>
    <n v="0"/>
    <n v="0"/>
    <n v="0"/>
    <n v="0"/>
    <n v="0"/>
    <n v="0"/>
    <n v="0"/>
    <n v="0"/>
    <n v="0"/>
    <n v="0"/>
    <n v="0"/>
    <n v="0"/>
    <n v="0"/>
    <n v="0"/>
    <n v="0"/>
    <n v="0"/>
    <n v="0"/>
    <n v="367"/>
  </r>
  <r>
    <x v="2"/>
    <x v="14"/>
    <s v="TI/IO"/>
    <s v="Tiago Leite"/>
    <s v="TI/IO"/>
    <s v="Tiago Leite"/>
    <s v="DGE"/>
    <s v="TI07718"/>
    <s v="-"/>
    <s v="Sistemas de Ar Condicionado SEs"/>
    <m/>
    <m/>
    <s v="Demanda incorporada à carteira, considerando remanejamento entre projetos."/>
    <n v="0"/>
    <n v="0"/>
    <n v="0"/>
    <n v="271.89999999999998"/>
    <n v="0"/>
    <n v="271.89999999999998"/>
    <n v="0"/>
    <n v="0"/>
    <n v="0"/>
    <n v="0"/>
    <n v="0"/>
    <n v="0"/>
    <n v="0"/>
    <n v="32.299999999999997"/>
    <n v="0"/>
    <n v="0"/>
    <n v="0"/>
    <n v="0"/>
    <n v="32.299999999999997"/>
    <n v="0"/>
    <n v="0"/>
    <n v="0"/>
    <n v="0"/>
    <n v="0"/>
    <n v="0"/>
    <n v="0"/>
    <n v="0"/>
    <n v="0"/>
    <n v="0"/>
    <n v="0"/>
    <n v="0"/>
    <n v="0"/>
    <n v="0"/>
    <n v="0"/>
    <n v="0"/>
    <n v="0"/>
    <n v="0"/>
    <n v="0"/>
    <n v="0"/>
    <n v="0"/>
    <n v="0"/>
    <n v="0"/>
    <n v="0"/>
    <n v="0"/>
    <n v="0"/>
    <n v="0"/>
    <n v="0"/>
    <n v="0"/>
    <n v="0"/>
    <n v="0"/>
    <n v="0"/>
    <n v="0"/>
    <n v="0"/>
    <n v="0"/>
    <n v="0"/>
    <n v="0"/>
    <n v="0"/>
    <n v="0"/>
    <n v="304.2"/>
  </r>
  <r>
    <x v="2"/>
    <x v="14"/>
    <s v="TI/TC"/>
    <s v="Sebastião Jacinto"/>
    <s v="TI/TC"/>
    <s v="Sebastião Jacinto"/>
    <s v="DGE"/>
    <s v="TI05118"/>
    <s v="TINV.18.D.054.VW"/>
    <s v="Sistema Video Wall"/>
    <s v="Aquisição de video wall para o centro de operação de telecomunicações. Equipamento será utilizado para a supervição do sistema de telecomunicações."/>
    <s v="Ineficiência na identificação de problemas na rede. Aumento do tempo no reparo de defeitos na rede. Aumento de custo para na identificação de defeitos."/>
    <s v="-"/>
    <n v="0"/>
    <n v="200"/>
    <n v="0"/>
    <n v="0"/>
    <n v="0"/>
    <n v="200"/>
    <n v="0"/>
    <n v="0"/>
    <n v="0"/>
    <n v="0"/>
    <n v="0"/>
    <n v="0"/>
    <n v="0"/>
    <n v="0"/>
    <n v="0"/>
    <n v="0"/>
    <n v="0"/>
    <n v="0"/>
    <n v="0"/>
    <n v="0"/>
    <n v="0"/>
    <n v="0"/>
    <n v="0"/>
    <n v="0"/>
    <n v="0"/>
    <n v="0"/>
    <n v="0"/>
    <n v="0"/>
    <n v="0"/>
    <n v="0"/>
    <n v="0"/>
    <n v="0"/>
    <n v="0"/>
    <n v="0"/>
    <n v="0"/>
    <n v="0"/>
    <n v="0"/>
    <n v="0"/>
    <n v="0"/>
    <n v="0"/>
    <n v="0"/>
    <n v="0"/>
    <n v="0"/>
    <n v="0"/>
    <n v="0"/>
    <n v="0"/>
    <n v="0"/>
    <n v="0"/>
    <n v="0"/>
    <n v="0"/>
    <n v="0"/>
    <n v="0"/>
    <n v="0"/>
    <n v="0"/>
    <n v="0"/>
    <n v="0"/>
    <n v="0"/>
    <n v="0"/>
    <n v="200"/>
  </r>
  <r>
    <x v="2"/>
    <x v="14"/>
    <s v="TI/TC"/>
    <s v="Francisco Elson"/>
    <s v="TI/TC"/>
    <s v="Francisco Elson"/>
    <s v="DGE"/>
    <s v="NA"/>
    <s v="-"/>
    <s v="Equipamentos de Linha Óptica da Distribuidora"/>
    <s v="Aquisição de Equipamentos de Linha Óptica da Distribuidora para estações de comunicação"/>
    <s v="Perda de comunicação por falta de alimentação comercial, penalidades previstas em copntrato"/>
    <s v="Postergação do desembolso para adequação da curva de investimento."/>
    <n v="0"/>
    <n v="0"/>
    <n v="0"/>
    <n v="0"/>
    <n v="0"/>
    <n v="0"/>
    <n v="0"/>
    <n v="0"/>
    <n v="0"/>
    <n v="0"/>
    <n v="0"/>
    <n v="0"/>
    <n v="0"/>
    <n v="46"/>
    <n v="0"/>
    <n v="0"/>
    <n v="0"/>
    <n v="0"/>
    <n v="46"/>
    <n v="0"/>
    <n v="0"/>
    <n v="0"/>
    <n v="0"/>
    <n v="0"/>
    <n v="0"/>
    <n v="0"/>
    <n v="0"/>
    <n v="0"/>
    <n v="0"/>
    <n v="0"/>
    <n v="99.700999999999993"/>
    <n v="99.700999999999993"/>
    <n v="0"/>
    <n v="0"/>
    <n v="0"/>
    <n v="0"/>
    <n v="0"/>
    <n v="0"/>
    <n v="0"/>
    <n v="0"/>
    <n v="0"/>
    <n v="0"/>
    <n v="31.904"/>
    <n v="0"/>
    <n v="31.904"/>
    <n v="0"/>
    <n v="0"/>
    <n v="0"/>
    <n v="0"/>
    <n v="0"/>
    <n v="0"/>
    <n v="0"/>
    <n v="0"/>
    <n v="0"/>
    <n v="0"/>
    <n v="0"/>
    <n v="21.934000000000001"/>
    <n v="21.934000000000001"/>
    <n v="199.53899999999999"/>
  </r>
  <r>
    <x v="2"/>
    <x v="14"/>
    <s v="TI/TC"/>
    <s v="Francisco Elson"/>
    <s v="TI/TC"/>
    <s v="Francisco Elson"/>
    <s v="DGE"/>
    <s v="NA"/>
    <s v="-"/>
    <s v="Fontes de Alimentação da Distribuidora"/>
    <s v="Fontes de Alimentação da Distribuidora"/>
    <s v="Perda de comunicação por falta de alimentação comercial, penalidades previstas em copntrato"/>
    <s v="Postergação do desembolso para adequação da curva de investimento."/>
    <n v="0"/>
    <n v="0"/>
    <n v="0"/>
    <n v="0"/>
    <n v="0"/>
    <n v="0"/>
    <n v="0"/>
    <n v="0"/>
    <n v="0"/>
    <n v="0"/>
    <n v="0"/>
    <n v="0"/>
    <n v="0"/>
    <n v="48"/>
    <n v="0"/>
    <n v="0"/>
    <n v="0"/>
    <n v="0"/>
    <n v="48"/>
    <n v="0"/>
    <n v="0"/>
    <n v="0"/>
    <n v="0"/>
    <n v="0"/>
    <n v="0"/>
    <n v="0"/>
    <n v="0"/>
    <n v="98"/>
    <n v="0"/>
    <n v="0"/>
    <n v="0"/>
    <n v="98"/>
    <n v="0"/>
    <n v="0"/>
    <n v="0"/>
    <n v="0"/>
    <n v="0"/>
    <n v="0"/>
    <n v="0"/>
    <n v="0"/>
    <n v="0"/>
    <n v="0"/>
    <n v="21"/>
    <n v="0"/>
    <n v="21"/>
    <n v="0"/>
    <n v="0"/>
    <n v="0"/>
    <n v="0"/>
    <n v="0"/>
    <n v="0"/>
    <n v="0"/>
    <n v="0"/>
    <n v="0"/>
    <n v="0"/>
    <n v="0"/>
    <n v="20.731999999999999"/>
    <n v="20.731999999999999"/>
    <n v="187.732"/>
  </r>
  <r>
    <x v="2"/>
    <x v="14"/>
    <s v="TI/TC"/>
    <s v="Luciano Nunes"/>
    <s v="TI/TC"/>
    <s v="Luciano Nunes"/>
    <s v="DGE"/>
    <s v="TI03118"/>
    <s v="TINV.18.D.054.PS"/>
    <s v="Projeto Sigma - Substituição dos Gateways Mediant 1000"/>
    <s v="Possibilitar a continuidade dos serviços de voz dos escritórios da Cemig Distribuição com o sistema de telefonia adquirido da CEMIGTelecom."/>
    <s v="Aumento de Opex com serviços de reparos e manutenção dos atuais equipamentos (Gateways Mediant 1000)."/>
    <s v="Demanda incorporada à carteira, considerando remanejamento entre projetos."/>
    <n v="16.879440307617187"/>
    <n v="43.06"/>
    <n v="64.864800000000002"/>
    <n v="0"/>
    <n v="-16.879440307617187"/>
    <n v="107.9248"/>
    <m/>
    <m/>
    <m/>
    <m/>
    <m/>
    <m/>
    <m/>
    <m/>
    <m/>
    <m/>
    <m/>
    <m/>
    <n v="0"/>
    <n v="0"/>
    <n v="0"/>
    <n v="0"/>
    <n v="0"/>
    <n v="0"/>
    <n v="0"/>
    <n v="0"/>
    <n v="0"/>
    <n v="0"/>
    <n v="0"/>
    <n v="0"/>
    <n v="0"/>
    <n v="0"/>
    <n v="0"/>
    <n v="0"/>
    <n v="0"/>
    <n v="0"/>
    <n v="0"/>
    <n v="0"/>
    <n v="0"/>
    <n v="0"/>
    <n v="0"/>
    <n v="0"/>
    <n v="0"/>
    <n v="0"/>
    <n v="0"/>
    <n v="0"/>
    <n v="0"/>
    <n v="0"/>
    <n v="0"/>
    <n v="0"/>
    <n v="0"/>
    <n v="0"/>
    <n v="0"/>
    <n v="0"/>
    <n v="0"/>
    <n v="0"/>
    <n v="0"/>
    <n v="0"/>
    <n v="107.9248"/>
  </r>
  <r>
    <x v="2"/>
    <x v="14"/>
    <s v="TI/TC"/>
    <s v="Francisco Elson"/>
    <s v="TI/TC"/>
    <s v="Francisco Elson"/>
    <s v="DGE"/>
    <s v="NA"/>
    <s v="-"/>
    <s v="Remotas de Telecontrole da Distribuidora"/>
    <s v="Aquisição de Remotas de Telecontrole da Distribuidora para estações de comunicação"/>
    <s v="Perda de comunicação por falta de alimentação comercial, penalidades previstas em copntrato"/>
    <s v="Postergação do desembolso para adequação da curva de investimento."/>
    <n v="0"/>
    <n v="0"/>
    <n v="0"/>
    <n v="0"/>
    <n v="0"/>
    <n v="0"/>
    <n v="0"/>
    <n v="0"/>
    <n v="0"/>
    <n v="0"/>
    <n v="0"/>
    <n v="0"/>
    <n v="0"/>
    <n v="0"/>
    <n v="0"/>
    <n v="0"/>
    <n v="0"/>
    <n v="0"/>
    <n v="0"/>
    <n v="0"/>
    <n v="0"/>
    <n v="0"/>
    <n v="0"/>
    <n v="0"/>
    <n v="0"/>
    <n v="0"/>
    <n v="0"/>
    <n v="0"/>
    <n v="0"/>
    <n v="0"/>
    <n v="58"/>
    <n v="58"/>
    <n v="0"/>
    <n v="0"/>
    <n v="0"/>
    <n v="0"/>
    <n v="0"/>
    <n v="0"/>
    <n v="0"/>
    <n v="0"/>
    <n v="0"/>
    <n v="0"/>
    <n v="26"/>
    <n v="0"/>
    <n v="26"/>
    <n v="0"/>
    <n v="0"/>
    <n v="0"/>
    <n v="0"/>
    <n v="0"/>
    <n v="0"/>
    <n v="0"/>
    <n v="0"/>
    <n v="0"/>
    <n v="0"/>
    <n v="0"/>
    <n v="10.311"/>
    <n v="10.311"/>
    <n v="94.311000000000007"/>
  </r>
  <r>
    <x v="2"/>
    <x v="14"/>
    <s v="TI/TC"/>
    <s v="Francisco Elson"/>
    <s v="TI/TC"/>
    <s v="Francisco Elson"/>
    <s v="DGE"/>
    <s v="NA"/>
    <s v="-"/>
    <s v="Sistemas de Balisamento Noturno da Distribuidora"/>
    <s v="Aquisição de Sistemas de Balisamento Noturno da Distribuidora para estações de comunicação"/>
    <s v="Colisão de aeronaves, multas pelos órgãos competentes"/>
    <s v="Postergação do desembolso para adequação da curva de investimento."/>
    <n v="0"/>
    <n v="0"/>
    <n v="0"/>
    <n v="0"/>
    <n v="0"/>
    <n v="0"/>
    <n v="0"/>
    <n v="0"/>
    <n v="0"/>
    <n v="0"/>
    <n v="0"/>
    <n v="0"/>
    <n v="0"/>
    <n v="10"/>
    <n v="0"/>
    <n v="0"/>
    <n v="0"/>
    <n v="0"/>
    <n v="10"/>
    <n v="0"/>
    <n v="0"/>
    <n v="0"/>
    <n v="0"/>
    <n v="0"/>
    <n v="0"/>
    <n v="0"/>
    <n v="0"/>
    <n v="0"/>
    <n v="0"/>
    <n v="0"/>
    <n v="0"/>
    <n v="0"/>
    <n v="0"/>
    <n v="0"/>
    <n v="0"/>
    <n v="0"/>
    <n v="0"/>
    <n v="0"/>
    <n v="0"/>
    <n v="0"/>
    <n v="0"/>
    <n v="0"/>
    <n v="0"/>
    <n v="0"/>
    <n v="0"/>
    <n v="0"/>
    <n v="0"/>
    <n v="0"/>
    <n v="0"/>
    <n v="0"/>
    <n v="0"/>
    <n v="0"/>
    <n v="0"/>
    <n v="0"/>
    <n v="0"/>
    <n v="0"/>
    <n v="0"/>
    <n v="0"/>
    <n v="10"/>
  </r>
  <r>
    <x v="2"/>
    <x v="14"/>
    <s v="TI/TC"/>
    <s v="Francisco Elson"/>
    <s v="TI/TC"/>
    <s v="Francisco Elson"/>
    <s v="DGE"/>
    <s v="NA1"/>
    <s v="-"/>
    <s v="Ferramentas manual da Distribuidora"/>
    <s v="Aquisição Ferramentas manual da Distribuidora para suporte e manutenação em estações de comunicação"/>
    <s v="Aumento de tempo de reparo, riscos ergométricos"/>
    <s v="Postergação do desembolso para adequação da curva de investimento."/>
    <n v="0"/>
    <n v="0"/>
    <n v="0"/>
    <n v="0"/>
    <n v="0"/>
    <n v="0"/>
    <n v="0"/>
    <n v="0"/>
    <n v="0"/>
    <n v="0"/>
    <n v="0"/>
    <n v="0"/>
    <n v="0"/>
    <n v="5"/>
    <n v="0"/>
    <n v="0"/>
    <n v="0"/>
    <n v="0"/>
    <n v="5"/>
    <n v="0"/>
    <n v="0"/>
    <n v="0"/>
    <n v="0"/>
    <n v="0"/>
    <n v="0"/>
    <n v="0"/>
    <n v="0"/>
    <n v="0"/>
    <n v="0"/>
    <n v="0"/>
    <n v="0"/>
    <n v="0"/>
    <n v="0"/>
    <n v="0"/>
    <n v="0"/>
    <n v="0"/>
    <n v="0"/>
    <n v="0"/>
    <n v="0"/>
    <n v="0"/>
    <n v="0"/>
    <n v="0"/>
    <n v="0"/>
    <n v="0"/>
    <n v="0"/>
    <n v="0"/>
    <n v="0"/>
    <n v="0"/>
    <n v="0"/>
    <n v="0"/>
    <n v="0"/>
    <n v="0"/>
    <n v="0"/>
    <n v="0"/>
    <n v="0"/>
    <n v="0"/>
    <n v="0"/>
    <n v="0"/>
    <n v="5"/>
  </r>
  <r>
    <x v="2"/>
    <x v="15"/>
    <s v="TI/IO"/>
    <s v="Carlos Araújo"/>
    <s v="TI/IO"/>
    <s v="Carlos Araújo"/>
    <s v="DGE"/>
    <s v="TI04318"/>
    <s v="TINV.18.D.045.MP"/>
    <s v="Modernização do Parque Microinformática (CORPORATIVO) D"/>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Intensificação da taxa de obsolescência do parque de microinformática; aumento da frequência de falhas e mau funcionamento dos equipamentos; aumento da indisponibilidade de equipamentos para manutenção ou reposição; restrições na instalação e execução de novos programas ou versões; aumento da exposição de riscos de segurança da informação; perda do suporte especializado do fornecedor; degradação do desempenho e produtividade da força de trabalho."/>
    <s v="-"/>
    <n v="0"/>
    <n v="0"/>
    <n v="0"/>
    <n v="0"/>
    <n v="4684"/>
    <n v="4684"/>
    <n v="0"/>
    <n v="0"/>
    <n v="0"/>
    <n v="0"/>
    <n v="0"/>
    <n v="0"/>
    <n v="0"/>
    <n v="200"/>
    <n v="0"/>
    <n v="0"/>
    <n v="0"/>
    <n v="0"/>
    <n v="200"/>
    <n v="0"/>
    <n v="0"/>
    <n v="0"/>
    <n v="0"/>
    <n v="0"/>
    <n v="0"/>
    <n v="0"/>
    <n v="0"/>
    <n v="0"/>
    <n v="0"/>
    <n v="2220"/>
    <n v="0"/>
    <n v="2220"/>
    <n v="0"/>
    <n v="0"/>
    <n v="0"/>
    <n v="0"/>
    <n v="0"/>
    <n v="0"/>
    <n v="0"/>
    <n v="200"/>
    <n v="0"/>
    <n v="0"/>
    <n v="0"/>
    <n v="0"/>
    <n v="200"/>
    <n v="0"/>
    <n v="0"/>
    <n v="0"/>
    <n v="0"/>
    <n v="0"/>
    <n v="0"/>
    <n v="0"/>
    <n v="2736"/>
    <n v="0"/>
    <n v="0"/>
    <n v="0"/>
    <n v="0"/>
    <n v="2736"/>
    <n v="10040"/>
  </r>
  <r>
    <x v="2"/>
    <x v="15"/>
    <s v="TI/IO"/>
    <s v="Carlos Araújo"/>
    <s v="GR/PC"/>
    <s v="Ronaldo Oliveira"/>
    <s v="DDC"/>
    <s v="NA"/>
    <s v="-"/>
    <s v="Aquisição Microcoletores"/>
    <s v="Equipamento para leitura de consumo dos cosumidores do mercado cativo"/>
    <s v="Não faturamento, afetando diretamente o caixa da empresa_x000a_Descomprimento da regulação - Multa"/>
    <s v="-"/>
    <n v="0"/>
    <n v="0"/>
    <n v="0"/>
    <n v="0"/>
    <n v="0"/>
    <n v="0"/>
    <n v="0"/>
    <n v="0"/>
    <n v="0"/>
    <n v="10000"/>
    <n v="0"/>
    <n v="0"/>
    <n v="0"/>
    <n v="0"/>
    <n v="0"/>
    <n v="0"/>
    <n v="0"/>
    <n v="0"/>
    <n v="10000"/>
    <n v="0"/>
    <n v="0"/>
    <n v="0"/>
    <n v="0"/>
    <n v="0"/>
    <n v="0"/>
    <n v="0"/>
    <n v="0"/>
    <n v="0"/>
    <n v="0"/>
    <n v="0"/>
    <n v="0"/>
    <n v="0"/>
    <n v="0"/>
    <n v="0"/>
    <n v="0"/>
    <n v="0"/>
    <n v="0"/>
    <n v="0"/>
    <n v="0"/>
    <n v="0"/>
    <n v="0"/>
    <n v="0"/>
    <n v="0"/>
    <n v="0"/>
    <n v="0"/>
    <n v="0"/>
    <n v="0"/>
    <n v="0"/>
    <n v="0"/>
    <n v="0"/>
    <n v="0"/>
    <n v="0"/>
    <n v="0"/>
    <n v="0"/>
    <n v="0"/>
    <n v="0"/>
    <n v="0"/>
    <n v="0"/>
    <n v="10000"/>
  </r>
  <r>
    <x v="2"/>
    <x v="15"/>
    <s v="TI/IO"/>
    <s v="Carlos Araújo"/>
    <s v="GR/PC"/>
    <s v="Ronaldo Oliveira"/>
    <s v="DDC"/>
    <s v="NA"/>
    <s v="-"/>
    <s v="Aquisição Impressora LES"/>
    <s v="Equipamento para leitura de consumo dos cosumidores do mercado cativo"/>
    <s v="Não faturamento, afetando diretamente o caixa da empresa_x000a_Descomprimento da regulação - Multa"/>
    <s v="-"/>
    <n v="0"/>
    <n v="0"/>
    <n v="0"/>
    <n v="0"/>
    <n v="0"/>
    <n v="0"/>
    <n v="0"/>
    <n v="0"/>
    <n v="0"/>
    <n v="4000"/>
    <n v="0"/>
    <n v="0"/>
    <n v="0"/>
    <n v="0"/>
    <n v="0"/>
    <n v="0"/>
    <n v="0"/>
    <n v="0"/>
    <n v="4000"/>
    <n v="0"/>
    <n v="0"/>
    <n v="0"/>
    <n v="0"/>
    <n v="0"/>
    <n v="0"/>
    <n v="0"/>
    <n v="0"/>
    <n v="0"/>
    <n v="0"/>
    <n v="0"/>
    <n v="0"/>
    <n v="0"/>
    <n v="0"/>
    <n v="0"/>
    <n v="0"/>
    <n v="0"/>
    <n v="0"/>
    <n v="0"/>
    <n v="0"/>
    <n v="0"/>
    <n v="0"/>
    <n v="0"/>
    <n v="0"/>
    <n v="0"/>
    <n v="0"/>
    <n v="0"/>
    <n v="0"/>
    <n v="0"/>
    <n v="0"/>
    <n v="0"/>
    <n v="0"/>
    <n v="0"/>
    <n v="0"/>
    <n v="0"/>
    <n v="0"/>
    <n v="0"/>
    <n v="0"/>
    <n v="0"/>
    <n v="4000"/>
  </r>
  <r>
    <x v="2"/>
    <x v="15"/>
    <s v="TI/IO"/>
    <s v="Carlos Araújo"/>
    <s v="GR/PC"/>
    <s v="Ronaldo Oliveira"/>
    <s v="DDC"/>
    <s v="NA"/>
    <s v="-"/>
    <s v="Aquisição Berço"/>
    <s v="Equipamento para leitura de consumo dos cosumidores do mercado cativo"/>
    <s v="Não faturamento, afetando diretamente o caixa da empresa_x000a_Descomprimento da regulação - Multa"/>
    <s v="-"/>
    <n v="0"/>
    <n v="0"/>
    <n v="0"/>
    <n v="0"/>
    <n v="0"/>
    <n v="0"/>
    <n v="0"/>
    <n v="0"/>
    <n v="0"/>
    <n v="1000"/>
    <n v="0"/>
    <n v="0"/>
    <n v="0"/>
    <n v="0"/>
    <n v="0"/>
    <n v="0"/>
    <n v="0"/>
    <n v="0"/>
    <n v="1000"/>
    <n v="0"/>
    <n v="0"/>
    <n v="0"/>
    <n v="0"/>
    <n v="0"/>
    <n v="0"/>
    <n v="0"/>
    <n v="0"/>
    <n v="0"/>
    <n v="0"/>
    <n v="0"/>
    <n v="0"/>
    <n v="0"/>
    <n v="0"/>
    <n v="0"/>
    <n v="0"/>
    <n v="0"/>
    <n v="0"/>
    <n v="0"/>
    <n v="0"/>
    <n v="0"/>
    <n v="0"/>
    <n v="0"/>
    <n v="0"/>
    <n v="0"/>
    <n v="0"/>
    <n v="0"/>
    <n v="0"/>
    <n v="0"/>
    <n v="0"/>
    <n v="0"/>
    <n v="0"/>
    <n v="0"/>
    <n v="0"/>
    <n v="0"/>
    <n v="0"/>
    <n v="0"/>
    <n v="0"/>
    <n v="0"/>
    <n v="1000"/>
  </r>
  <r>
    <x v="2"/>
    <x v="15"/>
    <s v="TI/SI"/>
    <s v="Roberto Proença"/>
    <s v="TI/SI"/>
    <s v="Roberto Proença"/>
    <s v="DGE"/>
    <s v="TI01816"/>
    <s v="TINV.16.D.045.TB"/>
    <s v="Aquisição de Equipamento Móvel para Inspeção de Rede"/>
    <s v="Aquisição de equipamento móvel (tablets) para inspeção, desenho de projetos e recebimento de obras de rede distribuição em campo."/>
    <s v="Perda de oportunidade de ganho de produtividade na inspeção da manutenção, processo de elaboração e execução de projetos de expansão da rede de distribuição; Perda de oportunidade de melhoria de qualidade e segurança na operação de rede subterrânea; Perdas comerciais, devido à maior dificuldade na identificação de fraudes em serviços de inspeção de rede por empresas contratadas."/>
    <s v="Postergação do desembolso para adequação da curva de investimento."/>
    <n v="0"/>
    <n v="0"/>
    <n v="0"/>
    <n v="0"/>
    <n v="0"/>
    <n v="0"/>
    <n v="0"/>
    <n v="0"/>
    <n v="280"/>
    <n v="0"/>
    <n v="0"/>
    <n v="0"/>
    <n v="0"/>
    <n v="0"/>
    <n v="0"/>
    <n v="0"/>
    <n v="0"/>
    <n v="0"/>
    <n v="280"/>
    <n v="0"/>
    <n v="0"/>
    <n v="0"/>
    <n v="0"/>
    <n v="0"/>
    <n v="0"/>
    <n v="0"/>
    <n v="0"/>
    <n v="0"/>
    <n v="0"/>
    <n v="0"/>
    <n v="0"/>
    <n v="0"/>
    <n v="0"/>
    <n v="0"/>
    <n v="0"/>
    <n v="0"/>
    <n v="0"/>
    <n v="140"/>
    <n v="0"/>
    <n v="0"/>
    <n v="0"/>
    <n v="0"/>
    <n v="0"/>
    <n v="0"/>
    <n v="140"/>
    <n v="0"/>
    <n v="0"/>
    <n v="0"/>
    <n v="0"/>
    <n v="0"/>
    <n v="0"/>
    <n v="0"/>
    <n v="0"/>
    <n v="0"/>
    <n v="0"/>
    <n v="0"/>
    <n v="0"/>
    <n v="0"/>
    <n v="420"/>
  </r>
  <r>
    <x v="2"/>
    <x v="16"/>
    <s v="TI/SI"/>
    <s v="Roberto Proença"/>
    <s v="TI/SI"/>
    <s v="Roberto Proença"/>
    <s v="DGE"/>
    <s v="TI01715"/>
    <s v="TINV.15.D.042.GS"/>
    <s v="Sustentação e Evolução 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s v="Revisão do cronograma de desembolso, considerando demandas do GDIS 2.0."/>
    <n v="5092.7049396038055"/>
    <n v="600"/>
    <n v="750"/>
    <n v="750"/>
    <n v="1157.6696760943596"/>
    <n v="8350.3746156981651"/>
    <n v="450"/>
    <n v="450"/>
    <n v="500"/>
    <n v="450"/>
    <n v="450"/>
    <n v="500"/>
    <n v="450"/>
    <n v="500"/>
    <n v="450"/>
    <n v="500"/>
    <n v="500"/>
    <n v="781"/>
    <n v="5981"/>
    <n v="450"/>
    <n v="450"/>
    <n v="500"/>
    <n v="450"/>
    <n v="450"/>
    <n v="500"/>
    <n v="450"/>
    <n v="500"/>
    <n v="450"/>
    <n v="500"/>
    <n v="500"/>
    <n v="781"/>
    <n v="5981"/>
    <n v="547.5"/>
    <n v="547.5"/>
    <n v="547.5"/>
    <n v="547.5"/>
    <n v="547.5"/>
    <n v="547.5"/>
    <n v="547.5"/>
    <n v="547.5"/>
    <n v="547.5"/>
    <n v="547.5"/>
    <n v="547.5"/>
    <n v="547"/>
    <n v="6569.5"/>
    <n v="547.5"/>
    <n v="547.5"/>
    <n v="547.5"/>
    <n v="547.5"/>
    <n v="547.5"/>
    <n v="547.5"/>
    <n v="547.5"/>
    <n v="547.5"/>
    <n v="547.5"/>
    <n v="547.5"/>
    <n v="547.5"/>
    <n v="547"/>
    <n v="6569.5"/>
    <n v="33451.374615698165"/>
  </r>
  <r>
    <x v="2"/>
    <x v="16"/>
    <s v="TI/IO"/>
    <s v="Carlos Araújo"/>
    <s v="TI/IO"/>
    <s v="Carlos Araújo"/>
    <s v="DGE"/>
    <s v="NA"/>
    <s v="-"/>
    <s v="Aquisição Storage (armazenamento)"/>
    <s v="O projeto concerne à aquisição de equipamentos de hardware com vistas a suportar o crescimento vegetativo das demandas de armazenamento de dados das diversas aplicações empresa, como os sistemas SAP, Condis, SAS, Arquivos, GDOC, bem como novas aplicações. A previsão de expansão do parque decorre do crescimento vegetativo observado para as aplicações existentes, além da demanda proveniente da entrada de novas aplicações. Salienta-se que várias aplicações, entre elas os sistemas SAP, requerem alto desempenho devido ao processamento de dados em grande volume."/>
    <s v="Limitação da capacidade de processamento de dados das soluções da empresa. Como ressaltado, trata-se de aplicações de desempenho crítico e que, por essa razão, requerem alto nível de performance. "/>
    <s v="Demanda incorporada à carteira, considerando a estratégia de contratação do serviço de Data Center."/>
    <n v="0"/>
    <n v="0"/>
    <n v="0"/>
    <n v="0"/>
    <n v="20000"/>
    <n v="20000"/>
    <n v="0"/>
    <n v="0"/>
    <n v="0"/>
    <n v="0"/>
    <n v="0"/>
    <n v="0"/>
    <n v="0"/>
    <n v="0"/>
    <n v="0"/>
    <n v="0"/>
    <n v="0"/>
    <n v="0"/>
    <n v="0"/>
    <n v="0"/>
    <n v="0"/>
    <n v="0"/>
    <n v="0"/>
    <n v="0"/>
    <n v="0"/>
    <n v="0"/>
    <n v="0"/>
    <n v="0"/>
    <n v="0"/>
    <n v="0"/>
    <n v="0"/>
    <n v="0"/>
    <n v="0"/>
    <n v="0"/>
    <n v="0"/>
    <n v="0"/>
    <n v="0"/>
    <n v="0"/>
    <n v="0"/>
    <n v="0"/>
    <n v="0"/>
    <n v="0"/>
    <n v="0"/>
    <n v="0"/>
    <n v="0"/>
    <n v="0"/>
    <n v="0"/>
    <n v="0"/>
    <n v="0"/>
    <n v="0"/>
    <n v="0"/>
    <n v="0"/>
    <n v="0"/>
    <n v="0"/>
    <n v="0"/>
    <n v="0"/>
    <n v="0"/>
    <n v="0"/>
    <n v="20000"/>
  </r>
  <r>
    <x v="2"/>
    <x v="16"/>
    <s v="TI/SI"/>
    <s v="Álisson Costa"/>
    <s v="TI/SI"/>
    <s v="Álisson Costa"/>
    <s v="DGE"/>
    <s v="TI03217"/>
    <s v="TINV.17.D.042.ES"/>
    <s v="Evolução e Sustentação SAP TI03217"/>
    <s v="Evoluir as soluções tecnológicas referentes aos processos de gestão empresarial, comercial e de informações empresariais; Modernizar as integrações dos sistemas SAP ERP, CCS/CRM e BW/BO com os sistemas legados (GDIS, AGV, CTI, URA, PEC, entre outros); Atender às leis, normas, resoluções e diretrizes governamentais ou corporativas."/>
    <s v="Risco de multa e/ou penalidades pelo órgão regulador e outras instituições, devido ao não atendimento das resoluções normativas e legais; Perda da oportunidade de redução de custo para as áreas operacionais; Impacto financeiro nas áreas de negócio dos processos de gestão."/>
    <s v="Revisão do escopo do projeto, conforme demandas de sustentação e evolução dos ambientes CCS, CRM, BW, BPC, BO e ECC (ERP)."/>
    <n v="341.49017333984375"/>
    <n v="0"/>
    <n v="500"/>
    <n v="500"/>
    <n v="158.50982666015625"/>
    <n v="1500"/>
    <n v="0"/>
    <n v="0"/>
    <n v="0"/>
    <n v="0"/>
    <n v="0"/>
    <n v="0"/>
    <n v="500"/>
    <n v="500"/>
    <n v="500"/>
    <n v="500"/>
    <n v="500"/>
    <n v="500"/>
    <n v="3000"/>
    <n v="0"/>
    <n v="0"/>
    <n v="0"/>
    <n v="0"/>
    <n v="0"/>
    <n v="0"/>
    <n v="500"/>
    <n v="500"/>
    <n v="500"/>
    <n v="500"/>
    <n v="500"/>
    <n v="500"/>
    <n v="3000"/>
    <n v="0"/>
    <n v="0"/>
    <n v="0"/>
    <n v="0"/>
    <n v="0"/>
    <n v="500"/>
    <n v="500"/>
    <n v="500"/>
    <n v="500"/>
    <n v="500"/>
    <n v="500"/>
    <n v="600"/>
    <n v="3600"/>
    <n v="0"/>
    <n v="0"/>
    <n v="0"/>
    <n v="0"/>
    <n v="0"/>
    <n v="500"/>
    <n v="500"/>
    <n v="500"/>
    <n v="500"/>
    <n v="500"/>
    <n v="500"/>
    <n v="600"/>
    <n v="3600"/>
    <n v="14700"/>
  </r>
  <r>
    <x v="2"/>
    <x v="16"/>
    <s v="TI/SI"/>
    <s v="Roberto Proença"/>
    <s v="TI/SI"/>
    <s v="Roberto Proença"/>
    <s v="DGE"/>
    <s v="TI02115"/>
    <s v="TINV.15.D.042.AT"/>
    <s v="ATLÂNTIS - Aquisição de uma plataforma GIS (Geographic Information System) para suporte aos processos da Cemig Distribuição, em substituição ao atual sistema GEMINI e aquisição da infraestrutura necessária para suportar a nova solução."/>
    <s v="Contratação dos novos módulos de Mapeamento, Cadastro, Projeto e Planejamento do Sistema de Gestão de Redes e da infraestrutura para suportá-los controlando a possibilidade de análise, estudo, simulação, valoração e processamento das informações em um ambiente integrado, além de propiciar o correto provimento das informações periodicamente solicitadas pelo órgão regulador (ANEEL) no seu novo ambiente georreferenciado; Integrar os sistemas Atlantis e o SAP CCS; Expor serviços de negócio reutilizáveis aderentes a este contexto de integração;  Permitir a identificação de logradouros que ainda não possuam consumidores cadastrados."/>
    <s v="Perda de sincronismo de processos entre Cemig e Light; limitação e desempenho degradado da solução atual; baixa produtividade para provimento de novas soluções para gestão dos ativos da rede de distribuição; limitação da quantidade de usuários com acesso à aplicação; obsolescência da ferramenta atual, com mais de uma década de uso; perda de oportunidade de redução de custos operacionais; incapacidade de atendimento a algumas demandas do órgão regulador (Aneel/Prodist);_x000a_perda da melhoria do processo de capitalização e gestão de ativos da Cemig Distribuidora._x000a_"/>
    <s v="Postergação do desembolso em virtude de atraso na implantação/integração com o GDIS 2.0."/>
    <n v="1291.7284393310547"/>
    <n v="600"/>
    <n v="646.59554000000003"/>
    <n v="150"/>
    <n v="1078.306912631836"/>
    <n v="3766.6308919628909"/>
    <n v="1150"/>
    <n v="1261"/>
    <n v="1200"/>
    <n v="1250"/>
    <n v="1200"/>
    <n v="1250"/>
    <n v="1200"/>
    <n v="0"/>
    <n v="0"/>
    <n v="0"/>
    <n v="0"/>
    <n v="0"/>
    <n v="8511"/>
    <n v="0"/>
    <n v="0"/>
    <n v="0"/>
    <n v="0"/>
    <n v="0"/>
    <n v="0"/>
    <n v="0"/>
    <n v="0"/>
    <n v="0"/>
    <n v="0"/>
    <n v="0"/>
    <n v="0"/>
    <n v="0"/>
    <n v="0"/>
    <n v="0"/>
    <n v="0"/>
    <n v="0"/>
    <n v="0"/>
    <n v="0"/>
    <n v="0"/>
    <n v="0"/>
    <n v="0"/>
    <n v="0"/>
    <n v="0"/>
    <n v="0"/>
    <n v="0"/>
    <n v="0"/>
    <n v="0"/>
    <n v="0"/>
    <n v="0"/>
    <n v="0"/>
    <n v="0"/>
    <n v="0"/>
    <n v="0"/>
    <n v="0"/>
    <n v="0"/>
    <n v="0"/>
    <n v="0"/>
    <n v="0"/>
    <n v="12277.63089196289"/>
  </r>
  <r>
    <x v="2"/>
    <x v="16"/>
    <s v="TI/SI"/>
    <s v="Álisson Costa"/>
    <s v="PE/OS"/>
    <s v="Cleber Esteves Sacramento"/>
    <s v="DDC"/>
    <s v="NA"/>
    <s v="-"/>
    <s v="Aquisição do Sistema Cyme"/>
    <s v="O projeto consiste na contratação do fornecimento, manutenção e suporte de aplicativos especializados para cálculos e análise de sistemas de distribuição de energia elétrica a serem disponibilizados em rede."/>
    <s v="Dificuldade da realização do planejamento de expansão do sistema elétrico e análises de atendimento de carga da Malha Centro (2.034 MVA). Versões desktop não possui capacidade de executar os cálculos de fluxo de potência de todos os dados da Malha Centro. Esse problema é solucionado com o Cyme Server._x000a_Descontinuidade dos Dados históricos de demanda, existentes desde 1984, comprometendo a projeção da distribuição espacial da carga e consequente a otimização dos investimentos._x000a_Não otimização da rede implicando em aumento de Perdas Técnicas, investimentos adicionais, violação de Requisitos Regulatórios como DEC, DIC/FIC/DMIC, DRC/DRP, perda de Flexibilidade Operativa._x000a_A atual quantidade de licenças Cyme é insuficiente para permitir a produção adequada das equipes de Planejamento, Operação e Engenharia, ocasionando descumprimento dos prazos regulatórios._x000a_Continuidade do dispêndio de Hh com o processo de obtenção e validação de dados, já que os casos ajustados ficam disponíveis apenas nas estações de trabalho."/>
    <s v="Postergação do desembolso para adequação da curva de investimento."/>
    <n v="0"/>
    <n v="0"/>
    <n v="0"/>
    <n v="0"/>
    <n v="0"/>
    <n v="0"/>
    <n v="0"/>
    <n v="0"/>
    <n v="0"/>
    <n v="0"/>
    <n v="0"/>
    <n v="0"/>
    <n v="3261"/>
    <n v="0"/>
    <n v="0"/>
    <n v="0"/>
    <n v="0"/>
    <n v="0"/>
    <n v="3261"/>
    <n v="0"/>
    <n v="0"/>
    <n v="0"/>
    <n v="0"/>
    <n v="0"/>
    <n v="0"/>
    <n v="2655"/>
    <n v="0"/>
    <n v="0"/>
    <n v="0"/>
    <n v="0"/>
    <n v="0"/>
    <n v="2655"/>
    <n v="0"/>
    <n v="0"/>
    <n v="0"/>
    <n v="0"/>
    <n v="0"/>
    <n v="3665"/>
    <n v="0"/>
    <n v="0"/>
    <n v="0"/>
    <n v="0"/>
    <n v="0"/>
    <n v="0"/>
    <n v="3665"/>
    <n v="0"/>
    <n v="0"/>
    <n v="0"/>
    <n v="0"/>
    <n v="0"/>
    <n v="0"/>
    <n v="0"/>
    <n v="0"/>
    <n v="0"/>
    <n v="0"/>
    <n v="0"/>
    <n v="0"/>
    <n v="0"/>
    <n v="9581"/>
  </r>
  <r>
    <x v="2"/>
    <x v="16"/>
    <s v="TI/TC"/>
    <s v="Roberto Sebastião"/>
    <s v="TI/TC"/>
    <s v="Roberto Sebastião"/>
    <s v="DGE"/>
    <s v="TI02718"/>
    <s v="TINV.18.D.054.IP"/>
    <s v="Solução de IPSs (Sistema de Proteção contra ataques provenientes da Internet) - Equipamentos SEDE e Aureliano Chaves"/>
    <s v="Solução para proteção da rede Cemig contra ataques provenientes da Internet"/>
    <s v="Invasões a aplicações e ambientes críticos, com indisponibilidade de ambientes Operativos e Corporativos."/>
    <s v="Revisão do escopo do projeto, conforme definições da estrutura de segurança e conectividade."/>
    <n v="267.26645660400391"/>
    <n v="2955.7335399999997"/>
    <n v="0"/>
    <n v="0"/>
    <n v="0"/>
    <n v="3222.9999966040036"/>
    <n v="0"/>
    <n v="0"/>
    <n v="0"/>
    <n v="0"/>
    <n v="0"/>
    <n v="0"/>
    <n v="0"/>
    <n v="0"/>
    <n v="0"/>
    <n v="0"/>
    <n v="0"/>
    <n v="0"/>
    <n v="0"/>
    <n v="0"/>
    <n v="0"/>
    <n v="1541"/>
    <n v="368"/>
    <n v="0"/>
    <n v="0"/>
    <n v="0"/>
    <n v="0"/>
    <n v="0"/>
    <n v="0"/>
    <n v="0"/>
    <n v="0"/>
    <n v="1909"/>
    <n v="0"/>
    <n v="0"/>
    <n v="0"/>
    <n v="0"/>
    <n v="0"/>
    <n v="0"/>
    <n v="0"/>
    <n v="0"/>
    <n v="0"/>
    <n v="0"/>
    <n v="0"/>
    <n v="0"/>
    <n v="0"/>
    <n v="0"/>
    <n v="0"/>
    <n v="0"/>
    <n v="0"/>
    <n v="0"/>
    <n v="0"/>
    <n v="0"/>
    <n v="0"/>
    <n v="0"/>
    <n v="0"/>
    <n v="0"/>
    <n v="0"/>
    <n v="0"/>
    <n v="5131.9999966040032"/>
  </r>
  <r>
    <x v="2"/>
    <x v="16"/>
    <s v="TI/IO"/>
    <s v="Marcus Souto"/>
    <s v="TI/IO"/>
    <s v="Marcus Souto"/>
    <s v="DGE"/>
    <s v="TI07018"/>
    <s v="TINV.18.D.045.MS"/>
    <s v="Licenciamento Microsoft D"/>
    <s v="O projeto relaciona-se à renovação do contrato de licenciamento de software com a Microsoft, contemplando todas as licenças em uso pela Cemig D, como Windows Server External Connector, Windows Server Datacenter, Sharepoint Server, Exchange Server Enterprise, CPS do Visual Studio Premium para Ultimate, CPS do Visual Studio Ultimate, Lync Sever Enterprise, e MSDN Platform."/>
    <s v="Perda do direito de renovação do contrato, que ocorre anualmente. Nesse caso, alguns impactos podem ser mencionados, como a perda na economia de custos, já que a renovação, com direito à versão atualizada, custa cerca de 25% do valor da aquisição de uma nova licença; a limitação das funcionalidades das licenças e exposição a falhas de segurança, devido à desatualização das aplicações."/>
    <s v="Postergação do desembolso, conforme estratégia de contratação/renovação dos produtos licenciados."/>
    <m/>
    <n v="0"/>
    <n v="0"/>
    <n v="0"/>
    <n v="100"/>
    <n v="100"/>
    <n v="0"/>
    <n v="0"/>
    <n v="0"/>
    <n v="0"/>
    <n v="0"/>
    <n v="0"/>
    <n v="0"/>
    <n v="100"/>
    <n v="0"/>
    <n v="0"/>
    <n v="0"/>
    <n v="0"/>
    <n v="100"/>
    <n v="0"/>
    <n v="0"/>
    <n v="0"/>
    <n v="0"/>
    <n v="0"/>
    <n v="0"/>
    <n v="0"/>
    <n v="100"/>
    <n v="0"/>
    <n v="0"/>
    <n v="0"/>
    <n v="0"/>
    <n v="100"/>
    <n v="0"/>
    <n v="0"/>
    <n v="0"/>
    <n v="0"/>
    <n v="0"/>
    <n v="0"/>
    <n v="0"/>
    <n v="2267"/>
    <n v="0"/>
    <n v="0"/>
    <n v="0"/>
    <n v="0"/>
    <n v="2267"/>
    <n v="0"/>
    <n v="0"/>
    <n v="0"/>
    <n v="0"/>
    <n v="0"/>
    <n v="0"/>
    <n v="0"/>
    <n v="2267"/>
    <n v="0"/>
    <n v="0"/>
    <n v="0"/>
    <n v="0"/>
    <n v="2267"/>
    <n v="4834"/>
  </r>
  <r>
    <x v="2"/>
    <x v="16"/>
    <s v="TI/IO"/>
    <s v="Carlos Araújo"/>
    <s v="TI/IO"/>
    <s v="Carlos Araújo"/>
    <s v="DGE"/>
    <s v="NA"/>
    <s v="-"/>
    <s v="Crescimento vegetativo ambiente SAP"/>
    <s v="O projeto decorre da necessidade de upgrade da capacidade de processamento e memória dos servidores que hospedam a solução SAP da Cemig, em face do crescimento vegetativo.  Alguns sistemas integrados com a solução SAP são: SAP ECC IS-U/CCS for Utilities (SGC – Sistema de Gestão comercial), SAP Customer Relationship Management - CRM e SAP Enterprise Resource Planning (ECC 6.0 EHP4). À parte do crescimento vegetativo da solução SAP, o projeto atende também a necessidade de processamento de projetos específicos, como Altântis e G-DIS."/>
    <s v="Incapacidade de processamento dos servidores para absorção das demandas vegetativas, regulatórias e fiscais, tais como crescimento do número de consumidores; projeto de leitura e impressão simultânea de faturas; nota fiscal eletrônica de entrada; além da necessidade de processamento de dados de projetos críticos, como Atlântis e G-DIS. Não sendo possível sua realização em 2016, restará prejudicado o dimensionamento adequado do parque de servidores, assim como a garantia da capacidade de processamento de dados requisitada pelos diversos sistemas operacionais da Cemig D."/>
    <s v="Postergação do desembolso para adequação da curva de investimento."/>
    <n v="0"/>
    <n v="0"/>
    <n v="0"/>
    <n v="0"/>
    <n v="0"/>
    <n v="0"/>
    <n v="0"/>
    <n v="0"/>
    <n v="0"/>
    <n v="0"/>
    <n v="0"/>
    <n v="0"/>
    <n v="0"/>
    <n v="0"/>
    <n v="0"/>
    <n v="0"/>
    <n v="0"/>
    <n v="0"/>
    <n v="0"/>
    <n v="0"/>
    <n v="0"/>
    <n v="0"/>
    <n v="0"/>
    <n v="0"/>
    <n v="0"/>
    <n v="0"/>
    <n v="0"/>
    <n v="0"/>
    <n v="0"/>
    <n v="0"/>
    <n v="0"/>
    <n v="0"/>
    <n v="0"/>
    <n v="0"/>
    <n v="0"/>
    <n v="0"/>
    <n v="0"/>
    <n v="0"/>
    <n v="0"/>
    <n v="0"/>
    <n v="0"/>
    <n v="0"/>
    <n v="0"/>
    <n v="0"/>
    <n v="0"/>
    <n v="0"/>
    <n v="0"/>
    <n v="0"/>
    <n v="0"/>
    <n v="0"/>
    <n v="0"/>
    <n v="0"/>
    <n v="0"/>
    <n v="4624.8999999999996"/>
    <n v="0"/>
    <n v="0"/>
    <n v="0"/>
    <n v="4624.8999999999996"/>
    <n v="4624.8999999999996"/>
  </r>
  <r>
    <x v="2"/>
    <x v="16"/>
    <s v="TI/SI"/>
    <s v="Álisson Costa"/>
    <s v="AD/AD"/>
    <s v="Paulo Cesar Soares"/>
    <s v="DDC"/>
    <s v="NA"/>
    <s v="-"/>
    <s v="Sistema de selfhealing descentralizado"/>
    <s v="Aquisição e implantação de sistema de selfhealing descentralizado para 800 equipamentos telecontrolados da rede de Média Tensão "/>
    <s v="Não redução do custos de Opex com serviço de campo nas ocorrências no SEP. Não será capturado melhoria dos indicadores de qualidade, dentre eles o DEC"/>
    <s v="-"/>
    <n v="0"/>
    <n v="0"/>
    <n v="0"/>
    <n v="0"/>
    <n v="0"/>
    <n v="0"/>
    <n v="50"/>
    <n v="50"/>
    <n v="100"/>
    <n v="100"/>
    <n v="150"/>
    <n v="300"/>
    <n v="300"/>
    <n v="300"/>
    <n v="300"/>
    <n v="350"/>
    <n v="350"/>
    <n v="150"/>
    <n v="2500"/>
    <n v="100"/>
    <n v="100"/>
    <n v="200"/>
    <n v="100"/>
    <n v="200"/>
    <n v="200"/>
    <n v="100"/>
    <n v="200"/>
    <n v="200"/>
    <n v="200"/>
    <n v="200"/>
    <n v="200"/>
    <n v="2000"/>
    <n v="0"/>
    <n v="0"/>
    <n v="0"/>
    <n v="0"/>
    <n v="0"/>
    <n v="0"/>
    <n v="0"/>
    <n v="0"/>
    <n v="0"/>
    <n v="0"/>
    <n v="0"/>
    <n v="0"/>
    <n v="0"/>
    <n v="0"/>
    <n v="0"/>
    <n v="0"/>
    <n v="0"/>
    <n v="0"/>
    <n v="0"/>
    <n v="0"/>
    <n v="0"/>
    <n v="0"/>
    <n v="0"/>
    <n v="0"/>
    <n v="0"/>
    <n v="0"/>
    <n v="4500"/>
  </r>
  <r>
    <x v="2"/>
    <x v="16"/>
    <s v="TI/SI"/>
    <s v="Roberto Proença"/>
    <s v="TI/SI"/>
    <s v="Roberto Proença"/>
    <s v="DGE"/>
    <s v="NA"/>
    <s v="-"/>
    <s v="Evolução e Sustentação JAVA - Magik"/>
    <s v="Desenvolvimento de funcionalidades inerentes aos processos da DDC dentro do sistema Atlantis"/>
    <s v="Inconformidade do sistema com o processo da distribuição"/>
    <s v="-"/>
    <n v="0"/>
    <n v="0"/>
    <n v="0"/>
    <n v="0"/>
    <n v="0"/>
    <n v="0"/>
    <n v="0"/>
    <n v="0"/>
    <n v="50"/>
    <n v="100"/>
    <n v="100"/>
    <n v="100"/>
    <n v="100"/>
    <n v="100"/>
    <n v="100"/>
    <n v="100"/>
    <n v="100"/>
    <n v="150"/>
    <n v="1000"/>
    <n v="0"/>
    <n v="0"/>
    <n v="50"/>
    <n v="100"/>
    <n v="100"/>
    <n v="100"/>
    <n v="100"/>
    <n v="100"/>
    <n v="100"/>
    <n v="100"/>
    <n v="100"/>
    <n v="150"/>
    <n v="1000"/>
    <n v="0"/>
    <n v="0"/>
    <n v="0"/>
    <n v="0"/>
    <n v="100"/>
    <n v="120"/>
    <n v="120"/>
    <n v="120"/>
    <n v="120"/>
    <n v="120"/>
    <n v="120"/>
    <n v="180"/>
    <n v="1000"/>
    <n v="0"/>
    <n v="0"/>
    <n v="0"/>
    <n v="0"/>
    <n v="100"/>
    <n v="120"/>
    <n v="120"/>
    <n v="120"/>
    <n v="120"/>
    <n v="120"/>
    <n v="120"/>
    <n v="180"/>
    <n v="1000"/>
    <n v="4000"/>
  </r>
  <r>
    <x v="2"/>
    <x v="16"/>
    <s v="TI/SI"/>
    <s v="Roberto Proença"/>
    <s v="TI/SI"/>
    <s v="Roberto Proença"/>
    <s v="DGE"/>
    <s v="TI01016"/>
    <s v="TINV.16.D.042.SC"/>
    <s v="Modernização do Sistema de Aquisição de Dados e Monitoramento do COD e aquisição de EMS "/>
    <s v="Aquisição e implantação de Sistema de Aquisição de Dados e Monitoramento com funcionalidades de EMS, OTS dentre outras definidas na Especificação Técnica, e aquisição de Sistema de Controle Backup, a ser implementado como serviço de Colocation."/>
    <s v="-"/>
    <s v="Postergação do desembolso em virtude de atraso na implantação/integração com o GDIS 2.0."/>
    <n v="199.91008186340332"/>
    <n v="1545.6500799999999"/>
    <n v="52"/>
    <n v="108.92359999999999"/>
    <n v="187"/>
    <n v="2093.4837618634033"/>
    <n v="151"/>
    <n v="151"/>
    <n v="151"/>
    <n v="151"/>
    <n v="151"/>
    <n v="151"/>
    <n v="151"/>
    <n v="151"/>
    <n v="151"/>
    <n v="151"/>
    <n v="151"/>
    <n v="51"/>
    <n v="1712"/>
    <n v="0"/>
    <n v="0"/>
    <n v="0"/>
    <n v="0"/>
    <n v="0"/>
    <n v="0"/>
    <n v="0"/>
    <n v="0"/>
    <n v="0"/>
    <n v="0"/>
    <n v="0"/>
    <n v="0"/>
    <n v="0"/>
    <n v="0"/>
    <n v="0"/>
    <n v="0"/>
    <n v="0"/>
    <n v="0"/>
    <n v="0"/>
    <n v="0"/>
    <n v="0"/>
    <n v="0"/>
    <n v="0"/>
    <n v="0"/>
    <n v="0"/>
    <n v="0"/>
    <n v="0"/>
    <n v="0"/>
    <n v="0"/>
    <n v="0"/>
    <n v="0"/>
    <n v="0"/>
    <n v="0"/>
    <n v="0"/>
    <n v="0"/>
    <n v="0"/>
    <n v="0"/>
    <n v="0"/>
    <n v="0"/>
    <n v="3805.4837618634033"/>
  </r>
  <r>
    <x v="2"/>
    <x v="16"/>
    <s v="TI/SI"/>
    <s v="Álisson Costa"/>
    <s v="TI/SI"/>
    <s v="Álisson Costa"/>
    <s v="DGE"/>
    <s v="TI02418"/>
    <s v="TINV.18.D.042.SA"/>
    <s v="Licenciamento SAS"/>
    <s v="Atualização da plataforma de software do instituto SAS em uso da empresa, para atendimento aos requisitos regulatórios."/>
    <s v="Defasagem tecnológica perante o software usado no setor de energia para atendimento regulatório."/>
    <s v="Revisão do escopo do projeto, incorporando ganhos obtidos na negociação do licenciamento."/>
    <n v="693.4403076171875"/>
    <n v="0"/>
    <n v="0"/>
    <n v="0"/>
    <n v="0"/>
    <n v="693.4403076171875"/>
    <n v="0"/>
    <n v="0"/>
    <n v="0"/>
    <n v="0"/>
    <n v="0"/>
    <n v="0"/>
    <n v="0"/>
    <n v="0"/>
    <n v="0"/>
    <n v="0"/>
    <n v="0"/>
    <n v="0"/>
    <n v="0"/>
    <n v="0"/>
    <n v="0"/>
    <n v="0"/>
    <n v="0"/>
    <n v="750"/>
    <n v="0"/>
    <n v="0"/>
    <n v="0"/>
    <n v="0"/>
    <n v="0"/>
    <n v="0"/>
    <n v="0"/>
    <n v="750"/>
    <n v="0"/>
    <n v="0"/>
    <n v="0"/>
    <n v="0"/>
    <n v="750"/>
    <n v="0"/>
    <n v="0"/>
    <n v="0"/>
    <n v="0"/>
    <n v="0"/>
    <n v="0"/>
    <n v="0"/>
    <n v="750"/>
    <n v="0"/>
    <n v="0"/>
    <n v="0"/>
    <n v="0"/>
    <n v="0"/>
    <n v="0"/>
    <n v="0"/>
    <n v="0"/>
    <n v="1500"/>
    <n v="0"/>
    <n v="0"/>
    <n v="0"/>
    <n v="1500"/>
    <n v="3693.4403076171875"/>
  </r>
  <r>
    <x v="2"/>
    <x v="16"/>
    <s v="TI/SI"/>
    <s v="Álisson Costa"/>
    <s v="TI/SI"/>
    <s v="Álisson Costa"/>
    <s v="DGE"/>
    <s v="TI00118"/>
    <s v="TINV.18.D.042.OR"/>
    <s v="Licenciamento de Softwares (Oracle) D"/>
    <s v="O projeto decorre da atualização de versão e licenciamento da plataforma de software de gerenciamento de banco de dados da ORACLE."/>
    <s v="Obsolescência do ambiente de gerenciamento de banco de dados; risco de indisponibilidade em decorrência de incidentes críticos, devido à perda da garantia de suporte e da disponibilidade de evoluções de funções e de ferramentas; assim como degradação de performance do ambiente SAP."/>
    <s v="Revisão do escopo do projeto, incorporando ganhos obtidos na negociação do licenciamento."/>
    <n v="479.32675170898437"/>
    <n v="0"/>
    <n v="0"/>
    <n v="0"/>
    <n v="0"/>
    <n v="479.32675170898437"/>
    <n v="0"/>
    <n v="603"/>
    <n v="0"/>
    <n v="0"/>
    <n v="0"/>
    <n v="0"/>
    <n v="0"/>
    <n v="0"/>
    <n v="0"/>
    <n v="0"/>
    <n v="0"/>
    <n v="0"/>
    <n v="603"/>
    <n v="0"/>
    <n v="779"/>
    <n v="0"/>
    <n v="0"/>
    <n v="0"/>
    <n v="0"/>
    <n v="0"/>
    <n v="0"/>
    <n v="0"/>
    <n v="0"/>
    <n v="0"/>
    <n v="0"/>
    <n v="779"/>
    <n v="0"/>
    <n v="800"/>
    <n v="0"/>
    <n v="0"/>
    <n v="0"/>
    <n v="0"/>
    <n v="0"/>
    <n v="0"/>
    <n v="0"/>
    <n v="0"/>
    <n v="0"/>
    <n v="0"/>
    <n v="800"/>
    <n v="0"/>
    <n v="800"/>
    <n v="0"/>
    <n v="0"/>
    <n v="0"/>
    <n v="0"/>
    <n v="0"/>
    <n v="0"/>
    <n v="0"/>
    <n v="0"/>
    <n v="0"/>
    <n v="0"/>
    <n v="800"/>
    <n v="3461.3267517089844"/>
  </r>
  <r>
    <x v="2"/>
    <x v="16"/>
    <s v="TI/RT"/>
    <s v="Sérgio Mourthé"/>
    <s v="TI/RT"/>
    <s v="Sérgio Mourthé"/>
    <s v="DGE"/>
    <s v="NA"/>
    <s v="-"/>
    <s v="Projeto de Atualização da Versão do SAP CRM"/>
    <s v="Projeto de Atualização da Versão do SAP CRM"/>
    <s v="Impacto no atendimento aos clientes; Defasagem tecnológica;"/>
    <s v="-"/>
    <n v="0"/>
    <n v="0"/>
    <n v="0"/>
    <n v="0"/>
    <n v="0"/>
    <n v="0"/>
    <n v="0"/>
    <n v="0"/>
    <n v="0"/>
    <n v="0"/>
    <n v="0"/>
    <n v="0"/>
    <n v="0"/>
    <n v="0"/>
    <n v="0"/>
    <n v="0"/>
    <n v="0"/>
    <n v="0"/>
    <n v="0"/>
    <n v="300"/>
    <n v="300"/>
    <n v="300"/>
    <n v="300"/>
    <n v="300"/>
    <n v="300"/>
    <n v="300"/>
    <n v="300"/>
    <n v="300"/>
    <n v="300"/>
    <n v="300"/>
    <n v="155"/>
    <n v="3455"/>
    <n v="0"/>
    <n v="0"/>
    <n v="0"/>
    <n v="0"/>
    <n v="0"/>
    <n v="0"/>
    <n v="0"/>
    <n v="0"/>
    <n v="0"/>
    <n v="0"/>
    <n v="0"/>
    <n v="0"/>
    <n v="0"/>
    <n v="0"/>
    <n v="0"/>
    <n v="0"/>
    <n v="0"/>
    <n v="0"/>
    <n v="0"/>
    <n v="0"/>
    <n v="0"/>
    <n v="0"/>
    <n v="0"/>
    <n v="0"/>
    <n v="0"/>
    <n v="0"/>
    <n v="3455"/>
  </r>
  <r>
    <x v="2"/>
    <x v="16"/>
    <s v="TI/SI"/>
    <s v="Álisson Costa"/>
    <s v="TI/SI"/>
    <s v="Álisson Costa"/>
    <s v="DGE"/>
    <s v="NA"/>
    <s v="-"/>
    <s v="Sistemas WEB e SharePoint"/>
    <s v="O projeto atende à necessidade de evolução e desenvolvimento de softwares disponibilizados no ambiente da Intranet da Cemig."/>
    <s v="Impossibilidade de adequação dos sistemas legados às novas regras e estruturas da Empresa, perda da eficiência operacional dos processos informatizados, em virtude da defasagem de automação dos processos das áreas de negócio; incapacidade de implantação de novas funcionalidades na Cemignet20, e não atendimento a determinações regulatórias."/>
    <s v="Postergação do desembolso para adequação da curva de investimento."/>
    <n v="0"/>
    <n v="0"/>
    <n v="0"/>
    <n v="50"/>
    <n v="78"/>
    <n v="128"/>
    <n v="0"/>
    <n v="0"/>
    <n v="0"/>
    <n v="40"/>
    <n v="50"/>
    <n v="50"/>
    <n v="30"/>
    <n v="30"/>
    <n v="50"/>
    <n v="76"/>
    <n v="110"/>
    <n v="100"/>
    <n v="536"/>
    <n v="50"/>
    <n v="50"/>
    <n v="53"/>
    <n v="100"/>
    <n v="100"/>
    <n v="100"/>
    <n v="50"/>
    <n v="100"/>
    <n v="100"/>
    <n v="0"/>
    <n v="0"/>
    <n v="0"/>
    <n v="703"/>
    <n v="50"/>
    <n v="50"/>
    <n v="50"/>
    <n v="50"/>
    <n v="100"/>
    <n v="100"/>
    <n v="50"/>
    <n v="100"/>
    <n v="100"/>
    <n v="100"/>
    <n v="100"/>
    <n v="100"/>
    <n v="950"/>
    <n v="0"/>
    <n v="50"/>
    <n v="0"/>
    <n v="100"/>
    <n v="100"/>
    <n v="100"/>
    <n v="50"/>
    <n v="100"/>
    <n v="100"/>
    <n v="100"/>
    <n v="100"/>
    <n v="100"/>
    <n v="900"/>
    <n v="3217"/>
  </r>
  <r>
    <x v="2"/>
    <x v="16"/>
    <s v="TI/TC"/>
    <s v="Roberto Sebastião"/>
    <s v="TI/TC"/>
    <s v="Roberto Sebastião"/>
    <s v="DGE"/>
    <s v="TI00918"/>
    <s v="TINV.18.D.054.EX"/>
    <s v="Proteção Gateway Exchange"/>
    <s v="Antivirus para verificação de ameaças em caixas particulares de emails"/>
    <s v="Contaminação com virus e outros Malwares de arquivos contidos em pastas particulares do exchange"/>
    <s v="Revisão do escopo do projeto, conforme definições da estrutura de segurança e conectividade."/>
    <n v="0"/>
    <n v="0"/>
    <n v="0"/>
    <n v="0"/>
    <n v="0"/>
    <n v="0"/>
    <n v="0"/>
    <n v="0"/>
    <n v="843"/>
    <n v="202"/>
    <n v="0"/>
    <n v="0"/>
    <n v="0"/>
    <n v="0"/>
    <n v="0"/>
    <n v="0"/>
    <n v="0"/>
    <n v="0"/>
    <n v="1045"/>
    <n v="0"/>
    <n v="0"/>
    <n v="710"/>
    <n v="133"/>
    <n v="0"/>
    <n v="0"/>
    <n v="0"/>
    <n v="0"/>
    <n v="0"/>
    <n v="0"/>
    <n v="0"/>
    <n v="0"/>
    <n v="843"/>
    <n v="0"/>
    <n v="0"/>
    <n v="0"/>
    <n v="0"/>
    <n v="0"/>
    <n v="0"/>
    <n v="0"/>
    <n v="0"/>
    <n v="0"/>
    <n v="0"/>
    <n v="0"/>
    <n v="0"/>
    <n v="0"/>
    <n v="0"/>
    <n v="0"/>
    <n v="0"/>
    <n v="0"/>
    <n v="1250"/>
    <n v="0"/>
    <n v="0"/>
    <n v="0"/>
    <n v="0"/>
    <n v="0"/>
    <n v="0"/>
    <n v="0"/>
    <n v="1250"/>
    <n v="3138"/>
  </r>
  <r>
    <x v="2"/>
    <x v="16"/>
    <s v="TI/SI"/>
    <s v="Roberto Proença"/>
    <s v="TI/SI"/>
    <s v="Roberto Proença"/>
    <s v="DGE"/>
    <s v="NA"/>
    <s v="-"/>
    <s v="Crescimento do Hardware G-DIS"/>
    <s v="Aquisição de novos servidores  visando adequar a infraestrutura a especificação dos projetos G-DIS 2.0 e Atlantis; Permitir o crescimento vegetativo do sistema; Atendimento ao órgão regulador permitindo melhorias no batimento físico-contábil dos ativos da Cemig Distribuição."/>
    <s v="Os projetos G-DIS 2.0 e Atlantis estão em andamento com contratos anuidos pela Aneel. Não fornecer o hardware implica em descontinuidade desses projetos e perda do investimento realizado nos projetos G-DIS 2.0 e Atlantis; Várias demandas estão aguardando a implantação do G-DIS 2.0 e Atlantis, sem hardware teremos que implementar soluções duas vezes, sendo uma na versão atual."/>
    <s v="-"/>
    <n v="0"/>
    <n v="0"/>
    <n v="0"/>
    <n v="0"/>
    <n v="0"/>
    <n v="0"/>
    <n v="0"/>
    <n v="0"/>
    <n v="0"/>
    <n v="0"/>
    <n v="0"/>
    <n v="0"/>
    <n v="0"/>
    <n v="0"/>
    <n v="0"/>
    <n v="0"/>
    <n v="0"/>
    <n v="0"/>
    <n v="0"/>
    <n v="0"/>
    <n v="0"/>
    <n v="0"/>
    <n v="0"/>
    <n v="0"/>
    <n v="0"/>
    <n v="0"/>
    <n v="0"/>
    <n v="0"/>
    <n v="0"/>
    <n v="0"/>
    <n v="0"/>
    <n v="0"/>
    <n v="0"/>
    <n v="0"/>
    <n v="0"/>
    <n v="0"/>
    <n v="3000"/>
    <n v="0"/>
    <n v="0"/>
    <n v="0"/>
    <n v="0"/>
    <n v="0"/>
    <n v="0"/>
    <n v="0"/>
    <n v="3000"/>
    <n v="0"/>
    <n v="0"/>
    <n v="0"/>
    <n v="0"/>
    <n v="0"/>
    <n v="0"/>
    <n v="0"/>
    <n v="0"/>
    <n v="0"/>
    <n v="0"/>
    <n v="0"/>
    <n v="0"/>
    <n v="0"/>
    <n v="3000"/>
  </r>
  <r>
    <x v="2"/>
    <x v="16"/>
    <s v="TI/TC"/>
    <s v="Roberto Sebastião"/>
    <s v="TI/TC"/>
    <s v="Roberto Sebastião"/>
    <s v="DGE"/>
    <s v="NA"/>
    <s v="-"/>
    <s v="Solução de QOS/Monitoramento de Rede"/>
    <s v="Solução de Monitoramento de Rede  para  prover visibilidade em tempo real e histórica de soluções Operativas. Objetiva garantir os níveis adequados de disponibilidade dos serviços."/>
    <s v="Indisponibilidade e baixo desempenho de aplicações críticas por falta de visibilidade e Gerenciamento."/>
    <s v="Revisão do escopo do projeto, conforme definições da estrutura de segurança e conectividade."/>
    <n v="0"/>
    <n v="0"/>
    <n v="0"/>
    <n v="0"/>
    <n v="0"/>
    <n v="0"/>
    <n v="0"/>
    <n v="0"/>
    <n v="0"/>
    <n v="0"/>
    <n v="0"/>
    <n v="1500"/>
    <n v="0"/>
    <n v="0"/>
    <n v="0"/>
    <n v="0"/>
    <n v="0"/>
    <n v="0"/>
    <n v="1500"/>
    <n v="0"/>
    <n v="0"/>
    <n v="0"/>
    <n v="0"/>
    <n v="0"/>
    <n v="0"/>
    <n v="0"/>
    <n v="0"/>
    <n v="0"/>
    <n v="0"/>
    <n v="0"/>
    <n v="0"/>
    <n v="0"/>
    <n v="0"/>
    <n v="0"/>
    <n v="0"/>
    <n v="0"/>
    <n v="0"/>
    <n v="0"/>
    <n v="0"/>
    <n v="0"/>
    <n v="0"/>
    <n v="0"/>
    <n v="0"/>
    <n v="0"/>
    <n v="0"/>
    <n v="0"/>
    <n v="0"/>
    <n v="0"/>
    <n v="0"/>
    <n v="1250"/>
    <n v="0"/>
    <n v="0"/>
    <n v="0"/>
    <n v="0"/>
    <n v="0"/>
    <n v="0"/>
    <n v="0"/>
    <n v="1250"/>
    <n v="2750"/>
  </r>
  <r>
    <x v="2"/>
    <x v="16"/>
    <s v="TI/TC"/>
    <s v="Roberto Sebastião"/>
    <s v="TI/TC"/>
    <s v="Roberto Sebastião"/>
    <s v="DGE"/>
    <s v="NA"/>
    <s v="-"/>
    <s v="Firewall para Segurança de SEs e Salas de Telemática"/>
    <s v="Solução de Rede Baseada em Firewall paragarantir segurança de borda para Ses"/>
    <s v="Riscos de Invasão a redes de Ses provocando indisponibilidade e perda de Operação por parte dos Centros de Gerência"/>
    <s v="Revisão do escopo do projeto, conforme definições da estrutura de segurança e conectividade."/>
    <n v="0"/>
    <n v="0"/>
    <n v="0"/>
    <n v="0"/>
    <n v="0"/>
    <n v="0"/>
    <n v="0"/>
    <n v="0"/>
    <n v="0"/>
    <n v="0"/>
    <n v="0"/>
    <n v="1880"/>
    <n v="451"/>
    <n v="0"/>
    <n v="0"/>
    <n v="0"/>
    <n v="0"/>
    <n v="0"/>
    <n v="2331"/>
    <n v="0"/>
    <n v="0"/>
    <n v="337"/>
    <n v="63"/>
    <n v="0"/>
    <n v="0"/>
    <n v="0"/>
    <n v="0"/>
    <n v="0"/>
    <n v="0"/>
    <n v="0"/>
    <n v="0"/>
    <n v="400"/>
    <n v="0"/>
    <n v="0"/>
    <n v="0"/>
    <n v="0"/>
    <n v="0"/>
    <n v="0"/>
    <n v="0"/>
    <n v="0"/>
    <n v="0"/>
    <n v="0"/>
    <n v="0"/>
    <n v="0"/>
    <n v="0"/>
    <n v="0"/>
    <n v="0"/>
    <n v="0"/>
    <n v="0"/>
    <n v="0"/>
    <n v="0"/>
    <n v="0"/>
    <n v="0"/>
    <n v="0"/>
    <n v="0"/>
    <n v="0"/>
    <n v="0"/>
    <n v="0"/>
    <n v="2731"/>
  </r>
  <r>
    <x v="2"/>
    <x v="16"/>
    <s v="TI/IO"/>
    <s v="Carlos Araújo"/>
    <s v="TI/IO"/>
    <s v="Carlos Araújo"/>
    <s v="DGE"/>
    <s v="NA"/>
    <s v="-"/>
    <s v="xOmini"/>
    <s v="Aquisição de novos servidores visando adequar a infraestrutura do sistema Scada xOMNI que encontra-se obsoleta e com vida útil esgotada; Permitir o crescimento vegetativo do sistema e a expansão da base de dados do sistema de automação da  Rede de Distribuição da Cemig D; Gestão adequada da transição do sistema Scada em operação para o novo sitema que será implantado, sem colocar em risco a operação do sitema elétrico."/>
    <s v="Ocorrência de falhas na infraestrutua do sistema com severos riscos operativos para a Cemig D devido a este sistema ser a ferramenta exclusiva para a operação,  controle e supervisão de todo os sistema elétrico de alta e média tensão da Cemig D; Aumento do DEC em função de elevação do tempo médio de atendimento - TMA decorrente de deslocamentos de equipes locais, com graves consequencias para a manutenção do contrato de concesssão da Cemig D; Impacto negativo na disponbilidade e qualidade do fornecimento de energia elétrica para clientes da Cemig D, bem como na segurança de pessoal próprio, terceiros e instalações da empresa, além da elevação dos custos com deslocamento de pessoal para realização de comandos locais."/>
    <s v="-"/>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2540"/>
    <n v="2540"/>
    <n v="2540"/>
  </r>
  <r>
    <x v="2"/>
    <x v="16"/>
    <s v="TI/SI"/>
    <s v="Álisson Costa"/>
    <s v="TI/SI"/>
    <s v="Álisson Costa"/>
    <s v="DGE"/>
    <s v="NA"/>
    <s v="-"/>
    <s v="Aquisição Solução SAP Mobile"/>
    <s v="Aquisição de solução SAP para o uso e aprovações em dispositivos móveis"/>
    <s v="Falta de usa solução mais moderna para as aprovações gerenciais relativas ao sistema SAP na Cemig."/>
    <s v="Postergação do desembolso para adequação da curva de investimento."/>
    <n v="0"/>
    <n v="0"/>
    <n v="0"/>
    <n v="0"/>
    <n v="0"/>
    <n v="0"/>
    <n v="0"/>
    <n v="0"/>
    <n v="0"/>
    <n v="0"/>
    <n v="0"/>
    <n v="0"/>
    <n v="0"/>
    <n v="0"/>
    <n v="0"/>
    <n v="0"/>
    <n v="0"/>
    <n v="0"/>
    <n v="0"/>
    <n v="0"/>
    <n v="0"/>
    <n v="0"/>
    <n v="0"/>
    <n v="0"/>
    <n v="0"/>
    <n v="0"/>
    <n v="0"/>
    <n v="600"/>
    <n v="0"/>
    <n v="0"/>
    <n v="0"/>
    <n v="600"/>
    <n v="0"/>
    <n v="0"/>
    <n v="0"/>
    <n v="0"/>
    <n v="0"/>
    <n v="0"/>
    <n v="0"/>
    <n v="0"/>
    <n v="0"/>
    <n v="1200"/>
    <n v="0"/>
    <n v="0"/>
    <n v="1200"/>
    <n v="0"/>
    <n v="0"/>
    <n v="0"/>
    <n v="0"/>
    <n v="0"/>
    <n v="0"/>
    <n v="0"/>
    <n v="0"/>
    <n v="600"/>
    <n v="0"/>
    <n v="0"/>
    <n v="0"/>
    <n v="600"/>
    <n v="2400"/>
  </r>
  <r>
    <x v="2"/>
    <x v="16"/>
    <s v="TI/TC"/>
    <s v="Roberto Sebastião"/>
    <s v="TI/TC"/>
    <s v="Roberto Sebastião"/>
    <s v="DGE"/>
    <s v="TI00818"/>
    <s v="TINV.18.D.054.GW"/>
    <s v="Gateway de Acesso à Internet e Acesso a Email"/>
    <s v="Solução de Proxys de acesso à_x000a_ Internet e gateway de correio eletrônico, que visa proteger a rede interna da Cemig contra acessos Indevidos à Internet."/>
    <s v="Impossibilidade de controle no acesso à Internet e risco de Invasões decorrentes de acessos a sites e páginas com virus e conteúdos maliciosos."/>
    <s v="Revisão do escopo do projeto, conforme definições da estrutura de segurança e conectividade."/>
    <n v="0"/>
    <n v="0"/>
    <n v="0"/>
    <n v="0"/>
    <n v="0"/>
    <n v="0"/>
    <n v="0"/>
    <n v="0"/>
    <n v="1115"/>
    <n v="268"/>
    <n v="0"/>
    <n v="0"/>
    <n v="0"/>
    <n v="0"/>
    <n v="0"/>
    <n v="0"/>
    <n v="0"/>
    <n v="0"/>
    <n v="1383"/>
    <n v="0"/>
    <n v="847"/>
    <n v="159"/>
    <n v="0"/>
    <n v="0"/>
    <n v="0"/>
    <n v="0"/>
    <n v="0"/>
    <n v="0"/>
    <n v="0"/>
    <n v="0"/>
    <n v="0"/>
    <n v="1006"/>
    <n v="0"/>
    <n v="0"/>
    <n v="0"/>
    <n v="0"/>
    <n v="0"/>
    <n v="0"/>
    <n v="0"/>
    <n v="0"/>
    <n v="0"/>
    <n v="0"/>
    <n v="0"/>
    <n v="0"/>
    <n v="0"/>
    <n v="0"/>
    <n v="0"/>
    <n v="0"/>
    <n v="0"/>
    <n v="0"/>
    <n v="0"/>
    <n v="0"/>
    <n v="0"/>
    <n v="0"/>
    <n v="0"/>
    <n v="0"/>
    <n v="0"/>
    <n v="0"/>
    <n v="2389"/>
  </r>
  <r>
    <x v="2"/>
    <x v="16"/>
    <s v="TI/TC"/>
    <s v="Roberto Sebastião"/>
    <s v="TI/TC"/>
    <s v="Roberto Sebastião"/>
    <s v="DGE"/>
    <s v="TI02618"/>
    <s v="TINV.18.D.054.RD"/>
    <s v="Equipamentos e Softwares da Rede de Dados"/>
    <m/>
    <m/>
    <s v="Revisão do escopo do projeto, conforme definições da estrutura de segurança e conectividade."/>
    <n v="0"/>
    <n v="1080"/>
    <n v="145"/>
    <n v="0"/>
    <n v="0"/>
    <n v="1225"/>
    <n v="0"/>
    <n v="0"/>
    <n v="0"/>
    <n v="0"/>
    <n v="0"/>
    <n v="0"/>
    <n v="0"/>
    <n v="0"/>
    <n v="0"/>
    <n v="0"/>
    <n v="0"/>
    <n v="0"/>
    <n v="0"/>
    <n v="0"/>
    <n v="0"/>
    <n v="0"/>
    <n v="0"/>
    <n v="0"/>
    <n v="0"/>
    <n v="0"/>
    <n v="0"/>
    <n v="0"/>
    <n v="0"/>
    <n v="0"/>
    <n v="0"/>
    <n v="0"/>
    <n v="0"/>
    <n v="0"/>
    <n v="0"/>
    <n v="0"/>
    <n v="0"/>
    <n v="1150"/>
    <n v="0"/>
    <n v="0"/>
    <n v="0"/>
    <n v="0"/>
    <n v="0"/>
    <n v="0"/>
    <n v="1150"/>
    <n v="0"/>
    <n v="0"/>
    <n v="0"/>
    <n v="0"/>
    <n v="0"/>
    <n v="0"/>
    <n v="0"/>
    <n v="0"/>
    <n v="0"/>
    <n v="0"/>
    <n v="0"/>
    <n v="0"/>
    <n v="0"/>
    <n v="2375"/>
  </r>
  <r>
    <x v="2"/>
    <x v="16"/>
    <s v="TI/TC"/>
    <s v="Roberto Sebastião"/>
    <s v="TI/TC"/>
    <s v="Roberto Sebastião"/>
    <s v="DGE"/>
    <s v="TI03318"/>
    <s v="TINV.18.D.054.FW"/>
    <s v="Firewall Corporativo"/>
    <s v="Solução de Rede Baseada em Firewall para proteção de Rede Corporativa"/>
    <s v="Computadores infectados ou usuários não autorizados podem ter acesso à rede, provocando infecções, roubo de informações, indisponibilidade de serviços etc..."/>
    <s v="Revisão do escopo do projeto, conforme definições da estrutura de segurança e conectividade."/>
    <n v="232.37596130371094"/>
    <n v="0"/>
    <n v="0"/>
    <n v="0"/>
    <n v="12.624050000000011"/>
    <n v="245.00001130371095"/>
    <n v="0"/>
    <n v="0"/>
    <n v="0"/>
    <n v="0"/>
    <n v="0"/>
    <n v="0"/>
    <n v="0"/>
    <n v="0"/>
    <n v="935"/>
    <n v="0"/>
    <n v="0"/>
    <n v="0"/>
    <n v="935"/>
    <n v="0"/>
    <n v="0"/>
    <n v="0"/>
    <n v="0"/>
    <n v="0"/>
    <n v="0"/>
    <n v="0"/>
    <n v="0"/>
    <n v="0"/>
    <n v="0"/>
    <n v="0"/>
    <n v="0"/>
    <n v="0"/>
    <n v="0"/>
    <n v="0"/>
    <n v="0"/>
    <n v="0"/>
    <n v="1105"/>
    <n v="0"/>
    <n v="0"/>
    <n v="0"/>
    <n v="0"/>
    <n v="0"/>
    <n v="0"/>
    <n v="0"/>
    <n v="1105"/>
    <n v="0"/>
    <n v="0"/>
    <n v="0"/>
    <n v="0"/>
    <n v="0"/>
    <n v="0"/>
    <n v="0"/>
    <n v="0"/>
    <n v="0"/>
    <n v="0"/>
    <n v="0"/>
    <n v="0"/>
    <n v="0"/>
    <n v="2285.0000113037108"/>
  </r>
  <r>
    <x v="2"/>
    <x v="16"/>
    <s v="TI/TC"/>
    <s v="Roberto Sebastião"/>
    <s v="TI/TC"/>
    <s v="Roberto Sebastião"/>
    <s v="DGE"/>
    <s v="TI01118"/>
    <s v="TINV.18.D.054.SO"/>
    <s v="Aquisição de Produtos e Serviços de Segurança da Informação."/>
    <s v="Renovação dos produtos que garantem a segurança da Informação na Cemig; Renovação do Serviço de Operação da Infraestrutura de Segurança de Informação da Cemig; Renovação do serviço de análise de Vulnerabilidade dos sistemas da rede Cemig."/>
    <s v="Descontinuidade de serviços informatizados_x000a_Roubo de informações confidenciais e invasão de redes corporativas"/>
    <s v="Revisão do escopo do projeto, conforme definições da estrutura de segurança e conectividade."/>
    <n v="1236.459716796875"/>
    <n v="0"/>
    <n v="0"/>
    <n v="0"/>
    <n v="0"/>
    <n v="1236.459716796875"/>
    <n v="0"/>
    <n v="0"/>
    <n v="0"/>
    <n v="0"/>
    <n v="0"/>
    <n v="0"/>
    <n v="0"/>
    <n v="0"/>
    <n v="0"/>
    <n v="0"/>
    <n v="0"/>
    <n v="0"/>
    <n v="0"/>
    <n v="0"/>
    <n v="0"/>
    <n v="0"/>
    <n v="0"/>
    <n v="0"/>
    <n v="0"/>
    <n v="0"/>
    <n v="0"/>
    <n v="0"/>
    <n v="0"/>
    <n v="0"/>
    <n v="0"/>
    <n v="0"/>
    <n v="0"/>
    <n v="0"/>
    <n v="0"/>
    <n v="0"/>
    <n v="0"/>
    <n v="1000"/>
    <n v="0"/>
    <n v="0"/>
    <n v="0"/>
    <n v="0"/>
    <n v="0"/>
    <n v="0"/>
    <n v="1000"/>
    <n v="0"/>
    <n v="0"/>
    <n v="0"/>
    <n v="0"/>
    <n v="0"/>
    <n v="0"/>
    <n v="0"/>
    <n v="0"/>
    <n v="0"/>
    <n v="0"/>
    <n v="0"/>
    <n v="0"/>
    <n v="0"/>
    <n v="2236.459716796875"/>
  </r>
  <r>
    <x v="2"/>
    <x v="16"/>
    <s v="TI/SI"/>
    <s v="Álisson Costa"/>
    <s v="TI/SI"/>
    <s v="Álisson Costa"/>
    <s v="DGE"/>
    <s v="NA"/>
    <s v="-"/>
    <s v="Licenciamento HEXAGON D"/>
    <s v="Atualização da plataforma de software da Hexagon, que atende os projetos e sistemas de geoprocessamento e de gerenciamento eletrônico de documentos."/>
    <s v="Envelhecimento do parque de software existente na empresa; Falta de suporte para o uso dos produtos e a resolução de problemas; Degradação do ambiente e limitação da performance."/>
    <s v="Revisão do escopo do projeto."/>
    <n v="0"/>
    <n v="0"/>
    <n v="0"/>
    <n v="0"/>
    <n v="0"/>
    <n v="0"/>
    <n v="0"/>
    <n v="0"/>
    <n v="0"/>
    <n v="0"/>
    <n v="0"/>
    <n v="0"/>
    <n v="0"/>
    <n v="0"/>
    <n v="0"/>
    <n v="0"/>
    <n v="0"/>
    <n v="0"/>
    <n v="0"/>
    <n v="0"/>
    <n v="2200"/>
    <n v="0"/>
    <n v="0"/>
    <n v="0"/>
    <n v="0"/>
    <n v="0"/>
    <n v="0"/>
    <n v="0"/>
    <n v="0"/>
    <n v="0"/>
    <n v="0"/>
    <n v="2200"/>
    <n v="0"/>
    <n v="0"/>
    <n v="0"/>
    <n v="0"/>
    <n v="0"/>
    <n v="0"/>
    <n v="0"/>
    <n v="0"/>
    <n v="0"/>
    <n v="0"/>
    <n v="0"/>
    <n v="0"/>
    <n v="0"/>
    <n v="0"/>
    <n v="0"/>
    <n v="0"/>
    <n v="0"/>
    <n v="0"/>
    <n v="0"/>
    <n v="0"/>
    <n v="0"/>
    <n v="0"/>
    <n v="0"/>
    <n v="0"/>
    <n v="0"/>
    <n v="0"/>
    <n v="2200"/>
  </r>
  <r>
    <x v="2"/>
    <x v="16"/>
    <s v="TI/TC"/>
    <s v="Roberto Sebastião"/>
    <s v="TI/TC"/>
    <s v="Roberto Sebastião"/>
    <s v="DGE"/>
    <s v="NA"/>
    <s v="-"/>
    <s v="Equipamentos para as redes LAN e WAN dos sites do interior"/>
    <s v="Troca de equipamentos de rede LAN de sites do interior de Minas, em função de obsolescência do parque"/>
    <s v="Alto índice de defeitos e falhas nestes equipamentos provocando indisponibilidades de rede das localidades onde eles estão instalados."/>
    <s v="Revisão do escopo do projeto, conforme definições da estrutura de segurança e conectividade."/>
    <n v="0"/>
    <n v="0"/>
    <n v="0"/>
    <n v="0"/>
    <n v="0"/>
    <n v="0"/>
    <n v="0"/>
    <n v="200"/>
    <n v="1760"/>
    <n v="222"/>
    <n v="0"/>
    <n v="0"/>
    <n v="0"/>
    <n v="0"/>
    <n v="0"/>
    <n v="0"/>
    <n v="0"/>
    <n v="0"/>
    <n v="2182"/>
    <n v="0"/>
    <n v="0"/>
    <n v="0"/>
    <n v="0"/>
    <n v="0"/>
    <n v="0"/>
    <n v="0"/>
    <n v="0"/>
    <n v="0"/>
    <n v="0"/>
    <n v="0"/>
    <n v="0"/>
    <n v="0"/>
    <n v="0"/>
    <n v="0"/>
    <n v="0"/>
    <n v="0"/>
    <n v="0"/>
    <n v="0"/>
    <n v="0"/>
    <n v="0"/>
    <n v="0"/>
    <n v="0"/>
    <n v="0"/>
    <n v="0"/>
    <n v="0"/>
    <n v="0"/>
    <n v="0"/>
    <n v="0"/>
    <n v="0"/>
    <n v="0"/>
    <n v="0"/>
    <n v="0"/>
    <n v="0"/>
    <n v="0"/>
    <n v="0"/>
    <n v="0"/>
    <n v="0"/>
    <n v="0"/>
    <n v="2182"/>
  </r>
  <r>
    <x v="2"/>
    <x v="16"/>
    <s v="TI/IO"/>
    <s v="Carlos Araújo"/>
    <s v="AD/AD"/>
    <s v="Marisa Lages Murta"/>
    <s v="DDC"/>
    <s v="NA"/>
    <s v="-"/>
    <s v="Integração da rede de oscilografia das subestações "/>
    <s v=" Aquisição de infraestrutura de conectividade para permitir acesso remoto aos dados dos IEDS visando oscilografia das subestações"/>
    <s v="Elevação de custos de OPEX com serviço de campo para  análise e  localização de faltas e ocorrências no SEP. Não será capturado melhoria dos indicadores de qualidade, dentre eles o DEC"/>
    <s v="-"/>
    <n v="0"/>
    <n v="0"/>
    <n v="0"/>
    <n v="0"/>
    <n v="0"/>
    <n v="0"/>
    <n v="0"/>
    <n v="0"/>
    <n v="0"/>
    <n v="0"/>
    <n v="0"/>
    <n v="0"/>
    <n v="0"/>
    <n v="0"/>
    <n v="1500"/>
    <n v="0"/>
    <n v="0"/>
    <n v="0"/>
    <n v="1500"/>
    <n v="200"/>
    <n v="200"/>
    <n v="200"/>
    <n v="0"/>
    <n v="0"/>
    <n v="0"/>
    <n v="0"/>
    <n v="0"/>
    <n v="0"/>
    <n v="0"/>
    <n v="0"/>
    <n v="0"/>
    <n v="600"/>
    <n v="0"/>
    <n v="0"/>
    <n v="0"/>
    <n v="0"/>
    <n v="0"/>
    <n v="0"/>
    <n v="0"/>
    <n v="0"/>
    <n v="0"/>
    <n v="0"/>
    <n v="0"/>
    <n v="0"/>
    <n v="0"/>
    <n v="0"/>
    <n v="0"/>
    <n v="0"/>
    <n v="0"/>
    <n v="0"/>
    <n v="0"/>
    <n v="0"/>
    <n v="0"/>
    <n v="0"/>
    <n v="0"/>
    <n v="0"/>
    <n v="0"/>
    <n v="0"/>
    <n v="2100"/>
  </r>
  <r>
    <x v="2"/>
    <x v="16"/>
    <s v="TI/SI"/>
    <s v="Roberto Proença"/>
    <s v="TI/SI"/>
    <s v="Roberto Proença"/>
    <s v="DGE"/>
    <s v="NA"/>
    <s v="-"/>
    <s v="Mobilidade - Desenvolvimento e integração com Atlantis (Projeto/As built)"/>
    <s v="Construção de sistema para dispositivo móvel integrado ao Atlantis/GDIS para projeto de rede em campo e recebimento de obras."/>
    <s v="Perda de oportunidade de ganho de produtividade no processo de elaboração e execução de projetos de expansão da rede de distribuição; Perda de oportunidade de visibilidade e controle de obras e previsibilidade de realização."/>
    <s v="Antecipação do desembolso de 2020 para atendimento da integração Atlântis."/>
    <n v="0"/>
    <n v="0"/>
    <n v="0"/>
    <n v="0"/>
    <n v="200"/>
    <n v="200"/>
    <n v="100"/>
    <n v="200"/>
    <n v="200"/>
    <n v="250"/>
    <n v="250"/>
    <n v="200"/>
    <n v="200"/>
    <n v="200"/>
    <n v="200"/>
    <n v="0"/>
    <n v="0"/>
    <n v="0"/>
    <n v="1800"/>
    <n v="0"/>
    <n v="0"/>
    <n v="0"/>
    <n v="0"/>
    <n v="0"/>
    <n v="0"/>
    <n v="0"/>
    <n v="0"/>
    <n v="0"/>
    <n v="0"/>
    <n v="0"/>
    <n v="0"/>
    <n v="0"/>
    <n v="0"/>
    <n v="0"/>
    <n v="0"/>
    <n v="0"/>
    <n v="0"/>
    <n v="0"/>
    <n v="0"/>
    <n v="0"/>
    <n v="0"/>
    <n v="0"/>
    <n v="0"/>
    <n v="0"/>
    <n v="0"/>
    <n v="0"/>
    <n v="0"/>
    <n v="0"/>
    <n v="0"/>
    <n v="0"/>
    <n v="0"/>
    <n v="0"/>
    <n v="0"/>
    <n v="0"/>
    <n v="0"/>
    <n v="0"/>
    <n v="0"/>
    <n v="0"/>
    <n v="2000"/>
  </r>
  <r>
    <x v="2"/>
    <x v="16"/>
    <s v="TI/SI"/>
    <s v="Álisson Costa"/>
    <s v="TI/SI"/>
    <s v="Álisson Costa"/>
    <s v="DGE"/>
    <s v="NA"/>
    <s v="-"/>
    <s v="Sistema de Controle de Jornada"/>
    <m/>
    <m/>
    <s v="Revisão do escopo do projeto, com postergação do desembolso conforme cronograma de execução."/>
    <n v="0"/>
    <n v="0"/>
    <n v="0"/>
    <n v="0"/>
    <n v="0"/>
    <n v="0"/>
    <n v="0"/>
    <n v="0"/>
    <n v="0"/>
    <n v="0"/>
    <n v="0"/>
    <n v="0"/>
    <n v="0"/>
    <n v="0"/>
    <n v="50"/>
    <n v="0"/>
    <n v="150"/>
    <n v="0"/>
    <n v="200"/>
    <n v="0"/>
    <n v="100"/>
    <n v="0"/>
    <n v="200"/>
    <n v="0"/>
    <n v="100"/>
    <n v="0"/>
    <n v="0"/>
    <n v="51"/>
    <n v="0"/>
    <n v="0"/>
    <n v="100"/>
    <n v="551"/>
    <n v="0"/>
    <n v="0"/>
    <n v="35"/>
    <n v="25"/>
    <n v="25"/>
    <n v="100"/>
    <n v="50"/>
    <n v="50"/>
    <n v="50"/>
    <n v="50"/>
    <n v="50"/>
    <n v="100"/>
    <n v="535"/>
    <n v="100"/>
    <n v="100"/>
    <n v="100"/>
    <n v="200"/>
    <n v="91"/>
    <n v="0"/>
    <n v="0"/>
    <n v="0"/>
    <n v="0"/>
    <n v="0"/>
    <n v="0"/>
    <n v="0"/>
    <n v="591"/>
    <n v="1877"/>
  </r>
  <r>
    <x v="2"/>
    <x v="16"/>
    <s v="TI/SI"/>
    <s v="Álisson Costa"/>
    <s v="TI/SI"/>
    <s v="Álisson Costa"/>
    <s v="DGE"/>
    <s v="TI02515"/>
    <s v="TINV.15.D.042.PE"/>
    <s v="Sustentação e Evolução PEC"/>
    <s v="A finalidade do projeto diz respeito ao desenvolvimento de novas funcionalidades no Portal Eletrônico de Compras – PEC, além de promover a incorporação dos módulos legados GALO e PGP ao novo portal. "/>
    <s v="Incapacidade de evolução da ferramenta responsável pelo processo de aquisições da empresa; o comprometimento da disponibilidade do sistema;  a perda de sinergia na incorporação de módulos legados num único sistema; e limitação das funcionalidades do Portal Eletrônico de Compras."/>
    <s v="Postergação do desembolso para adequação da curva de investimento."/>
    <n v="44.140701055526733"/>
    <n v="0"/>
    <n v="40"/>
    <n v="40"/>
    <n v="68.11142000000001"/>
    <n v="192.25212105552674"/>
    <n v="15"/>
    <n v="15"/>
    <n v="25"/>
    <n v="25"/>
    <n v="20"/>
    <n v="30"/>
    <n v="25"/>
    <n v="75"/>
    <n v="75"/>
    <n v="85"/>
    <n v="85"/>
    <n v="118"/>
    <n v="593"/>
    <n v="15"/>
    <n v="15"/>
    <n v="15"/>
    <n v="28"/>
    <n v="20"/>
    <n v="30"/>
    <n v="25"/>
    <n v="25"/>
    <n v="125"/>
    <n v="125"/>
    <n v="91"/>
    <n v="120"/>
    <n v="634"/>
    <n v="15"/>
    <n v="15"/>
    <n v="15"/>
    <n v="15"/>
    <n v="20"/>
    <n v="30"/>
    <n v="25"/>
    <n v="25"/>
    <n v="25"/>
    <n v="25"/>
    <n v="20"/>
    <n v="20"/>
    <n v="250"/>
    <n v="0"/>
    <n v="0"/>
    <n v="30"/>
    <n v="0"/>
    <n v="20"/>
    <n v="30"/>
    <n v="0"/>
    <n v="50"/>
    <n v="0"/>
    <n v="25"/>
    <n v="25"/>
    <n v="20"/>
    <n v="200"/>
    <n v="1869.2521210555267"/>
  </r>
  <r>
    <x v="2"/>
    <x v="16"/>
    <s v="TI/TC"/>
    <s v="Roberto Sebastião"/>
    <s v="TI/TC"/>
    <s v="Roberto Sebastião"/>
    <s v="DGE"/>
    <s v="TI05618"/>
    <s v="TINV.18.D.054.ME"/>
    <s v="Merit Conectividade - Triângulo  e Metropolitano"/>
    <s v="Aquisição de Solução de Rede (Roteadores)  para construção de Rede de dados (MERIT) no  triangulo Mineiro e região  Metropolitana; Objetiva a posterior descontratação de links de dados das regiões triângulo e metropolitana, com redução de custos; A rede construida garantirá links de  maior disponibilidade e desempenho, garantindo em consequência maior disponibilidade e desemenho para as aplicações Operativas e Corporativas que por ela trafegarem."/>
    <s v="Indisponibilidade de aplicações Operativas em função de falhas de rede; Gastos que poderiam ser evitados com canais de comunicação de Operadoras."/>
    <s v="Revisão do escopo do projeto, conforme definições da estrutura de segurança e conectividade."/>
    <n v="0"/>
    <n v="0"/>
    <n v="1705"/>
    <n v="160"/>
    <n v="0"/>
    <n v="1865"/>
    <n v="0"/>
    <n v="0"/>
    <n v="0"/>
    <n v="0"/>
    <n v="0"/>
    <n v="0"/>
    <n v="0"/>
    <n v="0"/>
    <n v="0"/>
    <n v="0"/>
    <n v="0"/>
    <n v="0"/>
    <n v="0"/>
    <n v="0"/>
    <n v="0"/>
    <n v="0"/>
    <n v="0"/>
    <n v="0"/>
    <n v="0"/>
    <n v="0"/>
    <n v="0"/>
    <n v="0"/>
    <n v="0"/>
    <n v="0"/>
    <n v="0"/>
    <n v="0"/>
    <n v="0"/>
    <n v="0"/>
    <n v="0"/>
    <n v="0"/>
    <n v="0"/>
    <n v="0"/>
    <n v="0"/>
    <n v="0"/>
    <n v="0"/>
    <n v="0"/>
    <n v="0"/>
    <n v="0"/>
    <n v="0"/>
    <n v="0"/>
    <n v="0"/>
    <n v="0"/>
    <n v="0"/>
    <n v="0"/>
    <n v="0"/>
    <n v="0"/>
    <n v="0"/>
    <n v="0"/>
    <n v="0"/>
    <n v="0"/>
    <n v="0"/>
    <n v="0"/>
    <n v="1865"/>
  </r>
  <r>
    <x v="2"/>
    <x v="16"/>
    <s v="TI/TC"/>
    <s v="Roberto Sebastião"/>
    <s v="TI/TC"/>
    <s v="Roberto Sebastião"/>
    <s v="DGE"/>
    <s v="TI06518"/>
    <s v="TINV.18.D.054.FI"/>
    <s v="Firewall para implantação de Internet Descentralizada"/>
    <s v="Solução de Rede Baseada em Firewall para implantação de acesso descentralizado à Internet"/>
    <s v="Necessidades constantes de aumento de links, sem opção de trafegar dados menos prioritários por canais de mais baixo custo."/>
    <s v="Revisão do escopo do projeto, conforme definições da estrutura de segurança e conectividade."/>
    <n v="0"/>
    <n v="0"/>
    <n v="0"/>
    <n v="992.60844000000009"/>
    <n v="130"/>
    <n v="1122.60844"/>
    <n v="172.73974000000001"/>
    <n v="64.651820000000001"/>
    <n v="0"/>
    <n v="0"/>
    <n v="0"/>
    <n v="0"/>
    <n v="0"/>
    <n v="0"/>
    <n v="0"/>
    <n v="0"/>
    <n v="0"/>
    <n v="0"/>
    <n v="237.39156000000003"/>
    <n v="0"/>
    <n v="0"/>
    <n v="337"/>
    <n v="63"/>
    <n v="0"/>
    <n v="0"/>
    <n v="0"/>
    <n v="0"/>
    <n v="0"/>
    <n v="0"/>
    <n v="0"/>
    <n v="0"/>
    <n v="400"/>
    <n v="0"/>
    <n v="0"/>
    <n v="0"/>
    <n v="0"/>
    <n v="0"/>
    <n v="0"/>
    <n v="0"/>
    <n v="0"/>
    <n v="0"/>
    <n v="0"/>
    <n v="0"/>
    <n v="0"/>
    <n v="0"/>
    <n v="0"/>
    <n v="0"/>
    <n v="0"/>
    <n v="0"/>
    <n v="0"/>
    <n v="0"/>
    <n v="0"/>
    <n v="0"/>
    <n v="0"/>
    <n v="0"/>
    <n v="0"/>
    <n v="0"/>
    <n v="0"/>
    <n v="1760"/>
  </r>
  <r>
    <x v="2"/>
    <x v="16"/>
    <s v="TI/TC"/>
    <s v="Roberto Sebastião"/>
    <s v="TI/TC"/>
    <s v="Roberto Sebastião"/>
    <s v="DGE"/>
    <s v="TI01018"/>
    <s v="TINV.18.D.054.AP"/>
    <s v="Solução de APT - Proteção contra ataques avançados e direcionados a estruturas de rede e sistemas da Cemig."/>
    <s v="Esta solução protege a rede Cemig contra ataques do tipo APT, que são ataques avançados e direcionados a um alvo específico. Estes ataques visam retirar de operação sistemas críticos."/>
    <s v="Indisponibilidade e baixo desempenho  de ambientes e aplicações operativas e corporativas críticas, roubos bem sucedidos de Informações."/>
    <s v="Revisão do escopo do projeto, conforme definições da estrutura de segurança e conectividade."/>
    <n v="0"/>
    <n v="0"/>
    <n v="0"/>
    <n v="0"/>
    <n v="0"/>
    <n v="0"/>
    <n v="0"/>
    <n v="0"/>
    <n v="671"/>
    <n v="161"/>
    <n v="0"/>
    <n v="0"/>
    <n v="0"/>
    <n v="0"/>
    <n v="0"/>
    <n v="0"/>
    <n v="0"/>
    <n v="0"/>
    <n v="832"/>
    <n v="0"/>
    <n v="0"/>
    <n v="0"/>
    <n v="0"/>
    <n v="0"/>
    <n v="0"/>
    <n v="0"/>
    <n v="0"/>
    <n v="0"/>
    <n v="0"/>
    <n v="0"/>
    <n v="0"/>
    <n v="0"/>
    <n v="0"/>
    <n v="0"/>
    <n v="0"/>
    <n v="0"/>
    <n v="0"/>
    <n v="0"/>
    <n v="0"/>
    <n v="0"/>
    <n v="0"/>
    <n v="0"/>
    <n v="0"/>
    <n v="0"/>
    <n v="0"/>
    <n v="0"/>
    <n v="0"/>
    <n v="0"/>
    <n v="0"/>
    <n v="850"/>
    <n v="0"/>
    <n v="0"/>
    <n v="0"/>
    <n v="0"/>
    <n v="0"/>
    <n v="0"/>
    <n v="0"/>
    <n v="850"/>
    <n v="1682"/>
  </r>
  <r>
    <x v="2"/>
    <x v="16"/>
    <s v="TI/SI"/>
    <s v="Álisson Costa"/>
    <s v="TI/SI"/>
    <s v="Álisson Costa"/>
    <s v="DGE"/>
    <s v="TI02318"/>
    <s v="TINV.18.D.042.GP"/>
    <s v="Portal Geográfico Cemig - GeoPortal"/>
    <s v="Construção de um portal unificado com diversas feições geográficas de interesse corporativo da Cemig; Utilização de uma IDE geográfica e padronização das funcionalidades espaciais; Concentração dos produtos de geoprocessamento para maior visibilidade dos usuários."/>
    <s v="Dispersão das aplicações de geoprocessamento dentro da Cemignet, dificultando a localização e o acesso às funcionalidades; Falta de um padrão visual e de interface com os usuários; Aumento no custo tanto para a construção individualizada, como para as futuras manutenções."/>
    <s v="Revisão do escopo do projeto, considerando as demandas de geoprocessamento."/>
    <n v="0"/>
    <n v="0"/>
    <n v="35"/>
    <n v="35"/>
    <n v="72"/>
    <n v="142"/>
    <n v="0"/>
    <n v="50"/>
    <n v="25"/>
    <n v="25"/>
    <n v="25"/>
    <n v="25"/>
    <n v="0"/>
    <n v="50"/>
    <n v="50"/>
    <n v="39"/>
    <n v="50"/>
    <n v="50"/>
    <n v="389"/>
    <n v="0"/>
    <n v="50"/>
    <n v="25"/>
    <n v="25"/>
    <n v="25"/>
    <n v="25"/>
    <n v="0"/>
    <n v="50"/>
    <n v="50"/>
    <n v="39"/>
    <n v="50"/>
    <n v="50"/>
    <n v="389"/>
    <n v="50"/>
    <n v="50"/>
    <n v="50"/>
    <n v="50"/>
    <n v="47"/>
    <n v="0"/>
    <n v="0"/>
    <n v="0"/>
    <n v="0"/>
    <n v="0"/>
    <n v="0"/>
    <n v="0"/>
    <n v="247"/>
    <n v="50"/>
    <n v="50"/>
    <n v="100"/>
    <n v="150"/>
    <n v="53"/>
    <n v="0"/>
    <n v="0"/>
    <n v="0"/>
    <n v="0"/>
    <n v="0"/>
    <n v="0"/>
    <n v="0"/>
    <n v="403"/>
    <n v="1570"/>
  </r>
  <r>
    <x v="2"/>
    <x v="16"/>
    <s v="TI/IO"/>
    <s v="Carlos Araújo"/>
    <s v="TI/IO"/>
    <s v="Carlos Araújo"/>
    <s v="DGE"/>
    <s v="NA"/>
    <s v="-"/>
    <s v="Aquisição de licenças de Sharepoint EPM"/>
    <s v="Considerando o cenário 2018/19 para migração de versão, a Microsoft deve soltar uma nova versão em 2019, o que automaticamente para atualização do 2013, sendo neste caso necessário irmos para o mínimo 2016. Se formos para outras tecnologia, devemos pensar no EPM também, pois a base dele é o SharePoint. Não que ele precisa ser substituído por causa da alteração do SharePoint, mas é um ponto a observar."/>
    <s v="Sobre recurso é preciso saber se isso é colocado na conta da casa ou se é algo que devemos aumentar e já inserir no rateio percentual, visto que o SharePoint, assim como EPM, estão com versão 2010 que já não mais recebe atualização. "/>
    <s v="-"/>
    <n v="0"/>
    <n v="0"/>
    <n v="0"/>
    <n v="0"/>
    <n v="0"/>
    <n v="0"/>
    <n v="0"/>
    <n v="0"/>
    <n v="0"/>
    <n v="0"/>
    <n v="0"/>
    <n v="0"/>
    <n v="0"/>
    <n v="0"/>
    <n v="0"/>
    <n v="0"/>
    <n v="0"/>
    <n v="0"/>
    <n v="0"/>
    <n v="0"/>
    <n v="0"/>
    <n v="0"/>
    <n v="0"/>
    <n v="0"/>
    <n v="0"/>
    <n v="0"/>
    <n v="0"/>
    <n v="0"/>
    <n v="0"/>
    <n v="0"/>
    <n v="0"/>
    <n v="0"/>
    <n v="0"/>
    <n v="0"/>
    <n v="0"/>
    <n v="0"/>
    <n v="0"/>
    <n v="750"/>
    <n v="0"/>
    <n v="0"/>
    <n v="0"/>
    <n v="0"/>
    <n v="0"/>
    <n v="0"/>
    <n v="750"/>
    <n v="0"/>
    <n v="0"/>
    <n v="0"/>
    <n v="0"/>
    <n v="0"/>
    <n v="750"/>
    <n v="0"/>
    <n v="0"/>
    <n v="0"/>
    <n v="0"/>
    <n v="0"/>
    <n v="0"/>
    <n v="750"/>
    <n v="1500"/>
  </r>
  <r>
    <x v="2"/>
    <x v="16"/>
    <s v="TI/TC"/>
    <s v="Roberto Sebastião"/>
    <s v="TI/TC"/>
    <s v="Roberto Sebastião"/>
    <s v="DGE"/>
    <s v="NA"/>
    <s v="-"/>
    <s v="Aquisição do SIEM "/>
    <s v="Solução de Gerenciamento e Correlação de Eventos de Segurança"/>
    <s v="Descumprimento de controles de Auditoria e riscos de ataques em função de não correlação de logs de segurança"/>
    <s v="-"/>
    <n v="0"/>
    <n v="0"/>
    <n v="0"/>
    <n v="0"/>
    <n v="0"/>
    <n v="0"/>
    <n v="0"/>
    <n v="0"/>
    <n v="0"/>
    <n v="0"/>
    <n v="0"/>
    <n v="0"/>
    <n v="0"/>
    <n v="0"/>
    <n v="0"/>
    <n v="0"/>
    <n v="0"/>
    <n v="0"/>
    <n v="0"/>
    <n v="0"/>
    <n v="0"/>
    <n v="1500"/>
    <n v="0"/>
    <n v="0"/>
    <n v="0"/>
    <n v="0"/>
    <n v="0"/>
    <n v="0"/>
    <n v="0"/>
    <n v="0"/>
    <n v="0"/>
    <n v="1500"/>
    <n v="0"/>
    <n v="0"/>
    <n v="0"/>
    <n v="0"/>
    <n v="0"/>
    <n v="0"/>
    <n v="0"/>
    <n v="0"/>
    <n v="0"/>
    <n v="0"/>
    <n v="0"/>
    <n v="0"/>
    <n v="0"/>
    <n v="0"/>
    <n v="0"/>
    <n v="0"/>
    <n v="0"/>
    <n v="0"/>
    <n v="0"/>
    <n v="0"/>
    <n v="0"/>
    <n v="0"/>
    <n v="0"/>
    <n v="0"/>
    <n v="0"/>
    <n v="0"/>
    <n v="1500"/>
  </r>
  <r>
    <x v="2"/>
    <x v="16"/>
    <s v="TI/IO"/>
    <s v="Carlos Araújo"/>
    <s v="TI/IO"/>
    <s v="Carlos Araújo"/>
    <s v="DGE"/>
    <s v="NA"/>
    <s v="-"/>
    <s v="Aquisição/Upgrade do ambiente de backup "/>
    <s v="Melhoria no ambiente de backup (hardware e software) para atendimento ao crescimento vegetativo e novas aplicações"/>
    <s v="-"/>
    <s v="-"/>
    <n v="0"/>
    <n v="0"/>
    <n v="0"/>
    <n v="0"/>
    <n v="0"/>
    <n v="0"/>
    <n v="0"/>
    <n v="0"/>
    <n v="0"/>
    <n v="0"/>
    <n v="0"/>
    <n v="0"/>
    <n v="0"/>
    <n v="0"/>
    <n v="0"/>
    <n v="0"/>
    <n v="0"/>
    <n v="0"/>
    <n v="0"/>
    <n v="0"/>
    <n v="0"/>
    <n v="0"/>
    <n v="0"/>
    <n v="0"/>
    <n v="0"/>
    <n v="0"/>
    <n v="0"/>
    <n v="0"/>
    <n v="1500"/>
    <n v="0"/>
    <n v="0"/>
    <n v="1500"/>
    <n v="0"/>
    <n v="0"/>
    <n v="0"/>
    <n v="0"/>
    <n v="0"/>
    <n v="0"/>
    <n v="0"/>
    <n v="0"/>
    <n v="0"/>
    <n v="0"/>
    <n v="0"/>
    <n v="0"/>
    <n v="0"/>
    <n v="0"/>
    <n v="0"/>
    <n v="0"/>
    <n v="0"/>
    <n v="0"/>
    <n v="0"/>
    <n v="0"/>
    <n v="0"/>
    <n v="0"/>
    <n v="0"/>
    <n v="0"/>
    <n v="0"/>
    <n v="0"/>
    <n v="1500"/>
  </r>
  <r>
    <x v="2"/>
    <x v="16"/>
    <s v="TI/SI"/>
    <s v="Álisson Costa"/>
    <s v="TI/SI"/>
    <s v="Álisson Costa"/>
    <s v="DGE"/>
    <s v="TI05218"/>
    <s v="TINV.18.D.042.BE"/>
    <s v="Licenciamento BENTLEY"/>
    <s v="Atualização da plataforma de software BENTLEY, ferramentas para elaboração de projetos em desenho auxiliado por computador - CAD"/>
    <s v="Limitação da quantidade de licenças para os usuários na Cemig; Falta de suporte para o uso dos produtos e a resolução de problemas; Obsolescência dos produtos usados pela Empresa."/>
    <s v="Revisão do escopo do projeto, incorporando ganhos obtidos na negociação do licenciamento."/>
    <n v="0"/>
    <n v="0"/>
    <n v="420.45"/>
    <n v="0"/>
    <n v="0"/>
    <n v="420.45"/>
    <n v="0"/>
    <n v="0"/>
    <n v="0"/>
    <n v="0"/>
    <n v="0"/>
    <n v="0"/>
    <n v="0"/>
    <n v="0"/>
    <n v="0"/>
    <n v="0"/>
    <n v="0"/>
    <n v="0"/>
    <n v="0"/>
    <n v="0"/>
    <n v="0"/>
    <n v="0"/>
    <n v="0"/>
    <n v="0"/>
    <n v="0"/>
    <n v="0"/>
    <n v="0"/>
    <n v="0"/>
    <n v="517"/>
    <n v="0"/>
    <n v="0"/>
    <n v="517"/>
    <n v="0"/>
    <n v="0"/>
    <n v="0"/>
    <n v="0"/>
    <n v="0"/>
    <n v="0"/>
    <n v="0"/>
    <n v="0"/>
    <n v="0"/>
    <n v="0"/>
    <n v="0"/>
    <n v="0"/>
    <n v="0"/>
    <n v="0"/>
    <n v="0"/>
    <n v="0"/>
    <n v="0"/>
    <n v="0"/>
    <n v="0"/>
    <n v="0"/>
    <n v="0"/>
    <n v="0"/>
    <n v="0"/>
    <n v="500"/>
    <n v="0"/>
    <n v="500"/>
    <n v="1437.45"/>
  </r>
  <r>
    <x v="2"/>
    <x v="16"/>
    <s v="TI/TC"/>
    <s v="Roberto Sebastião"/>
    <s v="TI/TC"/>
    <s v="Roberto Sebastião"/>
    <s v="DGE"/>
    <s v="NA"/>
    <s v="-"/>
    <s v="Pontes fase 2 - Aquisição de Routers para eliminação de Terminais Servers"/>
    <m/>
    <m/>
    <s v="-"/>
    <n v="0"/>
    <n v="0"/>
    <n v="0"/>
    <n v="0"/>
    <n v="0"/>
    <n v="0"/>
    <n v="0"/>
    <n v="0"/>
    <n v="0"/>
    <n v="0"/>
    <n v="0"/>
    <n v="0"/>
    <n v="0"/>
    <n v="1400"/>
    <n v="0"/>
    <n v="0"/>
    <n v="0"/>
    <n v="0"/>
    <n v="1400"/>
    <n v="0"/>
    <n v="0"/>
    <n v="0"/>
    <n v="0"/>
    <n v="0"/>
    <n v="0"/>
    <n v="0"/>
    <n v="0"/>
    <n v="0"/>
    <n v="0"/>
    <n v="0"/>
    <n v="0"/>
    <n v="0"/>
    <n v="0"/>
    <n v="0"/>
    <n v="0"/>
    <n v="0"/>
    <n v="0"/>
    <n v="0"/>
    <n v="0"/>
    <n v="0"/>
    <n v="0"/>
    <n v="0"/>
    <n v="0"/>
    <n v="0"/>
    <n v="0"/>
    <n v="0"/>
    <n v="0"/>
    <n v="0"/>
    <n v="0"/>
    <n v="0"/>
    <n v="0"/>
    <n v="0"/>
    <n v="0"/>
    <n v="0"/>
    <n v="0"/>
    <n v="0"/>
    <n v="0"/>
    <n v="0"/>
    <n v="1400"/>
  </r>
  <r>
    <x v="2"/>
    <x v="16"/>
    <s v="TI/SI"/>
    <s v="Álisson Costa"/>
    <s v="TI/SI"/>
    <s v="Álisson Costa"/>
    <s v="DGE"/>
    <s v="NA"/>
    <s v="-"/>
    <s v="Desenvolvimento de Sistemas Corporativos em BPMS"/>
    <s v="Criação de soluções baseadas nos fluxos criados pela notação de modelagem de processo de negócios - BPM"/>
    <s v="Falta de otimização e evolução para os processos empresariais"/>
    <s v="Revisão do escopo do projeto, com postergação do desembolso conforme cronograma de execução."/>
    <n v="0"/>
    <n v="0"/>
    <n v="0"/>
    <n v="0"/>
    <n v="0"/>
    <n v="0"/>
    <n v="0"/>
    <n v="0"/>
    <n v="0"/>
    <n v="0"/>
    <n v="10"/>
    <n v="20"/>
    <n v="20"/>
    <n v="20"/>
    <n v="20"/>
    <n v="20"/>
    <n v="20"/>
    <n v="20"/>
    <n v="150"/>
    <n v="0"/>
    <n v="0"/>
    <n v="0"/>
    <n v="0"/>
    <n v="0"/>
    <n v="20"/>
    <n v="35"/>
    <n v="40"/>
    <n v="40"/>
    <n v="40"/>
    <n v="40"/>
    <n v="100"/>
    <n v="315"/>
    <n v="0"/>
    <n v="0"/>
    <n v="0"/>
    <n v="50"/>
    <n v="50"/>
    <n v="80"/>
    <n v="40"/>
    <n v="40"/>
    <n v="40"/>
    <n v="80"/>
    <n v="40"/>
    <n v="40"/>
    <n v="460"/>
    <n v="0"/>
    <n v="0"/>
    <n v="0"/>
    <n v="50"/>
    <n v="40"/>
    <n v="80"/>
    <n v="40"/>
    <n v="80"/>
    <n v="40"/>
    <n v="40"/>
    <n v="50"/>
    <n v="40"/>
    <n v="460"/>
    <n v="1385"/>
  </r>
  <r>
    <x v="2"/>
    <x v="16"/>
    <s v="TI/SI"/>
    <s v="Álisson Costa"/>
    <s v="TI/SI"/>
    <s v="Álisson Costa"/>
    <s v="DGE"/>
    <s v="TI00617"/>
    <s v="TINV.17.D.042.AG"/>
    <s v="Expansão e Sustentação da AGV"/>
    <s v="Aumentar os serviços disponíveis na Agência Virtual da Cemig"/>
    <s v="Migração dos consumidores para canais de atendimento de maior custo para a Cemig D"/>
    <s v="Revisão do escopo do projeto, conforme demandas do Plano de Resultados."/>
    <n v="275.21786499023437"/>
    <n v="52.07"/>
    <n v="32.200000000000003"/>
    <n v="53.510840000000002"/>
    <n v="25.198661804199219"/>
    <n v="438.19736679443361"/>
    <n v="15"/>
    <n v="20"/>
    <n v="15"/>
    <n v="12"/>
    <n v="15"/>
    <n v="15"/>
    <n v="30"/>
    <n v="30"/>
    <n v="20"/>
    <n v="20"/>
    <n v="25"/>
    <n v="40"/>
    <n v="257"/>
    <n v="0"/>
    <n v="25"/>
    <n v="20"/>
    <n v="40"/>
    <n v="25"/>
    <n v="25"/>
    <n v="10"/>
    <n v="10"/>
    <n v="10"/>
    <n v="10"/>
    <n v="20"/>
    <n v="20"/>
    <n v="215"/>
    <n v="75"/>
    <n v="75"/>
    <n v="10"/>
    <n v="10"/>
    <n v="10"/>
    <n v="10"/>
    <n v="10"/>
    <n v="10"/>
    <n v="10"/>
    <n v="10"/>
    <n v="10"/>
    <n v="10"/>
    <n v="250"/>
    <n v="0"/>
    <n v="0"/>
    <n v="20"/>
    <n v="0"/>
    <n v="0"/>
    <n v="20"/>
    <n v="0"/>
    <n v="0"/>
    <n v="20"/>
    <n v="0"/>
    <n v="0"/>
    <n v="40"/>
    <n v="100"/>
    <n v="1260.1973667944335"/>
  </r>
  <r>
    <x v="2"/>
    <x v="16"/>
    <s v="TI/SI"/>
    <s v="Álisson Costa"/>
    <s v="TI/SI"/>
    <s v="Álisson Costa"/>
    <s v="DGE"/>
    <s v="NA"/>
    <s v="-"/>
    <s v="Atualização da Cemignet/Portal Cemig"/>
    <s v="Atualização do site da Cemig na internet e do site da intranet corporativa (Cemignet 2.0)."/>
    <s v="Imagem da Empresa prejudicada e associada ao antigo e desatualizado."/>
    <s v="Revisão do escopo do projeto, com postergação do desembolso conforme cronograma de execução."/>
    <n v="0"/>
    <n v="0"/>
    <n v="0"/>
    <n v="0"/>
    <n v="0"/>
    <n v="0"/>
    <n v="0"/>
    <n v="0"/>
    <n v="0"/>
    <n v="0"/>
    <n v="0"/>
    <n v="0"/>
    <n v="0"/>
    <n v="0"/>
    <n v="0"/>
    <n v="50"/>
    <n v="79"/>
    <n v="150"/>
    <n v="279"/>
    <n v="0"/>
    <n v="0"/>
    <n v="20"/>
    <n v="0"/>
    <n v="50"/>
    <n v="0"/>
    <n v="50"/>
    <n v="0"/>
    <n v="50"/>
    <n v="50"/>
    <n v="50"/>
    <n v="50"/>
    <n v="320"/>
    <n v="20"/>
    <n v="20"/>
    <n v="20"/>
    <n v="20"/>
    <n v="20"/>
    <n v="20"/>
    <n v="20"/>
    <n v="20"/>
    <n v="20"/>
    <n v="20"/>
    <n v="20"/>
    <n v="60"/>
    <n v="280"/>
    <n v="25"/>
    <n v="25"/>
    <n v="25"/>
    <n v="25"/>
    <n v="25"/>
    <n v="25"/>
    <n v="25"/>
    <n v="25"/>
    <n v="25"/>
    <n v="25"/>
    <n v="50"/>
    <n v="50"/>
    <n v="350"/>
    <n v="1229"/>
  </r>
  <r>
    <x v="2"/>
    <x v="16"/>
    <s v="TI/SI"/>
    <s v="Álisson Costa"/>
    <s v="TI/SI"/>
    <s v="Álisson Costa"/>
    <s v="DGE"/>
    <s v="NA"/>
    <s v="-"/>
    <s v="Sistemas Especialistas - GEO e GED"/>
    <s v="O projeto refere-se à prospecção, ao desenvolvimento e à implantação de soluções baseadas nas tecnologias GED, Geoprocessamento e BPM."/>
    <s v="Incapacidade de atendimento de solicitações das áreas de negócio da Cemig, relativas aos sistemas."/>
    <s v="Revisão do escopo do projeto, com postergação do desembolso conforme cronograma de execução."/>
    <n v="0"/>
    <n v="0"/>
    <n v="0"/>
    <n v="0"/>
    <n v="0"/>
    <n v="0"/>
    <n v="0"/>
    <n v="0"/>
    <n v="0"/>
    <n v="0"/>
    <n v="0"/>
    <n v="0"/>
    <n v="0"/>
    <n v="0"/>
    <n v="0"/>
    <n v="0"/>
    <n v="0"/>
    <n v="0"/>
    <n v="0"/>
    <n v="0"/>
    <n v="40"/>
    <n v="0"/>
    <n v="40"/>
    <n v="20"/>
    <n v="40"/>
    <n v="0"/>
    <n v="20"/>
    <n v="20"/>
    <n v="40"/>
    <n v="40"/>
    <n v="40"/>
    <n v="300"/>
    <n v="0"/>
    <n v="0"/>
    <n v="0"/>
    <n v="35"/>
    <n v="35"/>
    <n v="70"/>
    <n v="30"/>
    <n v="30"/>
    <n v="40"/>
    <n v="60"/>
    <n v="60"/>
    <n v="80"/>
    <n v="440"/>
    <n v="35"/>
    <n v="35"/>
    <n v="35"/>
    <n v="35"/>
    <n v="20"/>
    <n v="30"/>
    <n v="30"/>
    <n v="30"/>
    <n v="40"/>
    <n v="50"/>
    <n v="50"/>
    <n v="50"/>
    <n v="440"/>
    <n v="1180"/>
  </r>
  <r>
    <x v="2"/>
    <x v="16"/>
    <s v="TI/SI"/>
    <s v="Álisson Costa"/>
    <s v="TI/SI"/>
    <s v="Álisson Costa"/>
    <s v="DGE"/>
    <s v="NA"/>
    <s v="-"/>
    <s v="Prospecção Tecnológica, Desenvolvimento, Sustentação e Documentação de Sistemas de Engenharia que atendem os processos da empresa Cemig D"/>
    <s v="O projeto é responsável pela prospecção, desenvolvimento, sustentação e documentação de diversos sistemas de engenharia da Cemig D. Dentre as iniciativas em andamento, podem ser destacadas: Agencia Virtual – AGV; Sistema de Gestão de Projetos de Redes – SGPR; Verde Minas; e Sistema de Monitoramento de Óleo."/>
    <s v="Impacto em diversas iniciativas, paralisando as adequações de processo, desenvolvimento de novos sistemas ou módulos, implementação de automações, entre outros, impedindo a evolução das ferramentas e operações de rotina das áreas da Cemig D."/>
    <s v="Postergação do desembolso para adequação da curva de investimento."/>
    <n v="0"/>
    <n v="0"/>
    <n v="0"/>
    <n v="0"/>
    <n v="0"/>
    <n v="0"/>
    <n v="0"/>
    <n v="0"/>
    <n v="0"/>
    <n v="0"/>
    <n v="0"/>
    <n v="0"/>
    <n v="0"/>
    <n v="0"/>
    <n v="0"/>
    <n v="0"/>
    <n v="0"/>
    <n v="35"/>
    <n v="35"/>
    <n v="0"/>
    <n v="0"/>
    <n v="0"/>
    <n v="30"/>
    <n v="20"/>
    <n v="20"/>
    <n v="20"/>
    <n v="20"/>
    <n v="20"/>
    <n v="20"/>
    <n v="20"/>
    <n v="30"/>
    <n v="200"/>
    <n v="20"/>
    <n v="20"/>
    <n v="20"/>
    <n v="20"/>
    <n v="20"/>
    <n v="20"/>
    <n v="20"/>
    <n v="20"/>
    <n v="20"/>
    <n v="20"/>
    <n v="20"/>
    <n v="180"/>
    <n v="400"/>
    <n v="20"/>
    <n v="20"/>
    <n v="20"/>
    <n v="20"/>
    <n v="20"/>
    <n v="20"/>
    <n v="20"/>
    <n v="20"/>
    <n v="20"/>
    <n v="20"/>
    <n v="70"/>
    <n v="180"/>
    <n v="450"/>
    <n v="1085"/>
  </r>
  <r>
    <x v="2"/>
    <x v="16"/>
    <s v="TI/SI"/>
    <s v="Roberto Proença"/>
    <s v="TI/SI"/>
    <s v="Roberto Proença"/>
    <s v="DGE"/>
    <s v="TI08518"/>
    <s v="-"/>
    <s v="Mobilidade - Aquisição de Equipamento Móvel para Projeto e Recebimento de Obras"/>
    <s v="Aquisição de equipamento móvel (tablets) para desenho de projetos e recebimento de obras de rede distribuição em campo."/>
    <s v="Perda de oportunidade de ganho de produtividade no processo de elaboração e execução de projetos de expansão da rede de distribuição; Perda de oportunidade de visibilidade e controle de obras e previsibilidade de realização."/>
    <s v="-"/>
    <n v="0"/>
    <n v="0"/>
    <n v="0"/>
    <n v="0"/>
    <n v="0"/>
    <n v="0"/>
    <n v="0"/>
    <n v="0"/>
    <n v="0"/>
    <n v="0"/>
    <n v="0"/>
    <n v="525"/>
    <n v="0"/>
    <n v="0"/>
    <n v="0"/>
    <n v="0"/>
    <n v="0"/>
    <n v="0"/>
    <n v="525"/>
    <n v="0"/>
    <n v="525"/>
    <n v="0"/>
    <n v="0"/>
    <n v="0"/>
    <n v="0"/>
    <n v="0"/>
    <n v="0"/>
    <n v="0"/>
    <n v="0"/>
    <n v="0"/>
    <n v="0"/>
    <n v="525"/>
    <n v="0"/>
    <n v="0"/>
    <n v="0"/>
    <n v="0"/>
    <n v="0"/>
    <n v="0"/>
    <n v="0"/>
    <n v="0"/>
    <n v="0"/>
    <n v="0"/>
    <n v="0"/>
    <n v="0"/>
    <n v="0"/>
    <n v="0"/>
    <n v="0"/>
    <n v="0"/>
    <n v="0"/>
    <n v="0"/>
    <n v="0"/>
    <n v="0"/>
    <n v="0"/>
    <n v="0"/>
    <n v="0"/>
    <n v="0"/>
    <n v="0"/>
    <n v="0"/>
    <n v="1050"/>
  </r>
  <r>
    <x v="2"/>
    <x v="16"/>
    <s v="TI/IO"/>
    <s v="Carlos Araújo"/>
    <s v="TI/IO"/>
    <s v="Carlos Araújo"/>
    <s v="DGE"/>
    <s v="NA"/>
    <s v="-"/>
    <s v="Aquisição de Servidores x86 "/>
    <s v="Os servidores x86 são os equipamentos de hardware utilizados com vistas a suportar aplicações específicas, como o Correio Eletrônico, Servidores de Arquivos, Internet, Intranet, Portal de Compras, Agência Virtual, GPJuri, Impressão Corporativa, Bancos de Dados SQL, dentre outros. O projeto objetiva substituir os equipamentos obsoletos, visando comportar o crescimento vegetativo dessas aplicações; Aquisição de novos servidores visando a atualização tecnológica do interior do estado; Permitir o crescimento vegetativo da infraestrutura do interior do estado; Atendimento as demandas por recursos tecnológicos das áreas clientes, que estão cada dia mais crescentes e a atual infraestrutura não suporta."/>
    <s v="Comprometimento da capacidade de processamento das aplicações atendidas, com degradação de desempenho das mesmas; O crescimento vegetativo da infraestrutura será inviabilizada devido a obsolescência do hardware, bem como, a impossibilidade de crescimento da capacidade de processamento."/>
    <s v="-"/>
    <n v="0"/>
    <n v="0"/>
    <n v="0"/>
    <n v="0"/>
    <n v="0"/>
    <n v="0"/>
    <n v="0"/>
    <n v="0"/>
    <n v="0"/>
    <n v="0"/>
    <n v="0"/>
    <n v="0"/>
    <n v="0"/>
    <n v="500"/>
    <n v="0"/>
    <n v="0"/>
    <n v="0"/>
    <n v="0"/>
    <n v="500"/>
    <n v="0"/>
    <n v="0"/>
    <n v="0"/>
    <n v="0"/>
    <n v="0"/>
    <n v="0"/>
    <n v="0"/>
    <n v="0"/>
    <n v="0"/>
    <n v="0"/>
    <n v="0"/>
    <n v="0"/>
    <n v="0"/>
    <n v="0"/>
    <n v="0"/>
    <n v="0"/>
    <n v="0"/>
    <n v="0"/>
    <n v="0"/>
    <n v="0"/>
    <n v="0"/>
    <n v="0"/>
    <n v="0"/>
    <n v="0"/>
    <n v="535"/>
    <n v="535"/>
    <n v="0"/>
    <n v="0"/>
    <n v="0"/>
    <n v="0"/>
    <n v="0"/>
    <n v="0"/>
    <n v="0"/>
    <n v="0"/>
    <n v="0"/>
    <n v="0"/>
    <n v="0"/>
    <n v="0"/>
    <n v="0"/>
    <n v="1035"/>
  </r>
  <r>
    <x v="2"/>
    <x v="16"/>
    <s v="TI/SI"/>
    <s v="Álisson Costa"/>
    <s v="TI/SI"/>
    <s v="Álisson Costa"/>
    <s v="DGE"/>
    <s v="NA"/>
    <s v="-"/>
    <s v="Canais de Atendimento Cemig - AGV/AGB/AGA"/>
    <s v="Desenvolvimento web de novos serviços comerciais nos canais de atendimento oficiais da Cemig"/>
    <s v="Falta de canais de atendimento disponíveis, aumento de clientes nas agências de atendimento presencial da Cemig."/>
    <s v="Revisão do escopo do projeto, com postergação do desembolso conforme cronograma de execução."/>
    <n v="0"/>
    <n v="0"/>
    <n v="0"/>
    <n v="0"/>
    <n v="0"/>
    <n v="0"/>
    <n v="0"/>
    <n v="0"/>
    <n v="0"/>
    <n v="0"/>
    <n v="0"/>
    <n v="0"/>
    <n v="0"/>
    <n v="0"/>
    <n v="0"/>
    <n v="0"/>
    <n v="0"/>
    <n v="0"/>
    <n v="0"/>
    <n v="0"/>
    <n v="20"/>
    <n v="0"/>
    <n v="20"/>
    <n v="20"/>
    <n v="20"/>
    <n v="0"/>
    <n v="20"/>
    <n v="20"/>
    <n v="25"/>
    <n v="40"/>
    <n v="40"/>
    <n v="225"/>
    <n v="20"/>
    <n v="20"/>
    <n v="20"/>
    <n v="40"/>
    <n v="20"/>
    <n v="40"/>
    <n v="20"/>
    <n v="40"/>
    <n v="20"/>
    <n v="40"/>
    <n v="40"/>
    <n v="60"/>
    <n v="380"/>
    <n v="20"/>
    <n v="20"/>
    <n v="20"/>
    <n v="50"/>
    <n v="20"/>
    <n v="80"/>
    <n v="20"/>
    <n v="20"/>
    <n v="20"/>
    <n v="30"/>
    <n v="50"/>
    <n v="60"/>
    <n v="410"/>
    <n v="1015"/>
  </r>
  <r>
    <x v="2"/>
    <x v="16"/>
    <s v="TI/TC"/>
    <s v="Roberto Sebastião"/>
    <s v="TI/TC"/>
    <s v="Roberto Sebastião"/>
    <s v="DGE"/>
    <s v="NA"/>
    <s v="-"/>
    <s v="Antivirus para 9500 estações de trabalho e servidores"/>
    <s v="Aquisição de licenciamento de _x000a_software Antivirus "/>
    <s v="Infecção de microcomputadores da Cemig, provocando indisponibiloidade e roubo de informações"/>
    <s v="-"/>
    <n v="0"/>
    <n v="0"/>
    <n v="0"/>
    <n v="0"/>
    <n v="0"/>
    <n v="0"/>
    <n v="0"/>
    <n v="0"/>
    <n v="0"/>
    <n v="0"/>
    <n v="0"/>
    <n v="0"/>
    <n v="0"/>
    <n v="0"/>
    <n v="0"/>
    <n v="0"/>
    <n v="0"/>
    <n v="0"/>
    <n v="0"/>
    <n v="0"/>
    <n v="0"/>
    <n v="900"/>
    <n v="0"/>
    <n v="0"/>
    <n v="0"/>
    <n v="0"/>
    <n v="0"/>
    <n v="0"/>
    <n v="0"/>
    <n v="0"/>
    <n v="0"/>
    <n v="900"/>
    <n v="0"/>
    <n v="0"/>
    <n v="0"/>
    <n v="0"/>
    <n v="0"/>
    <n v="0"/>
    <n v="0"/>
    <n v="0"/>
    <n v="0"/>
    <n v="0"/>
    <n v="0"/>
    <n v="0"/>
    <n v="0"/>
    <n v="0"/>
    <n v="0"/>
    <n v="0"/>
    <n v="0"/>
    <n v="0"/>
    <n v="0"/>
    <n v="0"/>
    <n v="0"/>
    <n v="0"/>
    <n v="0"/>
    <n v="0"/>
    <n v="0"/>
    <n v="0"/>
    <n v="900"/>
  </r>
  <r>
    <x v="2"/>
    <x v="16"/>
    <s v="TI/SI"/>
    <s v="Álisson Costa"/>
    <s v="AD/AD"/>
    <s v="Flavio Henrique M. Vieira"/>
    <s v="DDC"/>
    <s v="NA"/>
    <s v="-"/>
    <s v="Integração CIM - COD para falta de energia"/>
    <s v=" A integração do CIM com GDIS visa o registro e a criação notas para o restabelecimento da falta de energia na unidade consumidora"/>
    <s v="O registro do início de falta é auditado pela Aneel para apuração dos indicadores e calculo de compensações financeiras.  A Cemig fica sujeita a penalizações na auditoria de avaliação dos indicadores de qualidade  a Aneel quando existe discrepância no momento em que a Cemig tem conhecimento da falta de energia em relação ao registro no GDIS"/>
    <s v="-"/>
    <n v="0"/>
    <n v="0"/>
    <n v="0"/>
    <n v="0"/>
    <n v="0"/>
    <n v="0"/>
    <n v="0"/>
    <n v="0"/>
    <n v="0"/>
    <n v="0"/>
    <n v="0"/>
    <n v="0"/>
    <n v="0"/>
    <n v="0"/>
    <n v="0"/>
    <n v="0"/>
    <n v="0"/>
    <n v="0"/>
    <n v="0"/>
    <n v="0"/>
    <n v="0"/>
    <n v="0"/>
    <n v="0"/>
    <n v="0"/>
    <n v="0"/>
    <n v="0"/>
    <n v="0"/>
    <n v="0"/>
    <n v="0"/>
    <n v="0"/>
    <n v="0"/>
    <n v="0"/>
    <n v="0"/>
    <n v="0"/>
    <n v="0"/>
    <n v="50"/>
    <n v="0"/>
    <n v="100"/>
    <n v="0"/>
    <n v="0"/>
    <n v="100"/>
    <n v="0"/>
    <n v="0"/>
    <n v="200"/>
    <n v="450"/>
    <n v="50"/>
    <n v="50"/>
    <n v="50"/>
    <n v="100"/>
    <n v="100"/>
    <n v="100"/>
    <n v="0"/>
    <n v="0"/>
    <n v="0"/>
    <n v="0"/>
    <n v="0"/>
    <n v="0"/>
    <n v="450"/>
    <n v="900"/>
  </r>
  <r>
    <x v="2"/>
    <x v="16"/>
    <s v="TI/SI"/>
    <s v="Álisson Costa"/>
    <s v="TI/SI"/>
    <s v="Álisson Costa"/>
    <s v="DGE"/>
    <s v="TI03417"/>
    <s v="TINV.17.D.042.SS"/>
    <s v="Sistema SAM"/>
    <s v="Construção e desenvolvimento do sistema SAM no ambiente SAP ECC."/>
    <s v="Atrasos nos procedimentos e processos das equipes nas áreas de negócio (engenharia); Multas pelo não atendimento dos compromissos obrigatórios dentro do prazo esperado pelos agentes governamentais."/>
    <s v="-"/>
    <n v="899.99990081787109"/>
    <n v="0"/>
    <n v="0"/>
    <n v="0"/>
    <n v="8.2521972672111588E-5"/>
    <n v="899.99998333984377"/>
    <n v="0"/>
    <n v="0"/>
    <n v="0"/>
    <n v="0"/>
    <n v="0"/>
    <n v="0"/>
    <n v="0"/>
    <n v="0"/>
    <n v="0"/>
    <n v="0"/>
    <n v="0"/>
    <n v="0"/>
    <n v="0"/>
    <n v="0"/>
    <n v="0"/>
    <n v="0"/>
    <n v="0"/>
    <n v="0"/>
    <n v="0"/>
    <n v="0"/>
    <n v="0"/>
    <n v="0"/>
    <n v="0"/>
    <n v="0"/>
    <n v="0"/>
    <n v="0"/>
    <n v="0"/>
    <n v="0"/>
    <n v="0"/>
    <n v="0"/>
    <n v="0"/>
    <n v="0"/>
    <n v="0"/>
    <n v="0"/>
    <n v="0"/>
    <n v="0"/>
    <n v="0"/>
    <n v="0"/>
    <n v="0"/>
    <n v="0"/>
    <n v="0"/>
    <n v="0"/>
    <n v="0"/>
    <n v="0"/>
    <n v="0"/>
    <n v="0"/>
    <n v="0"/>
    <n v="0"/>
    <n v="0"/>
    <n v="0"/>
    <n v="0"/>
    <n v="0"/>
    <n v="899.99998333984377"/>
  </r>
  <r>
    <x v="2"/>
    <x v="16"/>
    <s v="TI/SI"/>
    <s v="Roberto Proença"/>
    <s v="TI/SI"/>
    <s v="Roberto Proença"/>
    <s v="DGE"/>
    <s v="TI02416"/>
    <s v="TINV.16.D.042.SI"/>
    <s v="Sistema de Inteligência de Negócios de Distribuição "/>
    <s v="Criação de  ferramentas analíticas para disponibilização de informações gerenciais e estrategicas as áreas de Negocio da Distribuição"/>
    <s v="Incapacidade de análise de dados estratégicos da distribuição reduzindo as informações para decisões importantes para os ganhos de negócio da empresa."/>
    <s v="Revisão do escopo do projeto, com postergação do desembolso conforme cronograma de execução."/>
    <n v="73.648349761962891"/>
    <n v="0"/>
    <n v="0"/>
    <n v="0"/>
    <n v="45.861249923706055"/>
    <n v="119.50959968566895"/>
    <n v="0"/>
    <n v="0"/>
    <n v="100"/>
    <n v="0"/>
    <n v="0"/>
    <n v="100"/>
    <n v="0"/>
    <n v="0"/>
    <n v="0"/>
    <n v="130"/>
    <n v="0"/>
    <n v="350"/>
    <n v="680"/>
    <n v="50"/>
    <n v="50"/>
    <n v="0"/>
    <n v="0"/>
    <n v="0"/>
    <n v="0"/>
    <n v="0"/>
    <n v="0"/>
    <n v="0"/>
    <n v="0"/>
    <n v="0"/>
    <n v="0"/>
    <n v="100"/>
    <n v="0"/>
    <n v="0"/>
    <n v="0"/>
    <n v="0"/>
    <n v="0"/>
    <n v="0"/>
    <n v="0"/>
    <n v="0"/>
    <n v="0"/>
    <n v="0"/>
    <n v="0"/>
    <n v="0"/>
    <n v="0"/>
    <n v="0"/>
    <n v="0"/>
    <n v="0"/>
    <n v="0"/>
    <n v="0"/>
    <n v="0"/>
    <n v="0"/>
    <n v="0"/>
    <n v="0"/>
    <n v="0"/>
    <n v="0"/>
    <n v="0"/>
    <n v="0"/>
    <n v="899.50959968566895"/>
  </r>
  <r>
    <x v="2"/>
    <x v="16"/>
    <s v="TI/SI"/>
    <s v="Álisson Costa"/>
    <s v="TI/SI"/>
    <s v="Álisson Costa"/>
    <s v="DGE"/>
    <s v="TI04117"/>
    <s v="TINV.17.D.042.RE"/>
    <s v="Aquisição Solução REINF"/>
    <s v="Aquisição da solução para atendimento à obrigação junto à RFB, relativa a Escrituração Fiscal Digital - REINF"/>
    <s v="Descumprimento de obrigações perante órgão federais."/>
    <s v="Postergação do desembolso para adequação da curva de investimento."/>
    <n v="15.5"/>
    <n v="0"/>
    <n v="0"/>
    <n v="0"/>
    <n v="0.5"/>
    <n v="16"/>
    <n v="0"/>
    <n v="0"/>
    <n v="0"/>
    <n v="0"/>
    <n v="0"/>
    <n v="50"/>
    <n v="0"/>
    <n v="0"/>
    <n v="0"/>
    <n v="0"/>
    <n v="0"/>
    <n v="70"/>
    <n v="120"/>
    <n v="0"/>
    <n v="25"/>
    <n v="25"/>
    <n v="0"/>
    <n v="50"/>
    <n v="50"/>
    <n v="0"/>
    <n v="25"/>
    <n v="0"/>
    <n v="25"/>
    <n v="0"/>
    <n v="40"/>
    <n v="240"/>
    <n v="0"/>
    <n v="0"/>
    <n v="60"/>
    <n v="0"/>
    <n v="0"/>
    <n v="60"/>
    <n v="0"/>
    <n v="60"/>
    <n v="0"/>
    <n v="0"/>
    <n v="0"/>
    <n v="60"/>
    <n v="240"/>
    <n v="0"/>
    <n v="0"/>
    <n v="255"/>
    <n v="0"/>
    <n v="0"/>
    <n v="0"/>
    <n v="0"/>
    <n v="0"/>
    <n v="0"/>
    <n v="0"/>
    <n v="0"/>
    <n v="0"/>
    <n v="255"/>
    <n v="871"/>
  </r>
  <r>
    <x v="2"/>
    <x v="16"/>
    <s v="TI/SI"/>
    <s v="Álisson Costa"/>
    <s v="TI/SI"/>
    <s v="Álisson Costa"/>
    <s v="DGE"/>
    <s v="TI04718"/>
    <s v="TINV.18.D.042.AG"/>
    <s v="Arquitetura GEO (LayerCast + OpenLayers Cemig)"/>
    <s v="Construção de uma arquitetura para otimização de camadas geográficas com armazenamento e controle de cache."/>
    <s v="Aumento do tempo de abertura dos painéis de informação; Time out nas solicitações para processamento das informações geográficas."/>
    <s v="Demanda incorporada à carteira, considerando remanejamento entre projetos."/>
    <n v="25.882419586181641"/>
    <n v="23.5"/>
    <n v="23.5"/>
    <n v="23.5"/>
    <n v="44.617580413818359"/>
    <n v="141"/>
    <n v="23.58"/>
    <n v="23.58"/>
    <n v="23.58"/>
    <n v="23.58"/>
    <n v="23.58"/>
    <n v="23.58"/>
    <n v="23.58"/>
    <n v="23.58"/>
    <n v="23.58"/>
    <n v="23.58"/>
    <n v="23.58"/>
    <n v="23.58"/>
    <n v="282.95999999999992"/>
    <n v="23.58"/>
    <n v="23.58"/>
    <n v="23.58"/>
    <n v="23.58"/>
    <n v="23.58"/>
    <n v="23.58"/>
    <n v="23.58"/>
    <n v="23.58"/>
    <n v="23.58"/>
    <n v="23.58"/>
    <n v="23.58"/>
    <n v="23.58"/>
    <n v="282.95999999999992"/>
    <n v="23.5"/>
    <n v="23.5"/>
    <n v="23.5"/>
    <n v="23.5"/>
    <n v="23.5"/>
    <n v="23.5"/>
    <n v="0"/>
    <n v="0"/>
    <n v="0"/>
    <n v="0"/>
    <n v="0"/>
    <n v="0"/>
    <n v="141"/>
    <n v="0"/>
    <n v="0"/>
    <n v="0"/>
    <n v="0"/>
    <n v="0"/>
    <n v="0"/>
    <n v="0"/>
    <n v="0"/>
    <n v="0"/>
    <n v="0"/>
    <n v="0"/>
    <n v="0"/>
    <n v="0"/>
    <n v="847.91999999999985"/>
  </r>
  <r>
    <x v="2"/>
    <x v="16"/>
    <s v="TI/SI"/>
    <s v="Álisson Costa"/>
    <s v="SC"/>
    <s v="Ormindo Filho"/>
    <s v="DGE"/>
    <s v="NA"/>
    <s v="-"/>
    <s v="Upgrade do Sistema FROTA"/>
    <s v="Atualização tecnológica do sistema de gestão de Frota da Cemig, que está em uso desde 2004, muito obsoleto e defasado em relação ao processo de negócio. "/>
    <s v="Paralisação das funcionalidades do sistema, em função do longo tempo de sua existência."/>
    <s v="Revisão do escopo do projeto, conforme requisitos de desenvolvimento do Sistema FROTA."/>
    <n v="0"/>
    <n v="0"/>
    <n v="0"/>
    <n v="0"/>
    <n v="0"/>
    <n v="0"/>
    <n v="0"/>
    <n v="0"/>
    <n v="0"/>
    <n v="0"/>
    <n v="0"/>
    <n v="0"/>
    <n v="0"/>
    <n v="0"/>
    <n v="100"/>
    <n v="0"/>
    <n v="0"/>
    <n v="150"/>
    <n v="250"/>
    <n v="0"/>
    <n v="0"/>
    <n v="0"/>
    <n v="100"/>
    <n v="0"/>
    <n v="50"/>
    <n v="0"/>
    <n v="100"/>
    <n v="0"/>
    <n v="0"/>
    <n v="0"/>
    <n v="100"/>
    <n v="350"/>
    <n v="0"/>
    <n v="0"/>
    <n v="0"/>
    <n v="50"/>
    <n v="0"/>
    <n v="50"/>
    <n v="0"/>
    <n v="50"/>
    <n v="50"/>
    <n v="40"/>
    <n v="0"/>
    <n v="0"/>
    <n v="240"/>
    <n v="0"/>
    <n v="0"/>
    <n v="0"/>
    <n v="0"/>
    <n v="0"/>
    <n v="0"/>
    <n v="0"/>
    <n v="0"/>
    <n v="0"/>
    <n v="0"/>
    <n v="0"/>
    <n v="0"/>
    <n v="0"/>
    <n v="840"/>
  </r>
  <r>
    <x v="2"/>
    <x v="16"/>
    <s v="TI/SI"/>
    <s v="Álisson Costa"/>
    <s v="TI/SI"/>
    <s v="Álisson Costa"/>
    <s v="DGE"/>
    <s v="NA"/>
    <s v="-"/>
    <s v="Barramentos de Integração de Sistemas"/>
    <s v="Construção de barramentos de serviço para a integração e padronização de acessos às informações corporativas mais consumidas, usando o conceito SOA - Arquitetura Orientada a Serviços"/>
    <s v="Multiplicação de interfaces e duplicidade ou desencontro de informações"/>
    <s v="-"/>
    <n v="0"/>
    <n v="0"/>
    <n v="0"/>
    <n v="0"/>
    <n v="0"/>
    <n v="0"/>
    <n v="0"/>
    <n v="0"/>
    <n v="0"/>
    <n v="0"/>
    <n v="0"/>
    <n v="0"/>
    <n v="0"/>
    <n v="0"/>
    <n v="0"/>
    <n v="0"/>
    <n v="0"/>
    <n v="0"/>
    <n v="0"/>
    <n v="0"/>
    <n v="0"/>
    <n v="50"/>
    <n v="0"/>
    <n v="0"/>
    <n v="0"/>
    <n v="50"/>
    <n v="0"/>
    <n v="0"/>
    <n v="0"/>
    <n v="100"/>
    <n v="0"/>
    <n v="200"/>
    <n v="0"/>
    <n v="0"/>
    <n v="100"/>
    <n v="0"/>
    <n v="0"/>
    <n v="0"/>
    <n v="200"/>
    <n v="0"/>
    <n v="0"/>
    <n v="0"/>
    <n v="0"/>
    <n v="0"/>
    <n v="300"/>
    <n v="0"/>
    <n v="0"/>
    <n v="25"/>
    <n v="0"/>
    <n v="0"/>
    <n v="50"/>
    <n v="0"/>
    <n v="25"/>
    <n v="25"/>
    <n v="0"/>
    <n v="25"/>
    <n v="150"/>
    <n v="300"/>
    <n v="800"/>
  </r>
  <r>
    <x v="2"/>
    <x v="16"/>
    <s v="TI/RT"/>
    <s v="Heberte Faria"/>
    <s v="TI/RT"/>
    <s v="Heberte Faria"/>
    <s v="DGE"/>
    <s v="NA"/>
    <s v="-"/>
    <s v="HP SERVICE MANAGER D"/>
    <s v="Renovação das licenças do software HP SERVICE MANAGER."/>
    <s v="-"/>
    <s v="-"/>
    <n v="0"/>
    <n v="0"/>
    <n v="400"/>
    <n v="0"/>
    <n v="0"/>
    <n v="400"/>
    <n v="0"/>
    <n v="0"/>
    <n v="0"/>
    <n v="0"/>
    <n v="0"/>
    <n v="0"/>
    <n v="0"/>
    <n v="0"/>
    <n v="0"/>
    <n v="0"/>
    <n v="0"/>
    <n v="0"/>
    <n v="0"/>
    <n v="0"/>
    <n v="0"/>
    <n v="0"/>
    <n v="0"/>
    <n v="0"/>
    <n v="0"/>
    <n v="0"/>
    <n v="0"/>
    <n v="0"/>
    <n v="0"/>
    <n v="0"/>
    <n v="0"/>
    <n v="0"/>
    <n v="0"/>
    <n v="0"/>
    <n v="0"/>
    <n v="0"/>
    <n v="0"/>
    <n v="0"/>
    <n v="0"/>
    <n v="0"/>
    <n v="0"/>
    <n v="400"/>
    <n v="0"/>
    <n v="0"/>
    <n v="400"/>
    <n v="0"/>
    <n v="0"/>
    <n v="0"/>
    <n v="0"/>
    <n v="0"/>
    <n v="0"/>
    <n v="0"/>
    <n v="0"/>
    <n v="0"/>
    <n v="0"/>
    <n v="0"/>
    <n v="0"/>
    <n v="0"/>
    <n v="800"/>
  </r>
  <r>
    <x v="2"/>
    <x v="16"/>
    <s v="TI/RT"/>
    <s v="Heberte Faria"/>
    <s v="TI/RT"/>
    <s v="Heberte Faria"/>
    <s v="DGE"/>
    <s v="TI05318"/>
    <s v="TINV.18.D.762.WZ"/>
    <s v="Licenças WARPZ de otimização de programas no ambiente SAP"/>
    <s v="Otimização do processamento no ambiente SAP, realizado por programas ABAP utilizando  20 licenças  do produto WARPZ , com o objetivo de reduzir o tempo de execução dos programas, menor necessidade de hardwares como memorias e processadores."/>
    <s v="Necessitar maior investimento em hardware de processamento; Ocorrer frequentemente reclamação em função de problema de desempenho no processo on-line provocado por atraso no processamento da Janela batch;"/>
    <s v="Demanda incorporada à carteira, considerando remanejamento entre projetos."/>
    <n v="800"/>
    <n v="0"/>
    <n v="0"/>
    <n v="0"/>
    <n v="0"/>
    <n v="800"/>
    <n v="0"/>
    <n v="0"/>
    <n v="0"/>
    <n v="0"/>
    <n v="0"/>
    <n v="0"/>
    <n v="0"/>
    <n v="0"/>
    <n v="0"/>
    <n v="0"/>
    <n v="0"/>
    <n v="0"/>
    <n v="0"/>
    <n v="0"/>
    <n v="0"/>
    <n v="0"/>
    <n v="0"/>
    <n v="0"/>
    <n v="0"/>
    <n v="0"/>
    <n v="0"/>
    <n v="0"/>
    <n v="0"/>
    <n v="0"/>
    <n v="0"/>
    <n v="0"/>
    <n v="0"/>
    <n v="0"/>
    <n v="0"/>
    <n v="0"/>
    <n v="0"/>
    <n v="0"/>
    <n v="0"/>
    <n v="0"/>
    <n v="0"/>
    <n v="0"/>
    <n v="0"/>
    <n v="0"/>
    <n v="0"/>
    <m/>
    <m/>
    <m/>
    <m/>
    <m/>
    <m/>
    <m/>
    <m/>
    <m/>
    <m/>
    <m/>
    <m/>
    <n v="0"/>
    <n v="800"/>
  </r>
  <r>
    <x v="2"/>
    <x v="16"/>
    <s v="TI/TC"/>
    <s v="Roberto Sebastião"/>
    <s v="TI/TC"/>
    <s v="Roberto Sebastião"/>
    <s v="DGE"/>
    <s v="TI05518"/>
    <s v="TINV.18.D.054.EP"/>
    <s v="Equipamentos SPARE (Readequações Rede Operativa)"/>
    <s v="Aquisição e implantação de equipamentos para atualização tecnológica de estruturas de redes Operativas e Corporativas envolvendo Rede Subterrânea e SCADA; Melhoria da disponibilidade e do desempenho de estruturas de rede que suportam aplicações críticas."/>
    <s v="Indisponibilidade de estruturas Operativas e Corporativas  em função de falhas de rede e falta de equipamentos Reserva para substituição; Indisponibilidade de estruturas Operativas e Corporativas  em função de falhas  de equipamentos por obsolescência."/>
    <s v="Revisão do escopo do projeto, conforme definições da estrutura de segurança e conectividade."/>
    <n v="0"/>
    <n v="0"/>
    <n v="620"/>
    <n v="140"/>
    <n v="0"/>
    <n v="760"/>
    <n v="0"/>
    <n v="0"/>
    <n v="0"/>
    <n v="0"/>
    <n v="0"/>
    <n v="0"/>
    <n v="0"/>
    <n v="0"/>
    <n v="0"/>
    <n v="0"/>
    <n v="0"/>
    <n v="0"/>
    <n v="0"/>
    <n v="0"/>
    <n v="0"/>
    <n v="0"/>
    <n v="0"/>
    <n v="0"/>
    <n v="0"/>
    <n v="0"/>
    <n v="0"/>
    <n v="0"/>
    <n v="0"/>
    <n v="0"/>
    <n v="0"/>
    <n v="0"/>
    <n v="0"/>
    <n v="0"/>
    <n v="0"/>
    <n v="0"/>
    <n v="0"/>
    <n v="0"/>
    <n v="0"/>
    <n v="0"/>
    <n v="0"/>
    <n v="0"/>
    <n v="0"/>
    <n v="0"/>
    <n v="0"/>
    <n v="0"/>
    <n v="0"/>
    <n v="0"/>
    <n v="0"/>
    <n v="0"/>
    <n v="0"/>
    <n v="0"/>
    <n v="0"/>
    <n v="0"/>
    <n v="0"/>
    <n v="0"/>
    <n v="0"/>
    <n v="0"/>
    <n v="760"/>
  </r>
  <r>
    <x v="2"/>
    <x v="16"/>
    <s v="TI/SI"/>
    <s v="Roberto Proença"/>
    <s v="TI/SI"/>
    <s v="Roberto Proença"/>
    <s v="DGE"/>
    <s v="TI03015"/>
    <s v="TINV.15.D.042.BR"/>
    <s v="Barramento de Serviços G-DIS"/>
    <s v="O projeto refere-se à criação de um barramento de serviços para o Sistema G-DIS como SOA - Service Oriented Achitecture, conforme necessidade apontada pelo Programa Conexão - Implantação de sistemas em sinergia com outras empresas do Grupo Cemig."/>
    <s v="Perda de sinergia no compartilhamento de serviços; despadronização de fornecedores e tecnologias; piora no tempo de resposta e no processamento das requisições; perda na distribuição de carga de solicitações em outro ambiente computacional."/>
    <s v="Postergação do desembolso para adequação da curva de investimento."/>
    <n v="175.63199806213379"/>
    <n v="0"/>
    <n v="30"/>
    <n v="0"/>
    <n v="7.1840008697509745"/>
    <n v="212.81599893188476"/>
    <n v="50"/>
    <n v="50"/>
    <n v="50"/>
    <n v="50"/>
    <n v="87"/>
    <n v="0"/>
    <n v="150"/>
    <n v="100"/>
    <n v="0"/>
    <n v="0"/>
    <n v="0"/>
    <n v="0"/>
    <n v="537"/>
    <n v="0"/>
    <n v="0"/>
    <n v="0"/>
    <n v="0"/>
    <n v="0"/>
    <n v="0"/>
    <n v="0"/>
    <n v="0"/>
    <n v="0"/>
    <n v="0"/>
    <n v="0"/>
    <n v="0"/>
    <n v="0"/>
    <n v="0"/>
    <n v="0"/>
    <n v="0"/>
    <n v="0"/>
    <n v="0"/>
    <n v="0"/>
    <n v="0"/>
    <n v="0"/>
    <n v="0"/>
    <n v="0"/>
    <n v="0"/>
    <n v="0"/>
    <n v="0"/>
    <n v="0"/>
    <n v="0"/>
    <n v="0"/>
    <n v="0"/>
    <n v="0"/>
    <n v="0"/>
    <n v="0"/>
    <n v="0"/>
    <n v="0"/>
    <n v="0"/>
    <n v="0"/>
    <n v="0"/>
    <n v="0"/>
    <n v="749.81599893188479"/>
  </r>
  <r>
    <x v="2"/>
    <x v="16"/>
    <s v="TI/SI"/>
    <s v="Álisson Costa"/>
    <s v="TI/SI"/>
    <s v="Álisson Costa"/>
    <s v="DGE"/>
    <s v="TI03117"/>
    <s v="TINV.17.D.042.BC"/>
    <s v="Barramento Comercial (Canais de Atendimento Virtuais e Comunicação Bancária)"/>
    <s v="Desenvolvimento de um barramento de serviços comerciais usando a Arquitetura Orientada a Serviços - SOA"/>
    <s v="Respostas divergentes considerando um mesmo tipo de solicitação; Impacto no atendimento comercial da Cemig, pelo aumento do uso dos canais virtuais; Alto custo para manter interfaces replicadas e despadronizadas."/>
    <s v="Revisão do escopo do projeto, considerando as demandas dos canais de atendimento virtuais e comunicação bancária."/>
    <n v="60.324001312255859"/>
    <n v="42.576000000000001"/>
    <n v="54"/>
    <n v="0"/>
    <n v="59.1"/>
    <n v="216.00000131225585"/>
    <n v="0"/>
    <n v="0"/>
    <n v="36"/>
    <n v="0"/>
    <n v="0"/>
    <n v="36"/>
    <n v="0"/>
    <n v="0"/>
    <n v="36"/>
    <n v="0"/>
    <n v="0"/>
    <n v="36"/>
    <n v="144"/>
    <n v="0"/>
    <n v="8"/>
    <n v="10"/>
    <n v="10"/>
    <n v="10"/>
    <n v="10"/>
    <n v="10"/>
    <n v="10"/>
    <n v="10"/>
    <n v="10"/>
    <n v="10"/>
    <n v="10"/>
    <n v="108"/>
    <n v="25"/>
    <n v="25"/>
    <n v="10"/>
    <n v="10"/>
    <n v="10"/>
    <n v="10"/>
    <n v="10"/>
    <n v="10"/>
    <n v="10"/>
    <n v="10"/>
    <n v="10"/>
    <n v="10"/>
    <n v="150"/>
    <n v="0"/>
    <n v="0"/>
    <n v="10"/>
    <n v="10"/>
    <n v="10"/>
    <n v="10"/>
    <n v="10"/>
    <n v="10"/>
    <n v="10"/>
    <n v="10"/>
    <n v="10"/>
    <n v="10"/>
    <n v="100"/>
    <n v="718.00000131225579"/>
  </r>
  <r>
    <x v="2"/>
    <x v="16"/>
    <s v="TI/SI"/>
    <s v="Álisson Costa"/>
    <s v="RH/AP"/>
    <s v="Álisson Costa"/>
    <s v="DGE"/>
    <s v="TI01813"/>
    <s v="TINV.14.D.042.SO"/>
    <s v="Projeto Implantação do e-Social"/>
    <s v="Este projeto visa ao provimento de solução no sistema SAP ERP para atender ao módulo e-Social (Sistema de escrituração fiscal digital das obrigações fiscais, previdenciárias e trabalhistas) instituído pelo Governo Federal com o Sistema Público de Escrituração Digital – SPED, através do Decreto nº 6.022/07 e alterado pelo Decreto nº 7.979/13."/>
    <s v="Não cumprimento das obrigações da Cemig perante o governo federal, evitando-se, dessa forma, o risco de multa e/ou penalidades ante a Secretaria da Receita Federal do Brasil (RFB), o Ministério do Trabalho e Emprego (MTE), o Instituto Nacional do Seguro Social (INSS), a Caixa Econômica Federal (CEF), o Conselho Curador do Fundo de Garantia por Tempo de Serviço (FGTS) e a Justiça do Trabalho."/>
    <s v="Revisão do escopo do projeto, com postergação do desembolso conforme cronograma de execução."/>
    <n v="435.61255645751953"/>
    <n v="72"/>
    <n v="42"/>
    <n v="12"/>
    <n v="69.072013354492128"/>
    <n v="630.68456981201166"/>
    <n v="37"/>
    <n v="2"/>
    <n v="15"/>
    <n v="0"/>
    <n v="0"/>
    <n v="0"/>
    <n v="0"/>
    <n v="0"/>
    <n v="0"/>
    <n v="0"/>
    <n v="0"/>
    <n v="0"/>
    <n v="54"/>
    <n v="0"/>
    <n v="0"/>
    <n v="0"/>
    <n v="0"/>
    <n v="0"/>
    <n v="0"/>
    <n v="0"/>
    <n v="0"/>
    <n v="0"/>
    <n v="0"/>
    <n v="0"/>
    <n v="0"/>
    <n v="0"/>
    <n v="0"/>
    <n v="0"/>
    <n v="0"/>
    <n v="0"/>
    <n v="0"/>
    <n v="0"/>
    <n v="0"/>
    <n v="0"/>
    <n v="0"/>
    <n v="0"/>
    <n v="0"/>
    <n v="0"/>
    <n v="0"/>
    <n v="0"/>
    <n v="0"/>
    <n v="0"/>
    <n v="0"/>
    <n v="0"/>
    <n v="0"/>
    <n v="0"/>
    <n v="0"/>
    <n v="0"/>
    <n v="0"/>
    <n v="0"/>
    <n v="0"/>
    <n v="0"/>
    <n v="684.68456981201166"/>
  </r>
  <r>
    <x v="2"/>
    <x v="16"/>
    <s v="TI/IO"/>
    <s v="Carlos Araújo"/>
    <s v="TI/IO"/>
    <s v="Carlos Araújo"/>
    <s v="DGE"/>
    <s v="NA"/>
    <s v="-"/>
    <s v="Licenciamento IBM Sterling_x000a_"/>
    <s v="Licenciamento IBM Sterling_x000a_"/>
    <s v="-"/>
    <s v="-"/>
    <n v="0"/>
    <n v="0"/>
    <n v="0"/>
    <n v="0"/>
    <n v="0"/>
    <n v="0"/>
    <n v="0"/>
    <n v="0"/>
    <n v="0"/>
    <n v="0"/>
    <n v="0"/>
    <n v="0"/>
    <n v="0"/>
    <n v="0"/>
    <n v="0"/>
    <n v="0"/>
    <n v="0"/>
    <n v="650"/>
    <n v="650"/>
    <n v="0"/>
    <n v="0"/>
    <n v="0"/>
    <n v="0"/>
    <n v="0"/>
    <n v="0"/>
    <n v="0"/>
    <n v="0"/>
    <n v="0"/>
    <n v="0"/>
    <n v="0"/>
    <n v="0"/>
    <n v="0"/>
    <n v="0"/>
    <n v="0"/>
    <n v="0"/>
    <n v="0"/>
    <n v="0"/>
    <n v="0"/>
    <n v="0"/>
    <n v="0"/>
    <n v="0"/>
    <n v="0"/>
    <n v="0"/>
    <n v="0"/>
    <n v="0"/>
    <n v="0"/>
    <n v="0"/>
    <n v="0"/>
    <n v="0"/>
    <n v="0"/>
    <n v="0"/>
    <n v="0"/>
    <n v="0"/>
    <n v="0"/>
    <n v="0"/>
    <n v="0"/>
    <n v="0"/>
    <n v="0"/>
    <n v="650"/>
  </r>
  <r>
    <x v="2"/>
    <x v="16"/>
    <s v="TI/IO"/>
    <s v="Marcus Souto"/>
    <s v="TI/IO"/>
    <s v="Marcus Souto"/>
    <s v="DGE"/>
    <s v="NA"/>
    <s v="-"/>
    <s v="Licenciamento Microsoft (TrueUp Microsoft 2013)"/>
    <s v="Renovação do contrato de licenciamento de software que contempla Windows Server, Office, etc (2015). Para os demais anos, atendimento às demandas de novos projetos"/>
    <s v="-"/>
    <s v="Postergação do desembolso para adequação da curva de investimento."/>
    <n v="0"/>
    <n v="0"/>
    <n v="0"/>
    <n v="0"/>
    <n v="0"/>
    <n v="0"/>
    <n v="0"/>
    <n v="0"/>
    <n v="0"/>
    <n v="0"/>
    <n v="0"/>
    <n v="0"/>
    <n v="0"/>
    <n v="0"/>
    <n v="0"/>
    <n v="0"/>
    <n v="0"/>
    <n v="0"/>
    <n v="0"/>
    <n v="0"/>
    <n v="0"/>
    <n v="0"/>
    <n v="0"/>
    <n v="0"/>
    <n v="0"/>
    <n v="0"/>
    <n v="0"/>
    <n v="0"/>
    <n v="0"/>
    <n v="0"/>
    <n v="0"/>
    <n v="0"/>
    <n v="0"/>
    <n v="0"/>
    <n v="0"/>
    <n v="0"/>
    <n v="0"/>
    <n v="0"/>
    <n v="0"/>
    <n v="650"/>
    <n v="0"/>
    <n v="0"/>
    <n v="0"/>
    <n v="0"/>
    <n v="650"/>
    <n v="0"/>
    <n v="0"/>
    <n v="0"/>
    <n v="0"/>
    <n v="0"/>
    <n v="0"/>
    <n v="0"/>
    <n v="0"/>
    <n v="0"/>
    <n v="0"/>
    <n v="0"/>
    <n v="0"/>
    <n v="0"/>
    <n v="650"/>
  </r>
  <r>
    <x v="2"/>
    <x v="16"/>
    <s v="TI/SI"/>
    <s v="Álisson Costa"/>
    <s v="TI/SI"/>
    <s v="Álisson Costa"/>
    <s v="DGE"/>
    <s v="NA"/>
    <s v="-"/>
    <s v="Aquisição da plataforma de geoprocessamento da ESRI na modalidade ELA"/>
    <s v="Contratação do licenciamento, suporte e atualização de versões dos produtos ESRI, prover as equipes de serviços de campo da Cemig D com software para gestão execução das atividades, atender as demandas de diversos projetos de P&amp;D com as ferramentas de geoprocessamento especificas, fornecer software para as equipes de espansão e operação da Cemig D."/>
    <s v="Uso de software não adequado para a geração de informaçãoes ao órgão regulador"/>
    <s v="Postergação do desembolso para adequação da curva de investimento."/>
    <n v="0"/>
    <n v="0"/>
    <n v="0"/>
    <n v="0"/>
    <n v="0"/>
    <n v="0"/>
    <n v="0"/>
    <n v="0"/>
    <n v="0"/>
    <n v="0"/>
    <n v="0"/>
    <n v="150"/>
    <n v="0"/>
    <n v="0"/>
    <n v="0"/>
    <n v="0"/>
    <n v="0"/>
    <n v="0"/>
    <n v="150"/>
    <n v="0"/>
    <n v="0"/>
    <n v="0"/>
    <n v="0"/>
    <n v="0"/>
    <n v="150"/>
    <n v="0"/>
    <n v="0"/>
    <n v="0"/>
    <n v="0"/>
    <n v="0"/>
    <n v="0"/>
    <n v="150"/>
    <n v="0"/>
    <n v="0"/>
    <n v="0"/>
    <n v="0"/>
    <n v="0"/>
    <n v="0"/>
    <n v="0"/>
    <n v="0"/>
    <n v="0"/>
    <n v="0"/>
    <n v="0"/>
    <n v="0"/>
    <n v="0"/>
    <n v="0"/>
    <n v="0"/>
    <n v="0"/>
    <n v="0"/>
    <n v="0"/>
    <n v="0"/>
    <n v="0"/>
    <n v="0"/>
    <n v="0"/>
    <n v="0"/>
    <n v="300"/>
    <n v="0"/>
    <n v="300"/>
    <n v="600"/>
  </r>
  <r>
    <x v="2"/>
    <x v="16"/>
    <s v="TI/SI"/>
    <s v="Álisson Costa"/>
    <s v="TI/SI"/>
    <s v="Álisson Costa"/>
    <s v="DGE"/>
    <s v="TI02817"/>
    <s v="TINV.17.D.042.RT"/>
    <s v="Análise e Desenvolvimento Sistema Retrocálculo"/>
    <s v="Contratação dos serviços de desenvolvimento nos ambientes SAP ECC e SAP CCS."/>
    <s v=" Atrasos nos procedimentos e processos das equipes nas áreas de negócio (engenharia e recursos humanos); Multas pelo não atendimento dos compromissos obrigatórios dentro do prazo esperado pelos agentes governamentais."/>
    <s v="-"/>
    <n v="599.97772216796875"/>
    <n v="0"/>
    <n v="0"/>
    <n v="0"/>
    <n v="0"/>
    <n v="599.97772216796875"/>
    <n v="0"/>
    <n v="0"/>
    <n v="0"/>
    <n v="0"/>
    <n v="0"/>
    <n v="0"/>
    <n v="0"/>
    <n v="0"/>
    <n v="0"/>
    <n v="0"/>
    <n v="0"/>
    <n v="0"/>
    <n v="0"/>
    <n v="0"/>
    <n v="0"/>
    <n v="0"/>
    <n v="0"/>
    <n v="0"/>
    <n v="0"/>
    <n v="0"/>
    <n v="0"/>
    <n v="0"/>
    <n v="0"/>
    <n v="0"/>
    <n v="0"/>
    <n v="0"/>
    <n v="0"/>
    <n v="0"/>
    <n v="0"/>
    <n v="0"/>
    <n v="0"/>
    <n v="0"/>
    <n v="0"/>
    <n v="0"/>
    <n v="0"/>
    <n v="0"/>
    <n v="0"/>
    <n v="0"/>
    <n v="0"/>
    <n v="0"/>
    <n v="0"/>
    <n v="0"/>
    <n v="0"/>
    <n v="0"/>
    <n v="0"/>
    <n v="0"/>
    <n v="0"/>
    <n v="0"/>
    <n v="0"/>
    <n v="0"/>
    <n v="0"/>
    <n v="0"/>
    <n v="599.97772216796875"/>
  </r>
  <r>
    <x v="2"/>
    <x v="16"/>
    <s v="TI/SI"/>
    <s v="Álisson Costa"/>
    <s v="TI/SI"/>
    <s v="Álisson Costa"/>
    <s v="DGE"/>
    <s v="NA"/>
    <s v="-"/>
    <s v="Sistema de Gestão de Leituras - SGL"/>
    <s v="Construção do módulo SGL-WEB"/>
    <m/>
    <s v="Postergação do desembolso para adequação da curva de investimento."/>
    <n v="0"/>
    <n v="0"/>
    <n v="0"/>
    <n v="0"/>
    <n v="0"/>
    <n v="0"/>
    <n v="0"/>
    <n v="0"/>
    <n v="0"/>
    <n v="0"/>
    <n v="0"/>
    <n v="0"/>
    <n v="0"/>
    <n v="0"/>
    <n v="0"/>
    <n v="0"/>
    <n v="0"/>
    <n v="0"/>
    <n v="0"/>
    <n v="0"/>
    <n v="0"/>
    <n v="20"/>
    <n v="0"/>
    <n v="0"/>
    <n v="20"/>
    <n v="0"/>
    <n v="30"/>
    <n v="0"/>
    <n v="30"/>
    <n v="30"/>
    <n v="50"/>
    <n v="180"/>
    <n v="0"/>
    <n v="0"/>
    <n v="20"/>
    <n v="0"/>
    <n v="0"/>
    <n v="20"/>
    <n v="0"/>
    <n v="30"/>
    <n v="0"/>
    <n v="30"/>
    <n v="25"/>
    <n v="50"/>
    <n v="175"/>
    <n v="0"/>
    <n v="0"/>
    <n v="20"/>
    <n v="30"/>
    <n v="0"/>
    <n v="20"/>
    <n v="0"/>
    <n v="30"/>
    <n v="0"/>
    <n v="0"/>
    <n v="25"/>
    <n v="50"/>
    <n v="175"/>
    <n v="530"/>
  </r>
  <r>
    <x v="2"/>
    <x v="16"/>
    <s v="TI/TC"/>
    <s v="Roberto Sebastião"/>
    <s v="TI/TC"/>
    <s v="Roberto Sebastião"/>
    <s v="DGE"/>
    <s v="NA"/>
    <s v="-"/>
    <s v="WildFire (Palo Alto)"/>
    <m/>
    <m/>
    <s v="Demanda incorporada à carteira, considerando remanejamento entre projetos."/>
    <n v="0"/>
    <n v="0"/>
    <n v="0"/>
    <n v="0"/>
    <n v="0"/>
    <n v="0"/>
    <n v="0"/>
    <n v="0"/>
    <n v="0"/>
    <n v="0"/>
    <n v="0"/>
    <n v="0"/>
    <n v="0"/>
    <n v="523"/>
    <n v="0"/>
    <n v="0"/>
    <n v="0"/>
    <n v="0"/>
    <n v="523"/>
    <n v="0"/>
    <n v="0"/>
    <n v="0"/>
    <n v="0"/>
    <n v="0"/>
    <n v="0"/>
    <n v="0"/>
    <n v="0"/>
    <n v="0"/>
    <n v="0"/>
    <n v="0"/>
    <n v="0"/>
    <n v="0"/>
    <n v="0"/>
    <n v="0"/>
    <n v="0"/>
    <n v="0"/>
    <n v="0"/>
    <n v="0"/>
    <n v="0"/>
    <n v="0"/>
    <n v="0"/>
    <n v="0"/>
    <n v="0"/>
    <n v="0"/>
    <n v="0"/>
    <m/>
    <m/>
    <m/>
    <m/>
    <m/>
    <m/>
    <m/>
    <m/>
    <m/>
    <m/>
    <m/>
    <m/>
    <n v="0"/>
    <n v="523"/>
  </r>
  <r>
    <x v="2"/>
    <x v="16"/>
    <s v="TI/TC"/>
    <s v="Roberto Sebastião"/>
    <s v="TI/TC"/>
    <s v="Roberto Sebastião"/>
    <s v="DGE"/>
    <s v="TI01218"/>
    <s v="TINV.18.D.054.GR"/>
    <s v="Renovação softwares de gerência de rede Cisco"/>
    <s v="Softwares de Gerência de Rede Prime, ISE, DHCP, IPAM, MSE, Provision, APIC-EM, Call manager Cisco"/>
    <s v="Riscos de indisponibilidade de Rede por falta de gerência das soluções adotadas."/>
    <s v="Revisão do escopo do projeto, conforme definições da estrutura de segurança e conectividade."/>
    <n v="0"/>
    <n v="0"/>
    <n v="0"/>
    <n v="0"/>
    <n v="0"/>
    <n v="0"/>
    <n v="0"/>
    <n v="0"/>
    <n v="221"/>
    <n v="58"/>
    <n v="0"/>
    <n v="0"/>
    <n v="0"/>
    <n v="0"/>
    <n v="0"/>
    <n v="0"/>
    <n v="0"/>
    <n v="0"/>
    <n v="279"/>
    <n v="0"/>
    <n v="0"/>
    <n v="193"/>
    <n v="36"/>
    <n v="0"/>
    <n v="0"/>
    <n v="0"/>
    <n v="0"/>
    <n v="0"/>
    <n v="0"/>
    <n v="0"/>
    <n v="0"/>
    <n v="229"/>
    <n v="0"/>
    <n v="0"/>
    <n v="0"/>
    <n v="0"/>
    <n v="0"/>
    <n v="0"/>
    <n v="0"/>
    <n v="0"/>
    <n v="0"/>
    <n v="0"/>
    <n v="0"/>
    <n v="0"/>
    <n v="0"/>
    <n v="0"/>
    <n v="0"/>
    <n v="0"/>
    <n v="0"/>
    <n v="0"/>
    <n v="0"/>
    <n v="0"/>
    <n v="0"/>
    <n v="0"/>
    <n v="0"/>
    <n v="0"/>
    <n v="0"/>
    <n v="0"/>
    <n v="508"/>
  </r>
  <r>
    <x v="2"/>
    <x v="16"/>
    <s v="TI/TC"/>
    <s v="Francisco Elson"/>
    <s v="TI/TC"/>
    <s v="Francisco Elson"/>
    <s v="DGE"/>
    <s v="NA"/>
    <s v="-"/>
    <s v="Aquisição de software específicos para estudos de enlace e cobertura"/>
    <s v="-"/>
    <s v="-"/>
    <s v="-"/>
    <n v="0"/>
    <n v="0"/>
    <n v="0"/>
    <n v="0"/>
    <n v="0"/>
    <n v="0"/>
    <n v="0"/>
    <n v="0"/>
    <n v="0"/>
    <n v="0"/>
    <n v="0"/>
    <n v="0"/>
    <n v="0"/>
    <n v="0"/>
    <n v="0"/>
    <n v="0"/>
    <n v="250"/>
    <n v="0"/>
    <n v="250"/>
    <n v="0"/>
    <n v="0"/>
    <n v="0"/>
    <n v="0"/>
    <n v="0"/>
    <n v="0"/>
    <n v="0"/>
    <n v="0"/>
    <n v="0"/>
    <n v="0"/>
    <n v="250"/>
    <n v="0"/>
    <n v="250"/>
    <n v="0"/>
    <n v="0"/>
    <n v="0"/>
    <n v="0"/>
    <n v="0"/>
    <n v="0"/>
    <n v="0"/>
    <n v="0"/>
    <n v="0"/>
    <n v="0"/>
    <n v="0"/>
    <n v="0"/>
    <n v="0"/>
    <n v="0"/>
    <n v="0"/>
    <n v="0"/>
    <n v="0"/>
    <n v="0"/>
    <n v="0"/>
    <n v="0"/>
    <n v="0"/>
    <n v="0"/>
    <n v="0"/>
    <n v="0"/>
    <n v="0"/>
    <n v="0"/>
    <n v="500"/>
  </r>
  <r>
    <x v="2"/>
    <x v="16"/>
    <s v="TI/TC"/>
    <s v="Roberto Sebastião"/>
    <s v="TI/TC"/>
    <s v="Roberto Sebastião"/>
    <s v="DDC"/>
    <s v="TI05418"/>
    <s v="TINV.18.D.054.DM"/>
    <s v="Readequações DMZs"/>
    <s v="Aquisição de solução e ativos de Rede IP para reestruturação das DMZs das redes Corporativa e Operativa da Cemig; Atualização tecnológica da solução, que garante segmentação de redes para prover segurança contra ataques cibernéticos."/>
    <s v="Indisponibilidade de sistemas críticos, provocada por ataques cibernéticos; Indisponibilidade de sistemas críticos, provocada porfalhas em equipamentos desatualizados e sem suporte do fabricante; Roubo de informações críticas em decorrência de ataques cibernéticos."/>
    <s v="Revisão de escopo. Antecipação de desembolso em virtude de requisito de segurança de rede."/>
    <n v="0"/>
    <n v="0"/>
    <n v="60"/>
    <n v="440"/>
    <n v="0"/>
    <n v="500"/>
    <n v="0"/>
    <n v="0"/>
    <n v="0"/>
    <n v="0"/>
    <n v="0"/>
    <n v="0"/>
    <n v="0"/>
    <n v="0"/>
    <n v="0"/>
    <n v="0"/>
    <n v="0"/>
    <n v="0"/>
    <n v="0"/>
    <n v="0"/>
    <n v="0"/>
    <n v="0"/>
    <n v="0"/>
    <n v="0"/>
    <n v="0"/>
    <n v="0"/>
    <n v="0"/>
    <n v="0"/>
    <n v="0"/>
    <n v="0"/>
    <n v="0"/>
    <n v="0"/>
    <n v="0"/>
    <n v="0"/>
    <n v="0"/>
    <n v="0"/>
    <n v="0"/>
    <n v="0"/>
    <n v="0"/>
    <n v="0"/>
    <n v="0"/>
    <n v="0"/>
    <n v="0"/>
    <n v="0"/>
    <n v="0"/>
    <n v="0"/>
    <n v="0"/>
    <n v="0"/>
    <n v="0"/>
    <n v="0"/>
    <n v="0"/>
    <n v="0"/>
    <n v="0"/>
    <n v="0"/>
    <n v="0"/>
    <n v="0"/>
    <n v="0"/>
    <n v="0"/>
    <n v="500"/>
  </r>
  <r>
    <x v="2"/>
    <x v="16"/>
    <s v="TI/SI"/>
    <s v="Álisson Costa"/>
    <s v="TI/SI"/>
    <s v="Álisson Costa"/>
    <s v="DGE"/>
    <s v="NA"/>
    <s v="-"/>
    <s v="Revisão simplificada do SGO"/>
    <s v="Este projeto atende a demanda para a revisão do Sistema de Gestão de Obras – SGO, que requer melhorias evolutivas desde sua implantação."/>
    <s v="Dificuldade para a gestão das obras e empreendimentos da Distribuidora; em ausência de uma revisão na modelagem de dados do sistema atual; e em baixa performance da customização, com geração de relatórios de análise inadequados. "/>
    <s v="Postergação do desembolso para adequação da curva de investimento."/>
    <n v="0"/>
    <n v="0"/>
    <n v="0"/>
    <n v="0"/>
    <n v="0"/>
    <n v="0"/>
    <n v="0"/>
    <n v="0"/>
    <n v="0"/>
    <n v="0"/>
    <n v="0"/>
    <n v="0"/>
    <n v="0"/>
    <n v="0"/>
    <n v="0"/>
    <n v="0"/>
    <n v="0"/>
    <n v="0"/>
    <n v="0"/>
    <n v="0"/>
    <n v="0"/>
    <n v="0"/>
    <n v="0"/>
    <n v="0"/>
    <n v="0"/>
    <n v="0"/>
    <n v="50"/>
    <n v="0"/>
    <n v="0"/>
    <n v="50"/>
    <n v="150"/>
    <n v="250"/>
    <n v="0"/>
    <n v="0"/>
    <n v="0"/>
    <n v="0"/>
    <n v="0"/>
    <n v="0"/>
    <n v="0"/>
    <n v="50"/>
    <n v="0"/>
    <n v="0"/>
    <n v="50"/>
    <n v="150"/>
    <n v="250"/>
    <n v="0"/>
    <n v="0"/>
    <n v="0"/>
    <n v="0"/>
    <n v="0"/>
    <n v="0"/>
    <n v="0"/>
    <n v="0"/>
    <n v="0"/>
    <n v="0"/>
    <n v="0"/>
    <n v="0"/>
    <n v="0"/>
    <n v="500"/>
  </r>
  <r>
    <x v="2"/>
    <x v="16"/>
    <s v="TI/SI"/>
    <s v="Álisson Costa"/>
    <s v="AD/AD"/>
    <s v="Paulo Cesar Soares"/>
    <s v="DDC"/>
    <s v="NA"/>
    <s v="-"/>
    <s v="Sistema de gestão e monitoramento  da integração de comunicação do sistema SCADA"/>
    <s v="Aquisição de sistema de gestão e monitoramento  da integração de comunicação do sistema SCADA"/>
    <s v=" Elevação da indisponibilidade do telecontrole das SEs com forte impacto na operação do sistema elétrico e  degradação dos indicadores de qualidade, dentre eles o DEC. "/>
    <s v="Postergação do desembolso para adequação da curva de investimento."/>
    <n v="0"/>
    <n v="0"/>
    <n v="0"/>
    <n v="0"/>
    <n v="0"/>
    <n v="0"/>
    <n v="0"/>
    <n v="0"/>
    <n v="0"/>
    <n v="0"/>
    <n v="0"/>
    <n v="300"/>
    <n v="0"/>
    <n v="0"/>
    <n v="0"/>
    <n v="0"/>
    <n v="0"/>
    <n v="200"/>
    <n v="500"/>
    <n v="0"/>
    <n v="0"/>
    <n v="0"/>
    <n v="0"/>
    <n v="0"/>
    <n v="0"/>
    <n v="0"/>
    <n v="0"/>
    <n v="0"/>
    <n v="0"/>
    <n v="0"/>
    <n v="0"/>
    <n v="0"/>
    <n v="0"/>
    <n v="0"/>
    <n v="0"/>
    <n v="0"/>
    <n v="0"/>
    <n v="0"/>
    <n v="0"/>
    <n v="0"/>
    <n v="0"/>
    <n v="0"/>
    <n v="0"/>
    <n v="0"/>
    <n v="0"/>
    <n v="0"/>
    <n v="0"/>
    <n v="0"/>
    <n v="0"/>
    <n v="0"/>
    <n v="0"/>
    <n v="0"/>
    <n v="0"/>
    <n v="0"/>
    <n v="0"/>
    <n v="0"/>
    <n v="0"/>
    <n v="0"/>
    <n v="500"/>
  </r>
  <r>
    <x v="2"/>
    <x v="16"/>
    <s v="TI/SI"/>
    <s v="Álisson Costa"/>
    <s v="TI, PS e MS"/>
    <s v="Leandro Corrêa de Castro - PS/ES"/>
    <s v="DGE"/>
    <s v="NA"/>
    <m/>
    <s v="Software: Gestão de Suprimentos - ARIBA"/>
    <m/>
    <m/>
    <m/>
    <n v="0"/>
    <n v="0"/>
    <n v="0"/>
    <n v="0"/>
    <n v="100"/>
    <n v="100"/>
    <n v="0"/>
    <n v="0"/>
    <n v="50"/>
    <n v="0"/>
    <n v="0"/>
    <n v="75"/>
    <n v="0"/>
    <n v="0"/>
    <n v="75"/>
    <n v="0"/>
    <n v="0"/>
    <n v="0"/>
    <n v="200"/>
    <n v="0"/>
    <n v="50"/>
    <n v="0"/>
    <n v="50"/>
    <n v="0"/>
    <n v="50"/>
    <n v="0"/>
    <n v="50"/>
    <n v="0"/>
    <n v="0"/>
    <n v="0"/>
    <n v="0"/>
    <n v="200"/>
    <n v="0"/>
    <n v="0"/>
    <n v="0"/>
    <n v="0"/>
    <n v="0"/>
    <n v="0"/>
    <n v="0"/>
    <n v="0"/>
    <n v="0"/>
    <n v="0"/>
    <n v="0"/>
    <n v="0"/>
    <n v="0"/>
    <n v="0"/>
    <n v="0"/>
    <n v="0"/>
    <n v="0"/>
    <n v="0"/>
    <n v="0"/>
    <n v="0"/>
    <n v="0"/>
    <n v="0"/>
    <n v="0"/>
    <n v="0"/>
    <n v="0"/>
    <n v="0"/>
    <n v="500"/>
  </r>
  <r>
    <x v="2"/>
    <x v="16"/>
    <s v="TI/SI"/>
    <s v="Álisson Costa"/>
    <s v="AD/AD"/>
    <s v="Amantino Alves da Costa"/>
    <s v="DDC"/>
    <s v="TI07518"/>
    <s v="-"/>
    <s v="Sistema Nix"/>
    <s v="Aquisição e implantação de sistema Solução Inteligente para Estudos de Proteção de Sistemas de Distribuição de Energia Elétrica"/>
    <s v="A Cemig tem plano de investimento nos próximos anos para aplicação  de religadores em cumprimento a ações pactuadas no Plano de Resultados da Aneel visando melhoria do DEC. O não atendimento das  ações pode acarretar penalizações com reflexo inclusive no contrato de concessão"/>
    <s v="-"/>
    <n v="0"/>
    <n v="0"/>
    <n v="485"/>
    <n v="0"/>
    <n v="0"/>
    <n v="485"/>
    <n v="0"/>
    <n v="0"/>
    <n v="0"/>
    <n v="0"/>
    <n v="0"/>
    <n v="0"/>
    <n v="0"/>
    <n v="0"/>
    <n v="0"/>
    <n v="0"/>
    <n v="0"/>
    <n v="0"/>
    <n v="0"/>
    <n v="0"/>
    <n v="0"/>
    <n v="0"/>
    <n v="0"/>
    <n v="0"/>
    <n v="0"/>
    <n v="0"/>
    <n v="0"/>
    <n v="0"/>
    <n v="0"/>
    <n v="0"/>
    <n v="0"/>
    <n v="0"/>
    <n v="0"/>
    <n v="0"/>
    <n v="0"/>
    <n v="0"/>
    <n v="0"/>
    <n v="0"/>
    <n v="0"/>
    <n v="0"/>
    <n v="0"/>
    <n v="0"/>
    <n v="0"/>
    <n v="0"/>
    <n v="0"/>
    <n v="0"/>
    <n v="0"/>
    <n v="0"/>
    <n v="0"/>
    <n v="0"/>
    <n v="0"/>
    <n v="0"/>
    <n v="0"/>
    <n v="0"/>
    <n v="0"/>
    <n v="0"/>
    <n v="0"/>
    <n v="0"/>
    <n v="485"/>
  </r>
  <r>
    <x v="2"/>
    <x v="16"/>
    <s v="TI/SI"/>
    <s v="Álisson Costa"/>
    <s v="TI/SI"/>
    <s v="Álisson Costa"/>
    <s v="DGE"/>
    <s v="TI06218"/>
    <s v="TINV.18.D.042.PC"/>
    <s v="Evolução Portal Cemig (Sharepoint)"/>
    <s v="Reconstrução do Portal Cemig na internet"/>
    <s v="Diminuição do acesso ao site da empresa na internet; Time out nas solicitações para processamento das informações."/>
    <s v="Demanda incorporada à carteira, considerando remanejamento entre projetos."/>
    <n v="0"/>
    <n v="0"/>
    <n v="0"/>
    <n v="0"/>
    <n v="0"/>
    <n v="0"/>
    <n v="23.965199999999999"/>
    <n v="23.965199999999999"/>
    <n v="23.965199999999999"/>
    <n v="23.965199999999999"/>
    <n v="23.965199999999999"/>
    <n v="23.965199999999999"/>
    <n v="23.965199999999999"/>
    <n v="23.965199999999999"/>
    <n v="23.965199999999999"/>
    <n v="23.965199999999999"/>
    <n v="23.965199999999999"/>
    <n v="27.3888"/>
    <n v="291.00600000000003"/>
    <n v="29.956499999999998"/>
    <n v="29.956499999999998"/>
    <n v="29.956499999999998"/>
    <n v="29.956499999999998"/>
    <n v="29.956499999999998"/>
    <n v="29.956499999999998"/>
    <n v="0"/>
    <n v="0"/>
    <n v="0"/>
    <n v="0"/>
    <n v="0"/>
    <n v="0"/>
    <n v="179.739"/>
    <n v="0"/>
    <n v="0"/>
    <n v="0"/>
    <n v="0"/>
    <n v="0"/>
    <n v="0"/>
    <n v="0"/>
    <n v="0"/>
    <n v="0"/>
    <n v="0"/>
    <n v="0"/>
    <n v="0"/>
    <n v="0"/>
    <n v="0"/>
    <n v="0"/>
    <n v="0"/>
    <n v="0"/>
    <n v="0"/>
    <n v="0"/>
    <n v="0"/>
    <n v="0"/>
    <n v="0"/>
    <n v="0"/>
    <n v="0"/>
    <n v="0"/>
    <n v="0"/>
    <n v="470.745"/>
  </r>
  <r>
    <x v="2"/>
    <x v="16"/>
    <s v="TI/SI"/>
    <s v="Álisson Costa"/>
    <s v="GR/PC"/>
    <s v="Sant Clair"/>
    <s v="DGE"/>
    <s v="TI08218"/>
    <m/>
    <s v="Evolução do Sistema MECE - Centro de Medição"/>
    <m/>
    <m/>
    <m/>
    <n v="0"/>
    <n v="0"/>
    <n v="0"/>
    <n v="50"/>
    <n v="65"/>
    <n v="115"/>
    <n v="0"/>
    <n v="25"/>
    <n v="0"/>
    <n v="25"/>
    <n v="50"/>
    <n v="0"/>
    <n v="0"/>
    <n v="25"/>
    <n v="25"/>
    <n v="25"/>
    <n v="25"/>
    <n v="29"/>
    <n v="229"/>
    <n v="50"/>
    <n v="65"/>
    <n v="0"/>
    <n v="0"/>
    <n v="0"/>
    <n v="0"/>
    <n v="0"/>
    <n v="0"/>
    <n v="0"/>
    <n v="0"/>
    <n v="0"/>
    <n v="0"/>
    <n v="115"/>
    <m/>
    <m/>
    <m/>
    <m/>
    <m/>
    <m/>
    <m/>
    <m/>
    <m/>
    <m/>
    <m/>
    <m/>
    <n v="0"/>
    <m/>
    <m/>
    <m/>
    <m/>
    <m/>
    <m/>
    <m/>
    <m/>
    <m/>
    <m/>
    <m/>
    <m/>
    <n v="0"/>
    <n v="459"/>
  </r>
  <r>
    <x v="2"/>
    <x v="16"/>
    <s v="TI/SI"/>
    <s v="Roberto Proença"/>
    <s v="TI/SI"/>
    <s v="Roberto Proença"/>
    <s v="DGE"/>
    <s v="TI02516"/>
    <s v="TINV.16.D.042.GA"/>
    <s v="Sistema de Gestão de Árvores - GDIS AR"/>
    <s v="Adequação do GeoArvores e adequação à arquitetura GDIS em novo módulo integrado. Construção do processo de inspeção de árvores com registro de podas e limpeza de faixa, manutenção dos dados de árvores, incorporação do P&amp;D509, integração com o processo de manutenção."/>
    <s v="Não efetuar gestão e priorização de podas e limpezas de faixa de maneira eficiente incorrendo em riscos de utilização de orçamento disponível de forma empírica e pouco eficaz."/>
    <s v="-"/>
    <n v="0"/>
    <n v="0"/>
    <n v="50"/>
    <n v="175"/>
    <n v="224"/>
    <n v="449"/>
    <n v="0"/>
    <n v="0"/>
    <n v="0"/>
    <n v="0"/>
    <n v="0"/>
    <n v="0"/>
    <n v="0"/>
    <n v="0"/>
    <n v="0"/>
    <n v="0"/>
    <n v="0"/>
    <n v="0"/>
    <n v="0"/>
    <n v="0"/>
    <n v="0"/>
    <n v="0"/>
    <n v="0"/>
    <n v="0"/>
    <n v="0"/>
    <n v="0"/>
    <n v="0"/>
    <n v="0"/>
    <n v="0"/>
    <n v="0"/>
    <n v="0"/>
    <n v="0"/>
    <n v="0"/>
    <n v="0"/>
    <n v="0"/>
    <n v="0"/>
    <n v="0"/>
    <n v="0"/>
    <n v="0"/>
    <n v="0"/>
    <n v="0"/>
    <n v="0"/>
    <n v="0"/>
    <n v="0"/>
    <n v="0"/>
    <n v="0"/>
    <n v="0"/>
    <n v="0"/>
    <n v="0"/>
    <n v="0"/>
    <n v="0"/>
    <n v="0"/>
    <n v="0"/>
    <n v="0"/>
    <n v="0"/>
    <n v="0"/>
    <n v="0"/>
    <n v="0"/>
    <n v="449"/>
  </r>
  <r>
    <x v="2"/>
    <x v="16"/>
    <s v="TI/SI"/>
    <s v="Álisson Costa"/>
    <s v="TI/SI"/>
    <s v="Álisson Costa"/>
    <s v="DGE"/>
    <s v="TI03617"/>
    <s v="TINV.17.D.042.RP"/>
    <s v="Desenvolvimento do Sistema de Recuperação de Perdas Comerciais"/>
    <s v="Construção de um sistema para a prevenção e recuperação de perdas comerciais."/>
    <s v="Crescimento das perdas comerciais que impactam a receita; Diminuição da arrecadação."/>
    <s v="-"/>
    <n v="110.67523956298828"/>
    <n v="30"/>
    <n v="30"/>
    <n v="31.8"/>
    <n v="44.724759829101572"/>
    <n v="247.19999939208986"/>
    <n v="0"/>
    <n v="0"/>
    <n v="92.7"/>
    <n v="0"/>
    <n v="0"/>
    <n v="92.7"/>
    <n v="0"/>
    <n v="0"/>
    <n v="0"/>
    <n v="0"/>
    <n v="0"/>
    <n v="0"/>
    <n v="185.4"/>
    <n v="0"/>
    <n v="0"/>
    <n v="0"/>
    <n v="0"/>
    <n v="0"/>
    <n v="0"/>
    <n v="0"/>
    <n v="0"/>
    <n v="0"/>
    <n v="0"/>
    <n v="0"/>
    <n v="0"/>
    <n v="0"/>
    <n v="0"/>
    <n v="0"/>
    <n v="0"/>
    <n v="0"/>
    <n v="0"/>
    <n v="0"/>
    <n v="0"/>
    <n v="0"/>
    <n v="0"/>
    <n v="0"/>
    <n v="0"/>
    <n v="0"/>
    <n v="0"/>
    <n v="0"/>
    <n v="0"/>
    <n v="0"/>
    <n v="0"/>
    <n v="0"/>
    <n v="0"/>
    <n v="0"/>
    <n v="0"/>
    <n v="0"/>
    <n v="0"/>
    <n v="0"/>
    <n v="0"/>
    <n v="0"/>
    <n v="432.5999993920899"/>
  </r>
  <r>
    <x v="2"/>
    <x v="16"/>
    <s v="TI/SI"/>
    <s v="Álisson Costa"/>
    <s v="TI/SI"/>
    <s v="Álisson Costa"/>
    <s v="DGE"/>
    <s v="TI03317"/>
    <s v="TINV.17.D.042.DR"/>
    <s v="Novo Sistema de Controle de Documentos Regulatórios"/>
    <s v="Substituição do sistema Condor - Controle de Documentos Regulatórios."/>
    <s v="Ocorrência de falhas na operação e na gestão do sistema; Impacto no processo de envio e recepção de documentos."/>
    <s v="-"/>
    <n v="108.51967239379883"/>
    <n v="26"/>
    <n v="0"/>
    <n v="39"/>
    <n v="0"/>
    <n v="173.51967239379883"/>
    <n v="14"/>
    <n v="0"/>
    <n v="20"/>
    <n v="15"/>
    <n v="15"/>
    <n v="30"/>
    <n v="30"/>
    <n v="20"/>
    <n v="20"/>
    <n v="20"/>
    <n v="20"/>
    <n v="24"/>
    <n v="228"/>
    <n v="0"/>
    <n v="0"/>
    <n v="0"/>
    <n v="0"/>
    <n v="0"/>
    <n v="0"/>
    <n v="0"/>
    <n v="0"/>
    <n v="0"/>
    <n v="0"/>
    <n v="0"/>
    <n v="0"/>
    <n v="0"/>
    <n v="0"/>
    <n v="0"/>
    <n v="0"/>
    <n v="0"/>
    <n v="0"/>
    <n v="0"/>
    <n v="0"/>
    <n v="0"/>
    <n v="0"/>
    <n v="0"/>
    <n v="0"/>
    <n v="0"/>
    <n v="0"/>
    <n v="0"/>
    <n v="0"/>
    <n v="0"/>
    <n v="0"/>
    <n v="0"/>
    <n v="0"/>
    <n v="0"/>
    <n v="0"/>
    <n v="0"/>
    <n v="0"/>
    <n v="0"/>
    <n v="0"/>
    <n v="0"/>
    <n v="401.51967239379883"/>
  </r>
  <r>
    <x v="2"/>
    <x v="16"/>
    <s v="TI/SI"/>
    <s v="Álisson Costa"/>
    <s v="TI/SI"/>
    <s v="Álisson Costa"/>
    <s v="DGE"/>
    <s v="NA"/>
    <s v="-"/>
    <s v="Aquisição de Licenças QlikView"/>
    <s v="Aquisição de novas licenças do softare de painéis de informação - QlikView"/>
    <s v="Falta de licenças para atendimento das áreas solicitantes de painéis de informação."/>
    <s v="Revisão do escopo do projeto, com postergação do desembolso conforme cronograma de execução."/>
    <n v="0"/>
    <n v="0"/>
    <n v="0"/>
    <n v="0"/>
    <n v="0"/>
    <n v="0"/>
    <n v="0"/>
    <n v="0"/>
    <n v="0"/>
    <n v="0"/>
    <n v="0"/>
    <n v="0"/>
    <n v="0"/>
    <n v="0"/>
    <n v="0"/>
    <n v="0"/>
    <n v="0"/>
    <n v="0"/>
    <n v="0"/>
    <n v="0"/>
    <n v="0"/>
    <n v="0"/>
    <n v="0"/>
    <n v="0"/>
    <n v="0"/>
    <n v="200"/>
    <n v="0"/>
    <n v="0"/>
    <n v="0"/>
    <n v="0"/>
    <n v="0"/>
    <n v="200"/>
    <n v="0"/>
    <n v="0"/>
    <n v="0"/>
    <n v="0"/>
    <n v="0"/>
    <n v="0"/>
    <n v="200"/>
    <n v="0"/>
    <n v="0"/>
    <n v="0"/>
    <n v="0"/>
    <n v="0"/>
    <n v="200"/>
    <n v="0"/>
    <n v="0"/>
    <n v="0"/>
    <n v="0"/>
    <n v="0"/>
    <n v="0"/>
    <n v="0"/>
    <n v="0"/>
    <n v="0"/>
    <n v="0"/>
    <n v="0"/>
    <n v="0"/>
    <n v="0"/>
    <n v="400"/>
  </r>
  <r>
    <x v="2"/>
    <x v="16"/>
    <s v="TI/SI"/>
    <s v="Álisson Costa"/>
    <s v="TI/SI"/>
    <s v="Álisson Costa"/>
    <s v="DGE"/>
    <s v="NA"/>
    <s v="-"/>
    <s v="Upgrade do ION ENTERPRISE"/>
    <s v="Atualização de versão do sistema de gestão de medição de fronteira."/>
    <m/>
    <s v="Antecipação do desembolso, conforme necessidade do sistema pela área usuária."/>
    <n v="0"/>
    <n v="0"/>
    <n v="0"/>
    <n v="0"/>
    <n v="0"/>
    <n v="0"/>
    <n v="400"/>
    <n v="0"/>
    <n v="0"/>
    <n v="0"/>
    <n v="0"/>
    <n v="0"/>
    <n v="0"/>
    <n v="0"/>
    <n v="0"/>
    <n v="0"/>
    <n v="0"/>
    <n v="0"/>
    <n v="400"/>
    <n v="0"/>
    <n v="0"/>
    <n v="0"/>
    <n v="0"/>
    <n v="0"/>
    <n v="0"/>
    <n v="0"/>
    <n v="0"/>
    <n v="0"/>
    <n v="0"/>
    <n v="0"/>
    <n v="0"/>
    <n v="0"/>
    <n v="0"/>
    <n v="0"/>
    <n v="0"/>
    <n v="0"/>
    <n v="0"/>
    <n v="0"/>
    <n v="0"/>
    <n v="0"/>
    <n v="0"/>
    <n v="0"/>
    <n v="0"/>
    <n v="0"/>
    <n v="0"/>
    <n v="0"/>
    <n v="0"/>
    <n v="0"/>
    <n v="0"/>
    <n v="0"/>
    <n v="0"/>
    <n v="0"/>
    <n v="0"/>
    <n v="0"/>
    <n v="0"/>
    <n v="0"/>
    <n v="0"/>
    <n v="0"/>
    <n v="400"/>
  </r>
  <r>
    <x v="2"/>
    <x v="16"/>
    <s v="TI/SI"/>
    <s v="Álisson Costa"/>
    <s v="AD/AD"/>
    <s v="Flavio Henrique M. Vieira"/>
    <s v="DDC"/>
    <s v="NA"/>
    <s v="-"/>
    <s v="Integração em ambiente de produção do sistema Landis+GYr do projeto  Cidades do Futuro (P&amp;D 423) visando disponibilizar funções de leitura e corte/religa automatizados "/>
    <s v="Existe necessidade de investimento para desenvolvimento de integrações com o sistema MECE e SAP/CCS para   automatização da leitura dos medidores e de corte/religa"/>
    <s v="O sistema instalado em campo com +/_ 3.500 UC de BT sem ainda possibilidade de  utilização de todas suas funcionalidades. A não execução acarretaria em não redução de despesas leitura (30 mil/ano), corte/religa (projeção de 12 mil/ano) e incremento de receita com recuperação da inadimplência mais ganhos intangíveis com automatização e disponibilização de dados de on-line para os processos internos."/>
    <s v="Postergação do desembolso para adequação da curva de investimento."/>
    <n v="0"/>
    <n v="0"/>
    <n v="0"/>
    <n v="0"/>
    <n v="0"/>
    <n v="0"/>
    <n v="0"/>
    <n v="0"/>
    <n v="0"/>
    <n v="190"/>
    <n v="0"/>
    <n v="190"/>
    <n v="0"/>
    <n v="0"/>
    <n v="0"/>
    <n v="0"/>
    <n v="0"/>
    <n v="0"/>
    <n v="380"/>
    <n v="0"/>
    <n v="0"/>
    <n v="0"/>
    <n v="0"/>
    <n v="0"/>
    <n v="0"/>
    <n v="0"/>
    <n v="0"/>
    <n v="0"/>
    <n v="0"/>
    <n v="0"/>
    <n v="0"/>
    <n v="0"/>
    <n v="0"/>
    <n v="0"/>
    <n v="0"/>
    <n v="0"/>
    <n v="0"/>
    <n v="0"/>
    <n v="0"/>
    <n v="0"/>
    <n v="0"/>
    <n v="0"/>
    <n v="0"/>
    <n v="0"/>
    <n v="0"/>
    <n v="0"/>
    <n v="0"/>
    <n v="0"/>
    <n v="0"/>
    <n v="0"/>
    <n v="0"/>
    <n v="0"/>
    <n v="0"/>
    <n v="0"/>
    <n v="0"/>
    <n v="0"/>
    <n v="0"/>
    <n v="0"/>
    <n v="380"/>
  </r>
  <r>
    <x v="2"/>
    <x v="16"/>
    <s v="TI/SI"/>
    <s v="Álisson Costa"/>
    <s v="TI, PS e MS"/>
    <s v="Leandro Corrêa de Castro - PS/ES"/>
    <s v="DGE"/>
    <s v="NA"/>
    <s v="-"/>
    <s v="Software: Banco de Preço e Inteligência em Compras"/>
    <s v="Imprementar a Assinatura Digital para o processo de Suprimentos"/>
    <s v="Continuar com os processos de contratação morosos, com assinatura física de documentos, impressão e altos custos com os Correios."/>
    <s v="Revisão do escopo do projeto, com postergação do desembolso conforme cronograma de execução."/>
    <n v="0"/>
    <n v="0"/>
    <n v="0"/>
    <n v="40"/>
    <n v="40"/>
    <n v="80"/>
    <n v="0"/>
    <n v="0"/>
    <n v="30"/>
    <n v="0"/>
    <n v="15"/>
    <n v="30"/>
    <n v="0"/>
    <n v="15"/>
    <n v="30"/>
    <n v="0"/>
    <n v="0"/>
    <n v="30"/>
    <n v="150"/>
    <n v="0"/>
    <n v="25"/>
    <n v="0"/>
    <n v="25"/>
    <n v="0"/>
    <n v="50"/>
    <n v="0"/>
    <n v="0"/>
    <n v="25"/>
    <n v="0"/>
    <n v="0"/>
    <n v="25"/>
    <n v="150"/>
    <n v="0"/>
    <n v="0"/>
    <n v="0"/>
    <n v="0"/>
    <n v="0"/>
    <n v="0"/>
    <n v="0"/>
    <n v="0"/>
    <n v="0"/>
    <n v="0"/>
    <n v="0"/>
    <n v="0"/>
    <n v="0"/>
    <n v="0"/>
    <n v="0"/>
    <n v="0"/>
    <n v="0"/>
    <n v="0"/>
    <n v="0"/>
    <n v="0"/>
    <n v="0"/>
    <n v="0"/>
    <n v="0"/>
    <n v="0"/>
    <n v="0"/>
    <n v="0"/>
    <n v="380"/>
  </r>
  <r>
    <x v="2"/>
    <x v="16"/>
    <s v="TI/SI"/>
    <s v="Roberto Proença"/>
    <s v="CD/GI"/>
    <s v="Luiz Augusto Costa"/>
    <s v="DDC"/>
    <s v="TI05718"/>
    <s v="TINV.18.D.042.CI"/>
    <s v="Projeto Compartilhamento de Infraestrutura (antigo Projeto Uso Mútuo)"/>
    <s v="Solução para gestão do compartilhamento de infraestrutura entre distribuidoras e prestadoras de serviços de telecomunicações; Criar uma ferramenta computacional que ofereça suporte geográfico para gestão do compartilhamento de infraestrutura; Integrar diversas soluções utilizadas para gestão do compartilhamento de infraestrutura; Atender obrigação regulatória de disponibilizar dados georreferenciados das infraestruturas disponíveis para compartilhamento (RC004/2014)."/>
    <s v="Risco regulatório por não atendimento da resolução (RC004/2014); Perda de oportunidade de melhoria da base cadastral de compartilhamento de infraestrutura; Possível perda de receita devido falta de ferramentas para gestão do compartilhamento de infraestrutura."/>
    <s v="Revisão do escopo do projeto, com postergação do desembolso conforme cronograma de execução."/>
    <n v="0"/>
    <n v="0"/>
    <n v="0"/>
    <n v="60"/>
    <n v="60"/>
    <n v="120"/>
    <n v="60"/>
    <n v="60"/>
    <n v="60"/>
    <n v="60"/>
    <n v="0"/>
    <n v="0"/>
    <n v="0"/>
    <n v="0"/>
    <n v="0"/>
    <n v="0"/>
    <n v="0"/>
    <n v="0"/>
    <n v="240"/>
    <n v="0"/>
    <n v="0"/>
    <n v="0"/>
    <n v="0"/>
    <n v="0"/>
    <n v="0"/>
    <n v="0"/>
    <n v="0"/>
    <n v="0"/>
    <n v="0"/>
    <n v="0"/>
    <n v="0"/>
    <n v="0"/>
    <n v="0"/>
    <n v="0"/>
    <n v="0"/>
    <n v="0"/>
    <n v="0"/>
    <n v="0"/>
    <n v="0"/>
    <n v="0"/>
    <n v="0"/>
    <n v="0"/>
    <n v="0"/>
    <n v="0"/>
    <n v="0"/>
    <n v="0"/>
    <n v="0"/>
    <n v="0"/>
    <n v="0"/>
    <n v="0"/>
    <n v="0"/>
    <n v="0"/>
    <n v="0"/>
    <n v="0"/>
    <n v="0"/>
    <n v="0"/>
    <n v="0"/>
    <n v="0"/>
    <n v="360"/>
  </r>
  <r>
    <x v="2"/>
    <x v="16"/>
    <s v="TI/SI"/>
    <s v="Álisson Costa"/>
    <s v="AD/AD"/>
    <s v="Paulo Cesar Soares"/>
    <s v="DDC"/>
    <s v="NA"/>
    <s v="-"/>
    <s v="SADNET"/>
    <s v="Aquisição e implantação de Sistema de coleta, tratamento de registros oscilográficos e localização de faltas em subestações, linhas e redes de distribuição"/>
    <s v="Não redução do custos de Opex com serviço de campo para  análise e localização de faltas e ocorrências no SEP. Degradação dos indicadores de qualidade, dentre eles o DEC"/>
    <s v="Postergação do desembolso para adequação da curva de investimento."/>
    <n v="0"/>
    <n v="0"/>
    <n v="0"/>
    <n v="0"/>
    <n v="0"/>
    <n v="0"/>
    <n v="0"/>
    <n v="0"/>
    <n v="0"/>
    <n v="200"/>
    <n v="0"/>
    <n v="150"/>
    <n v="0"/>
    <n v="0"/>
    <n v="0"/>
    <n v="0"/>
    <n v="0"/>
    <n v="0"/>
    <n v="350"/>
    <n v="0"/>
    <n v="0"/>
    <n v="0"/>
    <n v="0"/>
    <n v="0"/>
    <n v="0"/>
    <n v="0"/>
    <n v="0"/>
    <n v="0"/>
    <n v="0"/>
    <n v="0"/>
    <n v="0"/>
    <n v="0"/>
    <n v="0"/>
    <n v="0"/>
    <n v="0"/>
    <n v="0"/>
    <n v="0"/>
    <n v="0"/>
    <n v="0"/>
    <n v="0"/>
    <n v="0"/>
    <n v="0"/>
    <n v="0"/>
    <n v="0"/>
    <n v="0"/>
    <n v="0"/>
    <n v="0"/>
    <n v="0"/>
    <n v="0"/>
    <n v="0"/>
    <n v="0"/>
    <n v="0"/>
    <n v="0"/>
    <n v="0"/>
    <n v="0"/>
    <n v="0"/>
    <n v="0"/>
    <n v="0"/>
    <n v="350"/>
  </r>
  <r>
    <x v="2"/>
    <x v="16"/>
    <s v="TI/SI"/>
    <s v="Álisson Costa"/>
    <s v="TI/SI"/>
    <s v="Álisson Costa"/>
    <s v="DGE"/>
    <s v="NA"/>
    <s v="-"/>
    <s v="Migração para NFE de Entrada"/>
    <s v="Adequação do SAP para emissão de NFE de Entrada"/>
    <s v="Falha nas retenções de impostos e tarifas."/>
    <s v="Postergação do desembolso para adequação da curva de investimento."/>
    <n v="0"/>
    <n v="0"/>
    <n v="0"/>
    <n v="0"/>
    <n v="0"/>
    <n v="0"/>
    <n v="0"/>
    <n v="0"/>
    <n v="0"/>
    <n v="0"/>
    <n v="0"/>
    <n v="0"/>
    <n v="0"/>
    <n v="0"/>
    <n v="0"/>
    <n v="0"/>
    <n v="0"/>
    <n v="0"/>
    <n v="0"/>
    <n v="0"/>
    <n v="0"/>
    <n v="0"/>
    <n v="0"/>
    <n v="0"/>
    <n v="0"/>
    <n v="0"/>
    <n v="0"/>
    <n v="0"/>
    <n v="50"/>
    <n v="50"/>
    <n v="50"/>
    <n v="150"/>
    <n v="50"/>
    <n v="50"/>
    <n v="50"/>
    <n v="0"/>
    <n v="0"/>
    <n v="0"/>
    <n v="0"/>
    <n v="0"/>
    <n v="0"/>
    <n v="0"/>
    <n v="0"/>
    <n v="0"/>
    <n v="150"/>
    <n v="0"/>
    <n v="0"/>
    <n v="0"/>
    <n v="0"/>
    <n v="0"/>
    <n v="0"/>
    <n v="0"/>
    <n v="0"/>
    <n v="0"/>
    <n v="0"/>
    <n v="0"/>
    <n v="0"/>
    <n v="0"/>
    <n v="300"/>
  </r>
  <r>
    <x v="2"/>
    <x v="16"/>
    <s v="TI/SI"/>
    <s v="Álisson Costa"/>
    <s v="TI/SI"/>
    <s v="Álisson Costa"/>
    <s v="DGE"/>
    <s v="NA"/>
    <s v="-"/>
    <s v="Migração para TAXBRA"/>
    <s v="Migração do modelo de tarifas usado na Cemig para o modelo TAXBRA"/>
    <s v="Continuidade de uso de um modelo de tarifas inadequado na Companhia."/>
    <s v="Postergação do desembolso para adequação da curva de investimento."/>
    <n v="0"/>
    <n v="0"/>
    <n v="0"/>
    <n v="0"/>
    <n v="0"/>
    <n v="0"/>
    <n v="0"/>
    <n v="0"/>
    <n v="0"/>
    <n v="0"/>
    <n v="0"/>
    <n v="0"/>
    <n v="0"/>
    <n v="0"/>
    <n v="0"/>
    <n v="0"/>
    <n v="0"/>
    <n v="0"/>
    <n v="0"/>
    <n v="0"/>
    <n v="0"/>
    <n v="0"/>
    <n v="0"/>
    <n v="0"/>
    <n v="0"/>
    <n v="0"/>
    <n v="0"/>
    <n v="0"/>
    <n v="50"/>
    <n v="50"/>
    <n v="50"/>
    <n v="150"/>
    <n v="50"/>
    <n v="50"/>
    <n v="50"/>
    <n v="0"/>
    <n v="0"/>
    <n v="0"/>
    <n v="0"/>
    <n v="0"/>
    <n v="0"/>
    <n v="0"/>
    <n v="0"/>
    <n v="0"/>
    <n v="150"/>
    <n v="0"/>
    <n v="0"/>
    <n v="0"/>
    <n v="0"/>
    <n v="0"/>
    <n v="0"/>
    <n v="0"/>
    <n v="0"/>
    <n v="0"/>
    <n v="0"/>
    <n v="0"/>
    <n v="0"/>
    <n v="0"/>
    <n v="300"/>
  </r>
  <r>
    <x v="2"/>
    <x v="16"/>
    <s v="TI/SI"/>
    <s v="Álisson Costa"/>
    <s v="TI/SI"/>
    <s v="Álisson Costa"/>
    <s v="DGE"/>
    <s v="NA"/>
    <s v="-"/>
    <s v="Migração Ponto Negativo para Positivo (SAP HR)"/>
    <m/>
    <m/>
    <s v="Postergação do desembolso para adequação da curva de investimento."/>
    <n v="0"/>
    <n v="0"/>
    <n v="0"/>
    <n v="0"/>
    <n v="0"/>
    <n v="0"/>
    <n v="0"/>
    <n v="0"/>
    <n v="0"/>
    <n v="0"/>
    <n v="0"/>
    <n v="0"/>
    <n v="0"/>
    <n v="0"/>
    <n v="0"/>
    <n v="0"/>
    <n v="0"/>
    <n v="0"/>
    <n v="0"/>
    <n v="0"/>
    <n v="0"/>
    <n v="150"/>
    <n v="0"/>
    <n v="0"/>
    <n v="0"/>
    <n v="0"/>
    <n v="0"/>
    <n v="0"/>
    <n v="0"/>
    <n v="0"/>
    <n v="0"/>
    <n v="150"/>
    <n v="0"/>
    <n v="0"/>
    <n v="150"/>
    <n v="0"/>
    <n v="0"/>
    <n v="0"/>
    <n v="0"/>
    <n v="0"/>
    <n v="0"/>
    <n v="0"/>
    <n v="0"/>
    <n v="0"/>
    <n v="150"/>
    <n v="0"/>
    <n v="0"/>
    <n v="0"/>
    <n v="0"/>
    <n v="0"/>
    <n v="0"/>
    <n v="0"/>
    <n v="0"/>
    <n v="0"/>
    <n v="0"/>
    <n v="0"/>
    <n v="0"/>
    <n v="0"/>
    <n v="300"/>
  </r>
  <r>
    <x v="2"/>
    <x v="16"/>
    <s v="SC"/>
    <s v="Márcio Rosa"/>
    <s v="SC"/>
    <s v="Márcio Rosa"/>
    <s v="DGE"/>
    <s v="TI04618"/>
    <s v="TINV.18.D.741.NA"/>
    <s v="NetAdmin Gerenciamento das estações de trabalho"/>
    <s v="O projeto refere-se à contratação do licenciamento do software NetAdmin para a gestão e inventário lógico de estações de trabalho e demais ativos utilizados na rede de dados da Cemig."/>
    <s v="Impossibilidade de atualização tecnológica do produto. Em decorrência da obsolescência da ferramenta, os seguintes impactos podem ser mencionados: aumento do tempo de atendimento de chamados relativos a suporte de estação de trabalho, administração de chaves de acesso e liberação de direitos de acessos; impossibilidade da execução de rotinas automatizadas pela solução; perda de suporte perante o fornecedor."/>
    <s v="-"/>
    <m/>
    <n v="0"/>
    <n v="0"/>
    <n v="0"/>
    <n v="150"/>
    <n v="150"/>
    <n v="0"/>
    <n v="0"/>
    <n v="0"/>
    <n v="0"/>
    <n v="0"/>
    <n v="0"/>
    <n v="0"/>
    <n v="0"/>
    <n v="0"/>
    <n v="0"/>
    <n v="0"/>
    <n v="0"/>
    <n v="0"/>
    <n v="0"/>
    <n v="0"/>
    <n v="0"/>
    <n v="0"/>
    <n v="0"/>
    <n v="0"/>
    <n v="0"/>
    <n v="0"/>
    <n v="0"/>
    <n v="0"/>
    <n v="0"/>
    <n v="0"/>
    <n v="0"/>
    <n v="0"/>
    <n v="0"/>
    <n v="0"/>
    <n v="0"/>
    <n v="0"/>
    <n v="150"/>
    <n v="0"/>
    <n v="0"/>
    <n v="0"/>
    <n v="0"/>
    <n v="0"/>
    <n v="0"/>
    <n v="150"/>
    <n v="0"/>
    <n v="0"/>
    <n v="0"/>
    <n v="0"/>
    <n v="0"/>
    <n v="0"/>
    <n v="0"/>
    <n v="0"/>
    <n v="0"/>
    <n v="0"/>
    <n v="0"/>
    <n v="0"/>
    <n v="0"/>
    <n v="300"/>
  </r>
  <r>
    <x v="2"/>
    <x v="16"/>
    <s v="TI/SI"/>
    <s v="Álisson Costa"/>
    <s v="TI/SI"/>
    <s v="Álisson Costa"/>
    <s v="DGE"/>
    <s v=" NA"/>
    <s v="-"/>
    <s v="Reimplantação do HR (Back to Standard)"/>
    <m/>
    <m/>
    <s v="Postergação do desembolso para adequação da curva de investimento."/>
    <n v="0"/>
    <n v="0"/>
    <n v="0"/>
    <n v="0"/>
    <n v="0"/>
    <n v="0"/>
    <n v="0"/>
    <n v="0"/>
    <n v="0"/>
    <n v="0"/>
    <n v="0"/>
    <n v="0"/>
    <n v="0"/>
    <n v="0"/>
    <n v="0"/>
    <n v="0"/>
    <n v="0"/>
    <n v="0"/>
    <n v="0"/>
    <n v="0"/>
    <n v="0"/>
    <n v="150"/>
    <n v="0"/>
    <n v="0"/>
    <n v="0"/>
    <n v="0"/>
    <n v="0"/>
    <n v="0"/>
    <n v="0"/>
    <n v="0"/>
    <n v="0"/>
    <n v="150"/>
    <n v="0"/>
    <n v="0"/>
    <n v="150"/>
    <n v="0"/>
    <n v="0"/>
    <n v="0"/>
    <n v="0"/>
    <n v="0"/>
    <n v="0"/>
    <n v="0"/>
    <n v="0"/>
    <n v="0"/>
    <n v="150"/>
    <n v="0"/>
    <n v="0"/>
    <n v="0"/>
    <n v="0"/>
    <n v="0"/>
    <n v="0"/>
    <n v="0"/>
    <n v="0"/>
    <n v="0"/>
    <n v="0"/>
    <n v="0"/>
    <n v="0"/>
    <n v="0"/>
    <n v="300"/>
  </r>
  <r>
    <x v="2"/>
    <x v="16"/>
    <s v="TI/SI"/>
    <s v="Álisson Costa"/>
    <s v="TI/SI"/>
    <s v="Álisson Costa"/>
    <s v="DGE"/>
    <s v="NA"/>
    <s v="-"/>
    <s v="Upgrade do SAP GRC Access Control"/>
    <s v="Atualização da versão do software de gerenciamento de acessos da SAP - Access Control"/>
    <s v="Falha de controles SOX"/>
    <s v="-"/>
    <n v="0"/>
    <n v="0"/>
    <n v="0"/>
    <n v="0"/>
    <n v="0"/>
    <n v="0"/>
    <n v="0"/>
    <n v="0"/>
    <n v="0"/>
    <n v="0"/>
    <n v="0"/>
    <n v="0"/>
    <n v="0"/>
    <n v="0"/>
    <n v="0"/>
    <n v="0"/>
    <n v="0"/>
    <n v="150"/>
    <n v="150"/>
    <n v="0"/>
    <n v="75"/>
    <n v="75"/>
    <n v="0"/>
    <n v="0"/>
    <n v="0"/>
    <n v="0"/>
    <n v="0"/>
    <n v="0"/>
    <n v="0"/>
    <n v="0"/>
    <n v="0"/>
    <n v="150"/>
    <n v="0"/>
    <n v="0"/>
    <n v="0"/>
    <n v="0"/>
    <n v="0"/>
    <n v="0"/>
    <n v="0"/>
    <n v="0"/>
    <n v="0"/>
    <n v="0"/>
    <n v="0"/>
    <n v="0"/>
    <n v="0"/>
    <n v="0"/>
    <n v="0"/>
    <n v="0"/>
    <n v="0"/>
    <n v="0"/>
    <n v="0"/>
    <n v="0"/>
    <n v="0"/>
    <n v="0"/>
    <n v="0"/>
    <n v="0"/>
    <n v="0"/>
    <n v="0"/>
    <n v="300"/>
  </r>
  <r>
    <x v="2"/>
    <x v="16"/>
    <s v="TI/SI"/>
    <s v="Álisson Costa"/>
    <s v="TI/SI"/>
    <s v="Álisson Costa"/>
    <s v="DGE"/>
    <s v="NA"/>
    <s v="-"/>
    <s v="Upgrade SAP GRC Risk Management"/>
    <s v="Atualização da versão do software de gerenciamento de riscos da SAP - Risk Management"/>
    <s v="Falha de controles SOX"/>
    <s v="Postergação do desembolso para adequação da curva de investimento."/>
    <n v="0"/>
    <n v="0"/>
    <n v="0"/>
    <n v="0"/>
    <n v="0"/>
    <n v="0"/>
    <n v="0"/>
    <n v="0"/>
    <n v="0"/>
    <n v="0"/>
    <n v="0"/>
    <n v="0"/>
    <n v="0"/>
    <n v="0"/>
    <n v="0"/>
    <n v="0"/>
    <n v="0"/>
    <n v="0"/>
    <n v="0"/>
    <n v="0"/>
    <n v="0"/>
    <n v="0"/>
    <n v="0"/>
    <n v="0"/>
    <n v="0"/>
    <n v="300"/>
    <n v="0"/>
    <n v="0"/>
    <n v="0"/>
    <n v="0"/>
    <n v="0"/>
    <n v="300"/>
    <n v="0"/>
    <n v="0"/>
    <n v="0"/>
    <n v="0"/>
    <n v="0"/>
    <n v="0"/>
    <n v="0"/>
    <n v="0"/>
    <n v="0"/>
    <n v="0"/>
    <n v="0"/>
    <n v="0"/>
    <n v="0"/>
    <n v="0"/>
    <n v="0"/>
    <n v="0"/>
    <n v="0"/>
    <n v="0"/>
    <n v="0"/>
    <n v="0"/>
    <n v="0"/>
    <n v="0"/>
    <n v="0"/>
    <n v="0"/>
    <n v="0"/>
    <n v="0"/>
    <n v="300"/>
  </r>
  <r>
    <x v="2"/>
    <x v="16"/>
    <s v="TI/SI"/>
    <s v="Álisson Costa"/>
    <s v="TI/SI"/>
    <s v="Álisson Costa"/>
    <s v="DGE"/>
    <s v="TI01317"/>
    <s v="TINV.17.D.042.PG"/>
    <s v="Portal Geográfico de Meteorologia"/>
    <s v="Construção do portal com feição geográfica para visão dos eventos meteorológicos no sistema elétrico."/>
    <s v="Falta de funcionalidades para gestão; Ausência de informações importantes para a tomada de decisão."/>
    <s v="-"/>
    <n v="199.38568115234375"/>
    <n v="19"/>
    <n v="19.883230000000001"/>
    <n v="25"/>
    <n v="13.733479886474612"/>
    <n v="277.00239103881836"/>
    <n v="0"/>
    <n v="0"/>
    <n v="0"/>
    <n v="0"/>
    <n v="0"/>
    <n v="0"/>
    <n v="0"/>
    <n v="0"/>
    <n v="0"/>
    <n v="0"/>
    <n v="0"/>
    <n v="0"/>
    <n v="0"/>
    <n v="0"/>
    <n v="0"/>
    <n v="0"/>
    <n v="0"/>
    <n v="0"/>
    <n v="0"/>
    <n v="0"/>
    <n v="0"/>
    <n v="0"/>
    <n v="0"/>
    <n v="0"/>
    <n v="0"/>
    <n v="0"/>
    <n v="0"/>
    <n v="0"/>
    <n v="0"/>
    <n v="0"/>
    <n v="0"/>
    <n v="0"/>
    <n v="0"/>
    <n v="0"/>
    <n v="0"/>
    <n v="0"/>
    <n v="0"/>
    <n v="0"/>
    <n v="0"/>
    <n v="0"/>
    <n v="0"/>
    <n v="0"/>
    <n v="0"/>
    <n v="0"/>
    <n v="0"/>
    <n v="0"/>
    <n v="0"/>
    <n v="0"/>
    <n v="0"/>
    <n v="0"/>
    <n v="0"/>
    <n v="0"/>
    <n v="277.00239103881836"/>
  </r>
  <r>
    <x v="2"/>
    <x v="16"/>
    <s v="TI/SI"/>
    <s v="Álisson Costa"/>
    <s v="TI, PS e MS"/>
    <s v="Leandro Corrêa de Castro - PS/ES"/>
    <s v="DGE"/>
    <s v="TI08418"/>
    <s v="-"/>
    <s v="Desenvolvimento de painéis na plataforma de BI Qlik Sense "/>
    <s v="Desenvolvimento de um sistema que faça o controle das cláusulas editalícias e contratuais, permitindo ao usuário montar os editais e contratos de forma automatizada e padronizada."/>
    <s v="Morosidade na confecção de editais e contratos, falta de padronização e controle das cláusulas utilizadas."/>
    <s v="Revisão do escopo do projeto, com postergação do desembolso conforme cronograma de execução."/>
    <n v="0"/>
    <n v="0"/>
    <n v="0"/>
    <n v="0"/>
    <n v="50"/>
    <n v="50"/>
    <n v="30"/>
    <n v="30"/>
    <n v="30"/>
    <n v="30"/>
    <n v="0"/>
    <n v="0"/>
    <n v="0"/>
    <n v="0"/>
    <n v="0"/>
    <n v="0"/>
    <n v="0"/>
    <n v="0"/>
    <n v="120"/>
    <n v="0"/>
    <n v="25"/>
    <n v="25"/>
    <n v="50"/>
    <n v="0"/>
    <n v="0"/>
    <n v="0"/>
    <n v="0"/>
    <n v="0"/>
    <n v="0"/>
    <n v="0"/>
    <n v="0"/>
    <n v="100"/>
    <n v="0"/>
    <n v="0"/>
    <n v="0"/>
    <n v="0"/>
    <n v="0"/>
    <n v="0"/>
    <n v="0"/>
    <n v="0"/>
    <n v="0"/>
    <n v="0"/>
    <n v="0"/>
    <n v="0"/>
    <n v="0"/>
    <n v="0"/>
    <n v="0"/>
    <n v="0"/>
    <n v="0"/>
    <n v="0"/>
    <n v="0"/>
    <n v="0"/>
    <n v="0"/>
    <n v="0"/>
    <n v="0"/>
    <n v="0"/>
    <n v="0"/>
    <n v="0"/>
    <n v="270"/>
  </r>
  <r>
    <x v="2"/>
    <x v="16"/>
    <s v="TI/SI"/>
    <s v="Álisson Costa"/>
    <s v="TI/SI"/>
    <s v="Álisson Costa"/>
    <s v="DGE"/>
    <s v="TI03517"/>
    <s v="TINV.17.D.042.CF"/>
    <s v="Evolução do Sistema de Gestão - Cemig Fácil"/>
    <s v=" Implementação de melhorias no sistema Cemig Fácil."/>
    <s v="Ocorrência de falhas na operação e na gestão do sistema; Impacto no fluxo de arrecadação da empresa."/>
    <s v="-"/>
    <n v="0"/>
    <n v="0"/>
    <n v="0"/>
    <n v="0"/>
    <n v="0"/>
    <n v="0"/>
    <n v="0"/>
    <n v="20"/>
    <n v="23"/>
    <n v="30"/>
    <n v="20"/>
    <n v="20"/>
    <n v="20"/>
    <n v="20"/>
    <n v="20"/>
    <n v="20"/>
    <n v="28"/>
    <n v="27"/>
    <n v="248"/>
    <n v="0"/>
    <n v="0"/>
    <n v="0"/>
    <n v="0"/>
    <n v="0"/>
    <n v="0"/>
    <n v="0"/>
    <n v="0"/>
    <n v="0"/>
    <n v="0"/>
    <n v="0"/>
    <n v="0"/>
    <n v="0"/>
    <n v="0"/>
    <n v="0"/>
    <n v="0"/>
    <n v="0"/>
    <n v="0"/>
    <n v="0"/>
    <n v="0"/>
    <n v="0"/>
    <n v="0"/>
    <n v="0"/>
    <n v="0"/>
    <n v="0"/>
    <n v="0"/>
    <n v="0"/>
    <n v="0"/>
    <n v="0"/>
    <n v="0"/>
    <n v="0"/>
    <n v="0"/>
    <n v="0"/>
    <n v="0"/>
    <n v="0"/>
    <n v="0"/>
    <n v="0"/>
    <n v="0"/>
    <n v="0"/>
    <n v="248"/>
  </r>
  <r>
    <x v="2"/>
    <x v="16"/>
    <s v="TI/SI"/>
    <s v="Álisson Costa"/>
    <s v="GR/PC"/>
    <s v="Ronaldo Oliveira"/>
    <s v="DDC"/>
    <s v="NA"/>
    <s v="-"/>
    <s v="Sistema de Controle e Suporte"/>
    <s v="Desenvolvimento de software para atividades voltadas para Contratos de Suporte."/>
    <s v="Acompanhamento manual das atividades, aumentando o risco de remuneração indevida por produtividade."/>
    <s v="-"/>
    <n v="0"/>
    <n v="0"/>
    <n v="0"/>
    <n v="100"/>
    <n v="100"/>
    <n v="200"/>
    <n v="0"/>
    <n v="0"/>
    <n v="0"/>
    <n v="0"/>
    <n v="0"/>
    <n v="0"/>
    <n v="0"/>
    <n v="0"/>
    <n v="0"/>
    <n v="0"/>
    <n v="0"/>
    <n v="0"/>
    <n v="0"/>
    <n v="0"/>
    <n v="0"/>
    <n v="0"/>
    <n v="0"/>
    <n v="0"/>
    <n v="0"/>
    <n v="0"/>
    <n v="0"/>
    <n v="0"/>
    <n v="0"/>
    <n v="0"/>
    <n v="0"/>
    <n v="0"/>
    <n v="0"/>
    <n v="0"/>
    <n v="0"/>
    <n v="0"/>
    <n v="0"/>
    <n v="0"/>
    <n v="0"/>
    <n v="0"/>
    <n v="0"/>
    <n v="0"/>
    <n v="0"/>
    <n v="0"/>
    <n v="0"/>
    <n v="0"/>
    <n v="0"/>
    <n v="0"/>
    <n v="0"/>
    <n v="0"/>
    <n v="0"/>
    <n v="0"/>
    <n v="0"/>
    <n v="0"/>
    <n v="0"/>
    <n v="0"/>
    <n v="0"/>
    <n v="0"/>
    <n v="200"/>
  </r>
  <r>
    <x v="2"/>
    <x v="16"/>
    <s v="TI/SI"/>
    <s v="Álisson Costa"/>
    <s v="TI/SI"/>
    <s v="Álisson Costa"/>
    <s v="DGE"/>
    <s v="TI02217"/>
    <s v="TINV.17.D.042.GX"/>
    <s v="Desenvolvimento GEDEX"/>
    <s v="Desenvolvimento da solução GEDEX"/>
    <s v="Indisponibilidade das soluções tecnológicas para todos os usuários; Atrasos nos procedimentos e processos das equipes nas áreas de negócio; Ociosidade dos usuários que ficam aguardando a liberação das licenças em uso (fila de espera)."/>
    <s v="Antecipação do desembolso, conforme necessidade de atualização do sistema."/>
    <n v="67.199996948242187"/>
    <n v="0"/>
    <n v="30"/>
    <n v="0"/>
    <n v="22.8"/>
    <n v="119.99999694824218"/>
    <n v="0"/>
    <n v="15"/>
    <m/>
    <n v="45"/>
    <n v="0"/>
    <n v="0"/>
    <n v="0"/>
    <n v="0"/>
    <n v="0"/>
    <n v="0"/>
    <n v="0"/>
    <n v="0"/>
    <n v="60"/>
    <n v="0"/>
    <n v="0"/>
    <n v="0"/>
    <n v="0"/>
    <n v="0"/>
    <n v="0"/>
    <n v="0"/>
    <n v="0"/>
    <n v="0"/>
    <n v="0"/>
    <n v="0"/>
    <n v="0"/>
    <n v="0"/>
    <n v="0"/>
    <n v="0"/>
    <n v="0"/>
    <n v="0"/>
    <n v="0"/>
    <n v="0"/>
    <n v="0"/>
    <n v="0"/>
    <n v="0"/>
    <n v="0"/>
    <n v="0"/>
    <n v="0"/>
    <n v="0"/>
    <n v="0"/>
    <n v="0"/>
    <n v="0"/>
    <n v="0"/>
    <n v="0"/>
    <n v="0"/>
    <n v="0"/>
    <n v="0"/>
    <n v="0"/>
    <n v="0"/>
    <n v="0"/>
    <n v="0"/>
    <n v="0"/>
    <n v="179.9999969482422"/>
  </r>
  <r>
    <x v="2"/>
    <x v="16"/>
    <s v="TI/SI"/>
    <s v="Álisson Costa"/>
    <s v="TI/SI"/>
    <s v="Álisson Costa"/>
    <s v="DGE"/>
    <s v="TI06418"/>
    <s v="TINV.18.D.042.SS"/>
    <s v="Front End - Saúde e Segurança do Trabalho (EH&amp;S)"/>
    <s v="Desenvolvimento de um Front Ende para o Portal Médico; Acesso a laudos e informações médicas por meio da internet."/>
    <s v="Utilização de papel no envio das informações; Maior tempo para a divulgação das informações aos interessados; Extravios e acesso indevido às informações pessoais."/>
    <s v="Demanda incorporada à carteira, considerando remanejamento entre projetos."/>
    <n v="0"/>
    <n v="17.117999999999999"/>
    <n v="17.117999999999999"/>
    <n v="17.117999999999999"/>
    <n v="17.117999999999999"/>
    <n v="68.471999999999994"/>
    <n v="17.117999999999999"/>
    <n v="17.117999999999999"/>
    <n v="17.117999999999999"/>
    <n v="4.2794999999999996"/>
    <n v="4.2794999999999996"/>
    <n v="4.2794999999999996"/>
    <n v="4.2794999999999996"/>
    <n v="4.2794999999999996"/>
    <n v="4.2794999999999996"/>
    <n v="4.2794999999999996"/>
    <n v="4.2794999999999996"/>
    <n v="4.2794999999999996"/>
    <n v="89.869499999999988"/>
    <n v="4.2794999999999996"/>
    <n v="4.2794999999999996"/>
    <n v="4.2794999999999996"/>
    <n v="0"/>
    <n v="0"/>
    <n v="0"/>
    <n v="0"/>
    <n v="0"/>
    <n v="0"/>
    <n v="0"/>
    <n v="0"/>
    <n v="0"/>
    <n v="12.8385"/>
    <n v="0"/>
    <n v="0"/>
    <n v="0"/>
    <n v="0"/>
    <n v="0"/>
    <n v="0"/>
    <n v="0"/>
    <n v="0"/>
    <n v="0"/>
    <n v="0"/>
    <n v="0"/>
    <n v="0"/>
    <n v="0"/>
    <n v="0"/>
    <n v="0"/>
    <n v="0"/>
    <n v="0"/>
    <n v="0"/>
    <n v="0"/>
    <n v="0"/>
    <n v="0"/>
    <n v="0"/>
    <n v="0"/>
    <n v="0"/>
    <n v="0"/>
    <n v="0"/>
    <n v="171.17999999999998"/>
  </r>
  <r>
    <x v="2"/>
    <x v="16"/>
    <s v="TI/IO"/>
    <s v="Alex de Assis"/>
    <s v="TI/IO"/>
    <s v="Alex de Assis"/>
    <s v="DGE"/>
    <s v="TI03017"/>
    <m/>
    <s v="Atualização Hardware IBM"/>
    <m/>
    <m/>
    <m/>
    <n v="5.8700799942016602"/>
    <n v="0"/>
    <n v="160.12995000000001"/>
    <n v="0"/>
    <n v="0"/>
    <n v="166.00002999420167"/>
    <m/>
    <m/>
    <m/>
    <m/>
    <m/>
    <m/>
    <m/>
    <m/>
    <m/>
    <m/>
    <m/>
    <m/>
    <n v="0"/>
    <m/>
    <m/>
    <m/>
    <m/>
    <m/>
    <m/>
    <m/>
    <m/>
    <m/>
    <m/>
    <m/>
    <m/>
    <n v="0"/>
    <n v="0"/>
    <n v="0"/>
    <n v="0"/>
    <n v="0"/>
    <n v="0"/>
    <n v="0"/>
    <n v="0"/>
    <n v="0"/>
    <n v="0"/>
    <n v="0"/>
    <n v="0"/>
    <n v="0"/>
    <n v="0"/>
    <n v="0"/>
    <n v="0"/>
    <n v="0"/>
    <n v="0"/>
    <n v="0"/>
    <n v="0"/>
    <n v="0"/>
    <n v="0"/>
    <n v="0"/>
    <n v="0"/>
    <n v="0"/>
    <n v="0"/>
    <n v="0"/>
    <n v="166.00002999420167"/>
  </r>
  <r>
    <x v="2"/>
    <x v="16"/>
    <s v="TI/SI"/>
    <s v="Álisson Costa"/>
    <s v="TI/SI"/>
    <s v="Álisson Costa"/>
    <s v="DGE"/>
    <s v="TI06318"/>
    <s v=" TINV.18.D.042.SG"/>
    <s v="Evolução SGCP - Sistema de Gestão e Controle de Patrocínio"/>
    <s v="Desenvolvimento de novas funcionalidades no sistema SGCP; Adequação do processo de gestão dos patrocínios na empresa."/>
    <s v="Obsolescência da solução de gestão de patrocínios da empresa; Ocorrência de erros que podem gerar inconformidades; Falta de compatibilidade do sistema com os processos vigentes na empresa."/>
    <s v="Demanda incorporada à carteira, considerando remanejamento entre projetos."/>
    <m/>
    <n v="0"/>
    <n v="8.56"/>
    <n v="0"/>
    <n v="17.12"/>
    <n v="25.68"/>
    <n v="8.5589999999999993"/>
    <n v="0"/>
    <n v="8.5589999999999993"/>
    <n v="8.5589999999999993"/>
    <n v="8.5589999999999993"/>
    <n v="0"/>
    <n v="8.5589999999999993"/>
    <n v="8.5589999999999993"/>
    <n v="8.5589999999999993"/>
    <n v="0"/>
    <n v="8.5589999999999993"/>
    <n v="8.5589999999999993"/>
    <n v="77.030999999999992"/>
    <n v="8.56"/>
    <n v="8.56"/>
    <n v="8.56"/>
    <n v="8.56"/>
    <n v="0"/>
    <n v="0"/>
    <n v="0"/>
    <n v="0"/>
    <n v="0"/>
    <n v="0"/>
    <n v="0"/>
    <n v="0"/>
    <n v="34.24"/>
    <n v="0"/>
    <n v="0"/>
    <n v="0"/>
    <n v="0"/>
    <n v="0"/>
    <n v="0"/>
    <n v="0"/>
    <n v="0"/>
    <n v="0"/>
    <n v="0"/>
    <n v="0"/>
    <n v="0"/>
    <n v="0"/>
    <m/>
    <m/>
    <m/>
    <m/>
    <m/>
    <m/>
    <m/>
    <m/>
    <m/>
    <m/>
    <m/>
    <m/>
    <n v="0"/>
    <n v="136.95099999999999"/>
  </r>
  <r>
    <x v="2"/>
    <x v="16"/>
    <s v="TI/SI"/>
    <s v="Álisson Costa"/>
    <s v="TI/SI"/>
    <s v="Álisson Costa"/>
    <s v="DGE"/>
    <s v="TI00517"/>
    <s v="TINV.17.D.042.FR"/>
    <s v="Construção de Framework de Desenvolvimento"/>
    <s v="Elaborar e Construir um Framework de Desenvolvimento de Sistemas"/>
    <s v="Variedade de modelos e estruturas para os novos sistemas"/>
    <s v="-"/>
    <n v="103.01386070251465"/>
    <n v="0"/>
    <n v="0"/>
    <n v="0"/>
    <n v="18.737609999999989"/>
    <n v="121.75147070251464"/>
    <n v="0"/>
    <n v="0"/>
    <n v="0"/>
    <n v="0"/>
    <n v="0"/>
    <n v="0"/>
    <n v="0"/>
    <n v="0"/>
    <n v="0"/>
    <n v="0"/>
    <n v="0"/>
    <n v="0"/>
    <n v="0"/>
    <n v="0"/>
    <n v="0"/>
    <n v="0"/>
    <n v="0"/>
    <n v="0"/>
    <n v="0"/>
    <n v="0"/>
    <n v="0"/>
    <n v="0"/>
    <n v="0"/>
    <n v="0"/>
    <n v="0"/>
    <n v="0"/>
    <n v="0"/>
    <n v="0"/>
    <n v="0"/>
    <n v="0"/>
    <n v="0"/>
    <n v="0"/>
    <n v="0"/>
    <n v="0"/>
    <n v="0"/>
    <n v="0"/>
    <n v="0"/>
    <n v="0"/>
    <n v="0"/>
    <n v="0"/>
    <n v="0"/>
    <n v="0"/>
    <n v="0"/>
    <n v="0"/>
    <n v="0"/>
    <n v="0"/>
    <n v="0"/>
    <n v="0"/>
    <n v="0"/>
    <n v="0"/>
    <n v="0"/>
    <n v="0"/>
    <n v="121.75147070251464"/>
  </r>
  <r>
    <x v="2"/>
    <x v="16"/>
    <s v="TI/SI"/>
    <s v="Álisson Costa"/>
    <s v="AD/AD"/>
    <s v="Amantino Alves da Costa"/>
    <s v="DGE"/>
    <s v="NA"/>
    <m/>
    <s v="Licenciamento ASPEN"/>
    <m/>
    <m/>
    <m/>
    <n v="0"/>
    <n v="0"/>
    <n v="120"/>
    <n v="0"/>
    <n v="0"/>
    <n v="120"/>
    <n v="0"/>
    <n v="0"/>
    <n v="0"/>
    <n v="0"/>
    <n v="0"/>
    <n v="0"/>
    <n v="0"/>
    <n v="0"/>
    <n v="0"/>
    <n v="0"/>
    <n v="0"/>
    <n v="0"/>
    <n v="0"/>
    <n v="0"/>
    <n v="0"/>
    <n v="0"/>
    <n v="0"/>
    <n v="0"/>
    <n v="0"/>
    <n v="0"/>
    <n v="0"/>
    <n v="0"/>
    <n v="0"/>
    <n v="0"/>
    <n v="0"/>
    <n v="0"/>
    <m/>
    <m/>
    <m/>
    <m/>
    <m/>
    <m/>
    <m/>
    <m/>
    <m/>
    <m/>
    <m/>
    <m/>
    <n v="0"/>
    <m/>
    <m/>
    <m/>
    <m/>
    <m/>
    <m/>
    <m/>
    <m/>
    <m/>
    <m/>
    <m/>
    <m/>
    <n v="0"/>
    <n v="120"/>
  </r>
  <r>
    <x v="2"/>
    <x v="16"/>
    <s v="TI/IO"/>
    <s v="Carlos Araújo"/>
    <s v="EA/EP"/>
    <s v="Rodrigo Otávio Carneiro Moreira_x000a_3506 2966"/>
    <s v="DDC"/>
    <s v="NA"/>
    <s v="-"/>
    <s v="PLS-CADD"/>
    <s v="Aquisição de 2 licenças do software PLS-CADD"/>
    <s v="Comprometimento ao atendimento dos projetos de expansão do ciclo tarifário (2018/2022)._x000a_Comprometimento da produtividade da equipe devido à indisponibilidade de licenças suficientes para trabalhar com o SPELT."/>
    <s v="-"/>
    <n v="0"/>
    <n v="0"/>
    <n v="0"/>
    <n v="0"/>
    <n v="120"/>
    <n v="120"/>
    <n v="0"/>
    <n v="0"/>
    <n v="0"/>
    <n v="0"/>
    <n v="0"/>
    <n v="0"/>
    <n v="0"/>
    <n v="0"/>
    <n v="0"/>
    <n v="0"/>
    <n v="0"/>
    <n v="0"/>
    <n v="0"/>
    <n v="0"/>
    <n v="0"/>
    <n v="0"/>
    <n v="0"/>
    <n v="0"/>
    <n v="0"/>
    <n v="0"/>
    <n v="0"/>
    <n v="0"/>
    <n v="0"/>
    <n v="0"/>
    <n v="0"/>
    <n v="0"/>
    <n v="0"/>
    <n v="0"/>
    <n v="0"/>
    <n v="0"/>
    <n v="0"/>
    <n v="0"/>
    <n v="0"/>
    <n v="0"/>
    <n v="0"/>
    <n v="0"/>
    <n v="0"/>
    <n v="0"/>
    <n v="0"/>
    <n v="0"/>
    <n v="0"/>
    <n v="0"/>
    <n v="0"/>
    <n v="0"/>
    <n v="0"/>
    <n v="0"/>
    <n v="0"/>
    <n v="0"/>
    <n v="0"/>
    <n v="0"/>
    <n v="0"/>
    <n v="0"/>
    <n v="120"/>
  </r>
  <r>
    <x v="2"/>
    <x v="16"/>
    <s v="TI/SI"/>
    <s v="Álisson Costa"/>
    <s v="TI/SI"/>
    <s v="Álisson Costa"/>
    <s v="DGE"/>
    <s v="TI00417"/>
    <s v="TINV.17.D.042.PI"/>
    <s v="Desenvolvimento do sistema PIC-Portal da Imagem Cemig"/>
    <s v="Prover o desenvolvimento do sistema PIC - Portal da Imagem Cemig"/>
    <s v="Gastos sem controle nos anúncios e comunicados da Empresa"/>
    <s v="-"/>
    <n v="101.37385904788971"/>
    <n v="0"/>
    <n v="0"/>
    <n v="0"/>
    <n v="0"/>
    <n v="101.37385904788971"/>
    <n v="0"/>
    <n v="0"/>
    <n v="0"/>
    <n v="0"/>
    <n v="0"/>
    <n v="0"/>
    <n v="0"/>
    <n v="0"/>
    <n v="0"/>
    <n v="0"/>
    <n v="0"/>
    <n v="0"/>
    <n v="0"/>
    <n v="0"/>
    <n v="0"/>
    <n v="0"/>
    <n v="0"/>
    <n v="0"/>
    <n v="0"/>
    <n v="0"/>
    <n v="0"/>
    <n v="0"/>
    <n v="0"/>
    <n v="0"/>
    <n v="0"/>
    <n v="0"/>
    <n v="0"/>
    <n v="0"/>
    <n v="0"/>
    <n v="0"/>
    <n v="0"/>
    <n v="0"/>
    <n v="0"/>
    <n v="0"/>
    <n v="0"/>
    <n v="0"/>
    <n v="0"/>
    <n v="0"/>
    <n v="0"/>
    <n v="0"/>
    <n v="0"/>
    <n v="0"/>
    <n v="0"/>
    <n v="0"/>
    <n v="0"/>
    <n v="0"/>
    <n v="0"/>
    <n v="0"/>
    <n v="0"/>
    <n v="0"/>
    <n v="0"/>
    <n v="0"/>
    <n v="101.37385904788971"/>
  </r>
  <r>
    <x v="2"/>
    <x v="16"/>
    <s v="TI/RT"/>
    <s v="Heberte Faria"/>
    <s v="TI/RT"/>
    <s v="Heberte Faria"/>
    <s v="DGE"/>
    <s v="TI02616"/>
    <s v="TINV.16.D.042.CS"/>
    <s v="Sistema de Gestão de Serviços Corporativos em BPMS"/>
    <s v="Construção de um sistema para a área de serviços corporativos compartilhados, baseado na modelagem de processo de negócio; Padronização e Unificação de ferramentas usadas nos processos assumidos pela superintendência SC."/>
    <s v="Baixa produtividade das equipes centralizadas; Falta de padronização das ferramentas utilizadas; Demora no atendimento aos serviços corporativos compartilhados."/>
    <s v="-"/>
    <n v="0"/>
    <n v="0"/>
    <n v="0"/>
    <n v="20"/>
    <n v="35"/>
    <n v="55"/>
    <n v="0"/>
    <n v="0"/>
    <n v="0"/>
    <n v="0"/>
    <n v="0"/>
    <n v="0"/>
    <n v="0"/>
    <n v="20"/>
    <n v="0"/>
    <n v="0"/>
    <n v="22"/>
    <n v="0"/>
    <n v="42"/>
    <n v="0"/>
    <n v="0"/>
    <n v="0"/>
    <n v="0"/>
    <n v="0"/>
    <n v="0"/>
    <n v="0"/>
    <n v="0"/>
    <n v="0"/>
    <n v="0"/>
    <n v="0"/>
    <n v="0"/>
    <n v="0"/>
    <n v="0"/>
    <n v="0"/>
    <n v="0"/>
    <n v="0"/>
    <n v="0"/>
    <n v="0"/>
    <n v="0"/>
    <n v="0"/>
    <n v="0"/>
    <n v="0"/>
    <n v="0"/>
    <n v="0"/>
    <n v="0"/>
    <n v="0"/>
    <n v="0"/>
    <n v="0"/>
    <n v="0"/>
    <n v="0"/>
    <n v="0"/>
    <n v="0"/>
    <n v="0"/>
    <n v="0"/>
    <n v="0"/>
    <n v="0"/>
    <n v="0"/>
    <n v="0"/>
    <n v="97"/>
  </r>
  <r>
    <x v="2"/>
    <x v="16"/>
    <s v="TI/IO"/>
    <s v="Carlos Araújo"/>
    <s v="EA/EP"/>
    <s v="Reginaldo de Almeida Silva_x000a_3506-2964"/>
    <s v="DDC"/>
    <s v="NA"/>
    <s v="-"/>
    <s v="Programa para substituição do Sistproj"/>
    <s v="Programa para cálculo de rotinas de projetos de LD._x000a_2 licenças"/>
    <s v="Paralização de atividades de projetos executivos de LD com comprometimento de prazos e custos dos planos de expansão._x000a_Impossibilidade de realizar a elaboração e a conferência de projetos contratados que utilizem resultados destas rotinas, que são comuns."/>
    <s v="-"/>
    <n v="0"/>
    <n v="0"/>
    <n v="0"/>
    <n v="0"/>
    <n v="95"/>
    <n v="95"/>
    <n v="0"/>
    <n v="0"/>
    <n v="0"/>
    <n v="0"/>
    <n v="0"/>
    <n v="0"/>
    <n v="0"/>
    <n v="0"/>
    <n v="0"/>
    <n v="0"/>
    <n v="0"/>
    <n v="0"/>
    <n v="0"/>
    <n v="0"/>
    <n v="0"/>
    <n v="0"/>
    <n v="0"/>
    <n v="0"/>
    <n v="0"/>
    <n v="0"/>
    <n v="0"/>
    <n v="0"/>
    <n v="0"/>
    <n v="0"/>
    <n v="0"/>
    <n v="0"/>
    <n v="0"/>
    <n v="0"/>
    <n v="0"/>
    <n v="0"/>
    <n v="0"/>
    <n v="0"/>
    <n v="0"/>
    <n v="0"/>
    <n v="0"/>
    <n v="0"/>
    <n v="0"/>
    <n v="0"/>
    <n v="0"/>
    <n v="0"/>
    <n v="0"/>
    <n v="0"/>
    <n v="0"/>
    <n v="0"/>
    <n v="0"/>
    <n v="0"/>
    <n v="0"/>
    <n v="0"/>
    <n v="0"/>
    <n v="0"/>
    <n v="0"/>
    <n v="0"/>
    <n v="95"/>
  </r>
  <r>
    <x v="2"/>
    <x v="16"/>
    <s v="TI/SI"/>
    <s v="Álisson Costa"/>
    <s v="TI, PS e MS"/>
    <s v="Leandro Corrêa de Castro - PS/ES"/>
    <s v="DGE"/>
    <s v="TI08318"/>
    <m/>
    <s v="Software: Chatbot de atendimento do cadastro de fornecedores"/>
    <m/>
    <m/>
    <s v="Demanda incorporada à carteira, considerando remanejamento entre projetos."/>
    <n v="0"/>
    <n v="0"/>
    <n v="15"/>
    <n v="15"/>
    <n v="20"/>
    <n v="50"/>
    <n v="0"/>
    <n v="0"/>
    <n v="10"/>
    <n v="0"/>
    <n v="5"/>
    <n v="0"/>
    <n v="5"/>
    <n v="0"/>
    <n v="0"/>
    <n v="0"/>
    <n v="0"/>
    <n v="0"/>
    <n v="20"/>
    <n v="10"/>
    <n v="0"/>
    <n v="5"/>
    <n v="0"/>
    <n v="5"/>
    <n v="0"/>
    <n v="0"/>
    <n v="0"/>
    <n v="0"/>
    <n v="0"/>
    <n v="0"/>
    <n v="0"/>
    <n v="20"/>
    <n v="0"/>
    <n v="0"/>
    <n v="0"/>
    <n v="0"/>
    <n v="0"/>
    <n v="0"/>
    <n v="0"/>
    <n v="0"/>
    <n v="0"/>
    <n v="0"/>
    <n v="0"/>
    <n v="0"/>
    <n v="0"/>
    <m/>
    <m/>
    <m/>
    <m/>
    <m/>
    <m/>
    <m/>
    <m/>
    <m/>
    <m/>
    <m/>
    <m/>
    <n v="0"/>
    <n v="90"/>
  </r>
  <r>
    <x v="2"/>
    <x v="16"/>
    <s v="TI/IO"/>
    <s v="Carlos Araújo"/>
    <s v="EA/EP"/>
    <s v="Reginaldo de Almeida Silva_x000a_3506-2964"/>
    <s v="DDC"/>
    <s v="NA"/>
    <s v="-"/>
    <s v="Programa de cálculo de janela de travessia e balanço de cabos"/>
    <s v="Cálculo de janelas de travessias de MD sob LD e de balanço de cabos._x000a_8 licenças."/>
    <s v="Atendimento à demanda continuará com a EA/EP, consumindo recurso humano de um profissional em tempo integral e comprometendo seu desempenho e o atendimento às demandas de expansão. "/>
    <s v="-"/>
    <n v="0"/>
    <n v="0"/>
    <n v="0"/>
    <n v="0"/>
    <n v="72"/>
    <n v="72"/>
    <n v="0"/>
    <n v="0"/>
    <n v="0"/>
    <n v="0"/>
    <n v="0"/>
    <n v="0"/>
    <n v="0"/>
    <n v="0"/>
    <n v="0"/>
    <n v="0"/>
    <n v="0"/>
    <n v="0"/>
    <n v="0"/>
    <n v="0"/>
    <n v="0"/>
    <n v="0"/>
    <n v="0"/>
    <n v="0"/>
    <n v="0"/>
    <n v="0"/>
    <n v="0"/>
    <n v="0"/>
    <n v="0"/>
    <n v="0"/>
    <n v="0"/>
    <n v="0"/>
    <n v="0"/>
    <n v="0"/>
    <n v="0"/>
    <n v="0"/>
    <n v="0"/>
    <n v="0"/>
    <n v="0"/>
    <n v="0"/>
    <n v="0"/>
    <n v="0"/>
    <n v="0"/>
    <n v="0"/>
    <n v="0"/>
    <n v="0"/>
    <n v="0"/>
    <n v="0"/>
    <n v="0"/>
    <n v="0"/>
    <n v="0"/>
    <n v="0"/>
    <n v="0"/>
    <n v="0"/>
    <n v="0"/>
    <n v="0"/>
    <n v="0"/>
    <n v="0"/>
    <n v="72"/>
  </r>
  <r>
    <x v="2"/>
    <x v="16"/>
    <s v="TI/IO"/>
    <s v="Carlos Araújo"/>
    <s v="EA/EL"/>
    <s v="José William Campomizzi"/>
    <s v="DDC"/>
    <s v="TI07418"/>
    <s v="-"/>
    <s v="Aquisição do Software analisador de protocolo. Ex.: ASE2000._x000a__x000a_NOTA - Este software pode ser adquirido dentro do contrato das SECIs. Para isso, há necessidade da solicitação através do gerente para a EA/EP._x000a_"/>
    <s v="Aquisição de 2 licenças de  Software analisador de protocolos Industriais e redes Ethernet industriais_x000a_"/>
    <s v="Contribui para a morosidade na identificação de problemas de integração de equipamentos e conexão via redes de automação das novas SEs."/>
    <s v="Revisão do valor em virtude do balizamento de preços."/>
    <n v="0"/>
    <n v="0"/>
    <n v="70"/>
    <n v="0"/>
    <n v="0"/>
    <n v="70"/>
    <n v="0"/>
    <n v="0"/>
    <n v="0"/>
    <n v="0"/>
    <n v="0"/>
    <n v="0"/>
    <n v="0"/>
    <n v="0"/>
    <n v="0"/>
    <n v="0"/>
    <n v="0"/>
    <n v="0"/>
    <n v="0"/>
    <n v="0"/>
    <n v="0"/>
    <n v="0"/>
    <n v="0"/>
    <n v="0"/>
    <n v="0"/>
    <n v="0"/>
    <n v="0"/>
    <n v="0"/>
    <n v="0"/>
    <n v="0"/>
    <n v="0"/>
    <n v="0"/>
    <n v="0"/>
    <n v="0"/>
    <n v="0"/>
    <n v="0"/>
    <n v="0"/>
    <n v="0"/>
    <n v="0"/>
    <n v="0"/>
    <n v="0"/>
    <n v="0"/>
    <n v="0"/>
    <n v="0"/>
    <n v="0"/>
    <n v="0"/>
    <n v="0"/>
    <n v="0"/>
    <n v="0"/>
    <n v="0"/>
    <n v="0"/>
    <n v="0"/>
    <n v="0"/>
    <n v="0"/>
    <n v="0"/>
    <n v="0"/>
    <n v="0"/>
    <n v="0"/>
    <n v="70"/>
  </r>
  <r>
    <x v="2"/>
    <x v="16"/>
    <s v="TI/SI"/>
    <s v="Roberto Proença"/>
    <s v="TI/SI"/>
    <s v="Roberto Proença"/>
    <s v="DGE"/>
    <s v="3211/12"/>
    <s v="TINV.12.D.042.GS"/>
    <s v="GDIS"/>
    <s v="O projeto refere-se aos serviços de desenvolvimento de sistemas de informação de alta complexidade que atendem os processos Cemig D e ao Programa Conexão - Implantação de sistemas em sinergia com outras empresas do Grupo Cemig. A finalidade do projeto relaciona-se, dessa forma, à unificação de processos e ferramentas nas empresas de Distribuição do Grupo Cemig, ao atendimento mais eficiente às demandas do órgão regulador, à padronização de fornecedores e tecnologias, à melhoria na gestão de ativos do sistema elétrico da rede de distribuição da Cemig, e à maior agilidade para os processos de expansão e manutenção do sistema elétrico."/>
    <s v="Paralisação de todos os serviços de manutenção evolutiva dos módulos de Operação e Despacho - OP, Georreferenciamento - GE, Manutenção - MN, Serviço de Campo - SC, e Gestão da Qualidade - IQ do Sistema G-DIS. Há, dessa forma, impacto direto nas atividades diárias de toda a Distribuidora, inclusive serviço de campo e atendimentos emergenciais, com destaque para o regime de funcionamento do sistema, 24x7. Adicionalmente, menciona-se a limitação no atendimento das demandas da DDC relativas ao sistema G-DIS, conduzidas atualmente dentro do Programa Conexão, tais como a nova versão 2.0 do G-DIS, integrações com o projeto Atlantis, SAP ECC e SCADA."/>
    <s v="-"/>
    <n v="46.814499855041504"/>
    <n v="0"/>
    <n v="0"/>
    <n v="0"/>
    <n v="5.0538199999999982"/>
    <n v="51.868319855041506"/>
    <n v="0"/>
    <n v="0"/>
    <n v="0"/>
    <n v="0"/>
    <n v="0"/>
    <n v="0"/>
    <n v="0"/>
    <n v="0"/>
    <n v="0"/>
    <n v="0"/>
    <n v="0"/>
    <n v="0"/>
    <n v="0"/>
    <n v="0"/>
    <n v="0"/>
    <n v="0"/>
    <n v="0"/>
    <n v="0"/>
    <n v="0"/>
    <n v="0"/>
    <n v="0"/>
    <n v="0"/>
    <n v="0"/>
    <n v="0"/>
    <n v="0"/>
    <n v="0"/>
    <n v="0"/>
    <n v="0"/>
    <n v="0"/>
    <n v="0"/>
    <n v="0"/>
    <n v="0"/>
    <n v="0"/>
    <n v="0"/>
    <n v="0"/>
    <n v="0"/>
    <n v="0"/>
    <n v="0"/>
    <n v="0"/>
    <m/>
    <m/>
    <m/>
    <m/>
    <m/>
    <m/>
    <m/>
    <m/>
    <m/>
    <m/>
    <m/>
    <m/>
    <n v="0"/>
    <n v="51.868319855041506"/>
  </r>
  <r>
    <x v="2"/>
    <x v="16"/>
    <s v="TI/RT"/>
    <s v="Márcio Machado"/>
    <s v="TI/RT"/>
    <s v="Márcio Machado"/>
    <s v="DGE"/>
    <s v="NA"/>
    <s v="-"/>
    <s v="Software para Análise de Vulnerabilidades em Redes e Sistemas"/>
    <s v="Aquisição de ferramenta para análise de vulnerabilidades em Redes e Sistemas. Vulnerabilidades em redes e sistemas são utilizadas por atacantes cibernéticos para o roubo de informações confidenciais e invasão de redes corporativas e, se não forem identificadas e corrigidas antes que sejam exploradas, podem causar a interrupção total ou parcial dos negócios da Empresa. No processo de segurança da informação existem medidas preventivas e corretivas que podem ser tomadas de acordo com a situação de risco e a  linha do tempo.  A análise de vulnerabilidades é uma atividade que ocorre na fase de prevenção, onde ainda é possível evitar que uma ameaça explore uma vulnerabilidade e traga prejuízos financeiros e/ou à imagem da Cemig."/>
    <s v="Descontinuidade de serviços informatizados_x000a_Roubo de informações confidenciais e invasão de redes corporativas"/>
    <s v="Revisão do escopo do projeto."/>
    <n v="0"/>
    <n v="0"/>
    <n v="0"/>
    <n v="0"/>
    <n v="28.8"/>
    <n v="28.8"/>
    <n v="0"/>
    <n v="0"/>
    <n v="0"/>
    <n v="0"/>
    <n v="0"/>
    <n v="0"/>
    <n v="0"/>
    <n v="0"/>
    <n v="0"/>
    <n v="0"/>
    <n v="0"/>
    <n v="0"/>
    <n v="0"/>
    <n v="0"/>
    <n v="0"/>
    <n v="0"/>
    <n v="0"/>
    <n v="0"/>
    <n v="0"/>
    <n v="0"/>
    <n v="0"/>
    <n v="0"/>
    <n v="0"/>
    <n v="0"/>
    <n v="0"/>
    <n v="0"/>
    <n v="0"/>
    <n v="0"/>
    <n v="0"/>
    <n v="0"/>
    <n v="0"/>
    <n v="0"/>
    <n v="0"/>
    <n v="0"/>
    <n v="0"/>
    <n v="0"/>
    <n v="0"/>
    <n v="0"/>
    <n v="0"/>
    <n v="0"/>
    <n v="0"/>
    <n v="0"/>
    <n v="0"/>
    <n v="0"/>
    <n v="0"/>
    <n v="0"/>
    <n v="0"/>
    <n v="0"/>
    <n v="0"/>
    <n v="0"/>
    <n v="0"/>
    <n v="0"/>
    <n v="28.8"/>
  </r>
  <r>
    <x v="2"/>
    <x v="16"/>
    <s v="TI/SI"/>
    <s v="Álisson Costa"/>
    <s v="TI/SI"/>
    <s v="Álisson Costa"/>
    <s v="DGE"/>
    <s v="TI00216"/>
    <s v="TINV.15.D.042.NE"/>
    <s v="Desenvolvimento do Módulo Gestão da Inadimplência"/>
    <s v="Faturamento Residual Ciclo 2013-2017"/>
    <s v="-"/>
    <s v="-"/>
    <n v="14.010740280151367"/>
    <n v="0"/>
    <n v="0"/>
    <n v="0"/>
    <n v="0"/>
    <n v="14.010740280151367"/>
    <n v="0"/>
    <n v="0"/>
    <n v="0"/>
    <n v="0"/>
    <n v="0"/>
    <n v="0"/>
    <n v="0"/>
    <n v="0"/>
    <n v="0"/>
    <n v="0"/>
    <n v="0"/>
    <n v="0"/>
    <n v="0"/>
    <n v="0"/>
    <n v="0"/>
    <n v="0"/>
    <n v="0"/>
    <n v="0"/>
    <n v="0"/>
    <n v="0"/>
    <n v="0"/>
    <n v="0"/>
    <n v="0"/>
    <n v="0"/>
    <n v="0"/>
    <n v="0"/>
    <n v="0"/>
    <n v="0"/>
    <n v="0"/>
    <n v="0"/>
    <n v="0"/>
    <n v="0"/>
    <n v="0"/>
    <n v="0"/>
    <n v="0"/>
    <n v="0"/>
    <n v="0"/>
    <n v="0"/>
    <n v="0"/>
    <n v="0"/>
    <n v="0"/>
    <n v="0"/>
    <n v="0"/>
    <n v="0"/>
    <n v="0"/>
    <n v="0"/>
    <n v="0"/>
    <n v="0"/>
    <n v="0"/>
    <n v="0"/>
    <n v="0"/>
    <n v="0"/>
    <n v="14.010740280151367"/>
  </r>
  <r>
    <x v="2"/>
    <x v="16"/>
    <s v="TI/IO"/>
    <s v="Carlos Araújo"/>
    <s v="EA/EP"/>
    <s v="Sandro de Castro Assis - 3506-2967"/>
    <s v="DDC"/>
    <s v="TI06718"/>
    <s v="TINV.18.D.045.TF"/>
    <s v="Licença do programa TF_SE"/>
    <s v="Programa para calculo das trações e flechas em barramentos flexíveis em subestações"/>
    <s v="Comprometimento de atendimento aos projetos de expansão no prazo desejado dentro do ciclo tarifário."/>
    <s v="-"/>
    <n v="0"/>
    <n v="0"/>
    <n v="12"/>
    <n v="0"/>
    <n v="0"/>
    <n v="12"/>
    <n v="0"/>
    <n v="0"/>
    <n v="0"/>
    <n v="0"/>
    <n v="0"/>
    <n v="0"/>
    <n v="0"/>
    <n v="0"/>
    <n v="0"/>
    <n v="0"/>
    <n v="0"/>
    <n v="0"/>
    <n v="0"/>
    <n v="0"/>
    <n v="0"/>
    <n v="0"/>
    <n v="0"/>
    <n v="0"/>
    <n v="0"/>
    <n v="0"/>
    <n v="0"/>
    <n v="0"/>
    <n v="0"/>
    <n v="0"/>
    <n v="0"/>
    <n v="0"/>
    <n v="0"/>
    <n v="0"/>
    <n v="0"/>
    <n v="0"/>
    <n v="0"/>
    <n v="0"/>
    <n v="0"/>
    <n v="0"/>
    <n v="0"/>
    <n v="0"/>
    <n v="0"/>
    <n v="0"/>
    <n v="0"/>
    <n v="0"/>
    <n v="0"/>
    <n v="0"/>
    <n v="0"/>
    <n v="0"/>
    <n v="0"/>
    <n v="0"/>
    <n v="0"/>
    <n v="0"/>
    <n v="0"/>
    <n v="0"/>
    <n v="0"/>
    <n v="0"/>
    <n v="12"/>
  </r>
  <r>
    <x v="2"/>
    <x v="16"/>
    <s v="TI/SI"/>
    <s v="Álisson Costa"/>
    <s v="TI/SI"/>
    <s v="Álisson Costa"/>
    <s v="DGE"/>
    <s v="TI00416"/>
    <s v="TINV.15.D.042.PT"/>
    <s v="Desenvolvimento de Melhorias do Sistema Part-APR"/>
    <s v="Faturamento Residual Ciclo 2013-2019"/>
    <s v="-"/>
    <s v="-"/>
    <n v="10.502650260925293"/>
    <n v="0"/>
    <n v="0"/>
    <n v="0"/>
    <n v="0"/>
    <n v="10.502650260925293"/>
    <n v="0"/>
    <n v="0"/>
    <n v="0"/>
    <n v="0"/>
    <n v="0"/>
    <n v="0"/>
    <n v="0"/>
    <n v="0"/>
    <n v="0"/>
    <n v="0"/>
    <n v="0"/>
    <n v="0"/>
    <n v="0"/>
    <n v="0"/>
    <n v="0"/>
    <n v="0"/>
    <n v="0"/>
    <n v="0"/>
    <n v="0"/>
    <n v="0"/>
    <n v="0"/>
    <n v="0"/>
    <n v="0"/>
    <n v="0"/>
    <n v="0"/>
    <n v="0"/>
    <n v="0"/>
    <n v="0"/>
    <n v="0"/>
    <n v="0"/>
    <n v="0"/>
    <n v="0"/>
    <n v="0"/>
    <n v="0"/>
    <n v="0"/>
    <n v="0"/>
    <n v="0"/>
    <n v="0"/>
    <n v="0"/>
    <n v="0"/>
    <n v="0"/>
    <n v="0"/>
    <n v="0"/>
    <n v="0"/>
    <n v="0"/>
    <n v="0"/>
    <n v="0"/>
    <n v="0"/>
    <n v="0"/>
    <n v="0"/>
    <n v="0"/>
    <n v="0"/>
    <n v="10.502650260925293"/>
  </r>
  <r>
    <x v="2"/>
    <x v="16"/>
    <s v="TI/SI"/>
    <s v="Álisson Costa"/>
    <s v="TI/SI"/>
    <s v="Álisson Costa"/>
    <s v="DGE"/>
    <s v="TI00316"/>
    <s v="TINV.15.D.042.NC"/>
    <s v="Desenvolvimento do Módulo Negociação da Inadimplência"/>
    <s v="Faturamento Residual Ciclo 2013-2020"/>
    <s v="-"/>
    <s v="-"/>
    <n v="9.5870800018310547"/>
    <n v="0"/>
    <n v="0"/>
    <n v="0"/>
    <n v="0"/>
    <n v="9.5870800018310547"/>
    <n v="0"/>
    <n v="0"/>
    <n v="0"/>
    <n v="0"/>
    <n v="0"/>
    <n v="0"/>
    <n v="0"/>
    <n v="0"/>
    <n v="0"/>
    <n v="0"/>
    <n v="0"/>
    <n v="0"/>
    <n v="0"/>
    <n v="0"/>
    <n v="0"/>
    <n v="0"/>
    <n v="0"/>
    <n v="0"/>
    <n v="0"/>
    <n v="0"/>
    <n v="0"/>
    <n v="0"/>
    <n v="0"/>
    <n v="0"/>
    <n v="0"/>
    <n v="0"/>
    <n v="0"/>
    <n v="0"/>
    <n v="0"/>
    <n v="0"/>
    <n v="0"/>
    <n v="0"/>
    <n v="0"/>
    <n v="0"/>
    <n v="0"/>
    <n v="0"/>
    <n v="0"/>
    <n v="0"/>
    <n v="0"/>
    <n v="0"/>
    <n v="0"/>
    <n v="0"/>
    <n v="0"/>
    <n v="0"/>
    <n v="0"/>
    <n v="0"/>
    <n v="0"/>
    <n v="0"/>
    <n v="0"/>
    <n v="0"/>
    <n v="0"/>
    <n v="0"/>
    <n v="9.5870800018310547"/>
  </r>
  <r>
    <x v="2"/>
    <x v="16"/>
    <s v="TI/SI"/>
    <s v="Álisson Costa"/>
    <s v="TI/SI"/>
    <s v="Álisson Costa"/>
    <s v="DGE"/>
    <s v="TI00914"/>
    <s v="TINV.14.D.042.ES"/>
    <s v="Evolução e Sustentação SAP TI00914"/>
    <s v="Faturamento Residual Ciclo 2013-2018"/>
    <s v="-"/>
    <s v="-"/>
    <n v="0.70901525020599365"/>
    <n v="0"/>
    <n v="0"/>
    <n v="0"/>
    <n v="0"/>
    <n v="0.70901525020599365"/>
    <n v="0"/>
    <n v="0"/>
    <n v="0"/>
    <n v="0"/>
    <n v="0"/>
    <n v="0"/>
    <n v="0"/>
    <n v="0"/>
    <n v="0"/>
    <n v="0"/>
    <n v="0"/>
    <n v="0"/>
    <n v="0"/>
    <n v="0"/>
    <n v="0"/>
    <n v="0"/>
    <n v="0"/>
    <n v="0"/>
    <n v="0"/>
    <n v="0"/>
    <n v="0"/>
    <n v="0"/>
    <n v="0"/>
    <n v="0"/>
    <n v="0"/>
    <n v="0"/>
    <n v="0"/>
    <n v="0"/>
    <n v="0"/>
    <n v="0"/>
    <n v="0"/>
    <n v="0"/>
    <n v="0"/>
    <n v="0"/>
    <n v="0"/>
    <n v="0"/>
    <n v="0"/>
    <n v="0"/>
    <n v="0"/>
    <n v="0"/>
    <n v="0"/>
    <n v="0"/>
    <n v="0"/>
    <n v="0"/>
    <n v="0"/>
    <n v="0"/>
    <n v="0"/>
    <n v="0"/>
    <n v="0"/>
    <n v="0"/>
    <n v="0"/>
    <n v="0"/>
    <n v="0.70901525020599365"/>
  </r>
  <r>
    <x v="2"/>
    <x v="17"/>
    <s v="MS/LA"/>
    <s v="José Flávio/Amaro Freitas"/>
    <s v="MS/LA"/>
    <s v="José Flávio/Amaro Freitas"/>
    <s v="DGE"/>
    <s v="NA"/>
    <m/>
    <s v="Semirreboque modular articulado tipo linha de eixo (06 linhas) para transporte especial de cargas indivisíveis e excedentes de peso e/ou dimensões, para atender ao sistema elétrico de potência -SEP"/>
    <s v="SEMIRREBOQUE MODULAR, ARTICULADO, DE 6 LINHAS DE EIXO,  SUSPENSÃO HIDRÁULICA DIRECIIONAL, PERCOÇO ARTICULADO, PARA TRANSPORTE DE CARGAS INDIVISÍVEIS E EXCEDENTES DE PESO E/OU DIMENSÕES PARA ATENDIMENTO AO SISTEMA ELÉTRICO DE POTÊNCIA; "/>
    <s v="Sucateamento do ferramental das equipes de transporte e movimentação de cargas especias, elevados custos de manutenção, grande indisponibilidades por falta de peças de reposição, não atendimento dos prazos pactuados dos atendimentos às,  emergências, serviços programados e de  manutenção do sistema elétrico de potência- sep, dificuldade de roteirização em função do comprimento do conjunto transportador risco de impactos negativos dada as restrições gerados na infraestrutura viária, ambiental,  mobilidade, acessibilidade às instalações(ses, usinas, oficinas manutenção); _x000a_Aplicação de multas expressivas à cemig, por interrupção do fornecimento de energia a consumidores em limites exorbitantes, fora dos previstos em lei, com impactos diretos no DEC, FEC, DIC e DMIC._x000a_"/>
    <m/>
    <m/>
    <m/>
    <m/>
    <m/>
    <m/>
    <n v="0"/>
    <n v="1364"/>
    <m/>
    <m/>
    <m/>
    <m/>
    <m/>
    <m/>
    <m/>
    <m/>
    <m/>
    <m/>
    <m/>
    <n v="1364"/>
    <n v="1364"/>
    <m/>
    <m/>
    <m/>
    <m/>
    <m/>
    <m/>
    <m/>
    <m/>
    <m/>
    <m/>
    <m/>
    <n v="1364"/>
    <m/>
    <m/>
    <m/>
    <m/>
    <m/>
    <m/>
    <m/>
    <m/>
    <m/>
    <m/>
    <m/>
    <m/>
    <n v="0"/>
    <m/>
    <m/>
    <m/>
    <m/>
    <m/>
    <m/>
    <m/>
    <m/>
    <m/>
    <m/>
    <m/>
    <m/>
    <n v="0"/>
    <n v="2728"/>
  </r>
  <r>
    <x v="2"/>
    <x v="17"/>
    <s v="SC"/>
    <s v="Ormindo Coutinho Filho"/>
    <s v="MD"/>
    <s v="Fabio Henrique de Souza"/>
    <s v="DGE"/>
    <s v="MD00218"/>
    <s v="INFR.346.01218"/>
    <s v="Aquisição de carroceria e cesta Aérea para Trabalhos em Linha Viva 138KV - MD00218"/>
    <s v="Aquisição de carroceria e montagem e cesta Aérea para Trabalhos em Linha Viva 138KV"/>
    <s v="Comprometer a produtividade das equipes e atendimento aos indices de qualidade de fornecimento da Alta Tensão."/>
    <s v="Será feita uma compra internacional, cujo prazo de entrega após o processo licitatória é de 7 (sete) meses."/>
    <m/>
    <m/>
    <m/>
    <m/>
    <m/>
    <n v="0"/>
    <m/>
    <m/>
    <m/>
    <n v="1656"/>
    <m/>
    <m/>
    <m/>
    <m/>
    <m/>
    <m/>
    <m/>
    <m/>
    <n v="1656"/>
    <n v="0"/>
    <m/>
    <m/>
    <m/>
    <m/>
    <m/>
    <m/>
    <m/>
    <m/>
    <m/>
    <m/>
    <m/>
    <n v="0"/>
    <m/>
    <m/>
    <m/>
    <m/>
    <m/>
    <m/>
    <m/>
    <m/>
    <m/>
    <m/>
    <m/>
    <m/>
    <n v="0"/>
    <m/>
    <m/>
    <m/>
    <m/>
    <m/>
    <m/>
    <m/>
    <m/>
    <m/>
    <m/>
    <m/>
    <m/>
    <n v="0"/>
    <n v="1656"/>
  </r>
  <r>
    <x v="2"/>
    <x v="17"/>
    <s v="SC"/>
    <s v="Ormindo Coutinho Filho"/>
    <s v="SC"/>
    <s v="Ormindo Coutinho Filho"/>
    <s v="DGE"/>
    <s v="NA"/>
    <m/>
    <s v="Substituição de Veículos da Diretoria Executiva - Distribuição"/>
    <s v="Renovação da frota de veículos da Diretoria Executiva - Distribuição"/>
    <s v="Aumento de despesas com manutenção, indisponibilidade dos veículos."/>
    <s v="Diretriz empresarial: será solicitada à PP a elaboração de análise econômica financeira para a indicação da melhor opção para a Companhia, se compra ou locação. Caso seja avaliada a locação como melhor alternativa, será estudada a possibilidade de adesão a Ata de registro de preço já disponíveis."/>
    <m/>
    <m/>
    <m/>
    <m/>
    <m/>
    <n v="0"/>
    <m/>
    <m/>
    <m/>
    <m/>
    <m/>
    <m/>
    <n v="1054.4000000000001"/>
    <m/>
    <m/>
    <m/>
    <m/>
    <m/>
    <n v="1054.4000000000001"/>
    <m/>
    <m/>
    <m/>
    <m/>
    <m/>
    <m/>
    <m/>
    <m/>
    <m/>
    <m/>
    <m/>
    <m/>
    <n v="0"/>
    <m/>
    <m/>
    <m/>
    <m/>
    <m/>
    <m/>
    <m/>
    <m/>
    <m/>
    <m/>
    <m/>
    <m/>
    <n v="0"/>
    <m/>
    <m/>
    <m/>
    <m/>
    <m/>
    <m/>
    <m/>
    <m/>
    <m/>
    <m/>
    <m/>
    <m/>
    <n v="0"/>
    <n v="1054.4000000000001"/>
  </r>
  <r>
    <x v="2"/>
    <x v="17"/>
    <s v="SC"/>
    <s v="Ormindo Coutinho Filho"/>
    <s v="SC"/>
    <s v="Ormindo Coutinho Filho"/>
    <s v="DGE"/>
    <s v="NA"/>
    <m/>
    <s v="Aquisição de carroceria e cesta Aérea para Trabalhos em Linha Viva 138KV"/>
    <s v="Aquisição de carroceria e montagem e cesta Aérea para Trabalhos em Linha Viva 138KV"/>
    <s v="Comprometer a produtividade das equipes e atendimento aos indices de qualidade de fornecimento da Alta Tensão."/>
    <m/>
    <m/>
    <m/>
    <m/>
    <m/>
    <m/>
    <n v="0"/>
    <m/>
    <m/>
    <m/>
    <m/>
    <m/>
    <m/>
    <m/>
    <m/>
    <m/>
    <m/>
    <m/>
    <m/>
    <n v="0"/>
    <n v="720"/>
    <m/>
    <m/>
    <m/>
    <m/>
    <m/>
    <m/>
    <m/>
    <m/>
    <m/>
    <m/>
    <m/>
    <n v="720"/>
    <m/>
    <m/>
    <m/>
    <m/>
    <m/>
    <m/>
    <m/>
    <m/>
    <m/>
    <m/>
    <m/>
    <m/>
    <n v="0"/>
    <m/>
    <m/>
    <m/>
    <m/>
    <m/>
    <m/>
    <m/>
    <m/>
    <m/>
    <m/>
    <m/>
    <m/>
    <n v="0"/>
    <n v="720"/>
  </r>
  <r>
    <x v="2"/>
    <x v="17"/>
    <s v="SC"/>
    <s v="Ormindo Coutinho Filho"/>
    <s v="SC"/>
    <s v="Ormindo Coutinho Filho"/>
    <s v="DGE"/>
    <s v="NA"/>
    <m/>
    <s v="Aquisição de Guindaste Hidráulico Veicular e Carroceria modular metálica p/ RDS"/>
    <s v="Instalar nos caminhões equipamentos hidraulicos para movimentação, içamento e remoção, que permite carregar, transportar e descarregar equipamentos"/>
    <s v="Comprometer a qualidade dos serviços prestados e  a produtividade das equipes de Rede de Distribuição Subterrânea"/>
    <m/>
    <m/>
    <m/>
    <m/>
    <m/>
    <m/>
    <n v="0"/>
    <m/>
    <m/>
    <m/>
    <m/>
    <m/>
    <m/>
    <m/>
    <m/>
    <m/>
    <m/>
    <m/>
    <m/>
    <n v="0"/>
    <n v="350"/>
    <m/>
    <m/>
    <m/>
    <m/>
    <m/>
    <m/>
    <m/>
    <m/>
    <m/>
    <m/>
    <m/>
    <n v="350"/>
    <n v="350"/>
    <m/>
    <m/>
    <m/>
    <m/>
    <m/>
    <m/>
    <m/>
    <m/>
    <m/>
    <m/>
    <m/>
    <n v="350"/>
    <m/>
    <m/>
    <m/>
    <m/>
    <m/>
    <m/>
    <m/>
    <m/>
    <m/>
    <m/>
    <m/>
    <m/>
    <n v="0"/>
    <n v="700"/>
  </r>
  <r>
    <x v="2"/>
    <x v="17"/>
    <s v="SC"/>
    <s v="Ormindo Coutinho Filho"/>
    <s v="SC"/>
    <s v="Ormindo Coutinho Filho"/>
    <s v="DGE"/>
    <s v="NA"/>
    <m/>
    <s v="CARRETA TANQUE CAP. 25.000LT TRANSP. OLEO ISOLANTE"/>
    <s v="CARRETA TANQUE CAP. 25.000LT TRANSP. OLEO ISOLANTE"/>
    <s v="Paralisação das atividades de manutenção alta tensão "/>
    <m/>
    <m/>
    <m/>
    <m/>
    <m/>
    <m/>
    <n v="0"/>
    <m/>
    <m/>
    <m/>
    <m/>
    <m/>
    <m/>
    <n v="500"/>
    <m/>
    <m/>
    <m/>
    <m/>
    <m/>
    <n v="500"/>
    <m/>
    <m/>
    <m/>
    <m/>
    <m/>
    <m/>
    <m/>
    <m/>
    <m/>
    <m/>
    <m/>
    <m/>
    <n v="0"/>
    <m/>
    <m/>
    <m/>
    <m/>
    <m/>
    <m/>
    <m/>
    <m/>
    <m/>
    <m/>
    <m/>
    <m/>
    <n v="0"/>
    <m/>
    <m/>
    <m/>
    <m/>
    <m/>
    <m/>
    <m/>
    <m/>
    <m/>
    <m/>
    <m/>
    <m/>
    <n v="0"/>
    <n v="500"/>
  </r>
  <r>
    <x v="2"/>
    <x v="17"/>
    <s v="SC"/>
    <s v="Ormindo Coutinho Filho"/>
    <s v="SC"/>
    <s v="Ormindo Coutinho Filho"/>
    <s v="DGE"/>
    <s v="NA"/>
    <m/>
    <s v="Aquisição de Caminhão e Guindaste Hidráulico 25 toneladas para RDS"/>
    <s v="Aquisição de caminhão e equipamento hidraulico para movimentação, içamento e remoção, que permite carregar, transportar e descarregar equipamentos de até 25 toneladas"/>
    <s v="Comprometer a produtividade das equipes da rede de distribuição subterrânea"/>
    <m/>
    <m/>
    <m/>
    <m/>
    <m/>
    <m/>
    <n v="0"/>
    <m/>
    <m/>
    <m/>
    <m/>
    <m/>
    <m/>
    <m/>
    <m/>
    <m/>
    <m/>
    <m/>
    <m/>
    <n v="0"/>
    <n v="368"/>
    <m/>
    <m/>
    <m/>
    <m/>
    <m/>
    <m/>
    <m/>
    <m/>
    <m/>
    <m/>
    <m/>
    <n v="368"/>
    <m/>
    <m/>
    <m/>
    <m/>
    <m/>
    <m/>
    <m/>
    <m/>
    <m/>
    <m/>
    <m/>
    <m/>
    <n v="0"/>
    <m/>
    <m/>
    <m/>
    <m/>
    <m/>
    <m/>
    <m/>
    <m/>
    <m/>
    <m/>
    <m/>
    <m/>
    <n v="0"/>
    <n v="368"/>
  </r>
  <r>
    <x v="2"/>
    <x v="17"/>
    <s v="SC"/>
    <s v="Ormindo Coutinho Filho"/>
    <s v="SC"/>
    <s v="Ormindo Coutinho Filho"/>
    <s v="DGE"/>
    <s v="NA"/>
    <m/>
    <s v="Aquisição de tanques para combustível"/>
    <s v="Atualização tecnológica do tanque de combustível, já que o atual está validade ultrapassada e requer inspeções trimestrais (despesa operacional)"/>
    <s v="Aumento da despesa operacional."/>
    <s v="Houve alteração de mercado em relação às opções até então disponíveis. Necessidade de prospectar novamente no mercado e construir a especificação técnica."/>
    <m/>
    <m/>
    <m/>
    <m/>
    <m/>
    <n v="0"/>
    <m/>
    <m/>
    <m/>
    <m/>
    <m/>
    <m/>
    <m/>
    <m/>
    <n v="300"/>
    <m/>
    <m/>
    <m/>
    <n v="300"/>
    <m/>
    <m/>
    <m/>
    <m/>
    <m/>
    <m/>
    <m/>
    <m/>
    <m/>
    <m/>
    <m/>
    <m/>
    <n v="0"/>
    <m/>
    <m/>
    <m/>
    <m/>
    <m/>
    <m/>
    <m/>
    <m/>
    <m/>
    <m/>
    <m/>
    <m/>
    <n v="0"/>
    <m/>
    <m/>
    <m/>
    <m/>
    <m/>
    <m/>
    <m/>
    <m/>
    <m/>
    <m/>
    <m/>
    <m/>
    <n v="0"/>
    <n v="300"/>
  </r>
  <r>
    <x v="2"/>
    <x v="17"/>
    <s v="SC"/>
    <s v="Ormindo Coutinho Filho"/>
    <s v="SC"/>
    <s v="Ormindo Coutinho Filho"/>
    <s v="DGE"/>
    <s v="NA"/>
    <m/>
    <s v="Aquisição de Caminhão para instalação da cesta aérea isolada para 138KV"/>
    <s v="Aquisição de caminhão para instalação da cesta aérea isolada para 138 kV"/>
    <s v="Comprometer a produtividade das equipes e atendimento aos indices de qualidade de fornecimento da Alta Tensão."/>
    <m/>
    <m/>
    <m/>
    <m/>
    <m/>
    <m/>
    <n v="0"/>
    <m/>
    <m/>
    <m/>
    <m/>
    <m/>
    <m/>
    <m/>
    <m/>
    <m/>
    <m/>
    <m/>
    <m/>
    <n v="0"/>
    <n v="180"/>
    <m/>
    <m/>
    <m/>
    <m/>
    <m/>
    <m/>
    <m/>
    <m/>
    <m/>
    <m/>
    <m/>
    <n v="180"/>
    <m/>
    <m/>
    <m/>
    <m/>
    <m/>
    <m/>
    <m/>
    <m/>
    <m/>
    <m/>
    <m/>
    <m/>
    <n v="0"/>
    <m/>
    <m/>
    <m/>
    <m/>
    <m/>
    <m/>
    <m/>
    <m/>
    <m/>
    <m/>
    <m/>
    <m/>
    <n v="0"/>
    <n v="180"/>
  </r>
  <r>
    <x v="2"/>
    <x v="17"/>
    <s v="SC"/>
    <s v="Ormindo Coutinho Filho"/>
    <s v="SC"/>
    <s v="Ormindo Coutinho Filho"/>
    <s v="DGE"/>
    <s v="NA"/>
    <m/>
    <s v="Aquisição de Retroescavadeira compacta"/>
    <s v="Aquisição de Retroescavadeira compacta para manutenção da via de acesso para trabalho das equipes de Linhas de Distribuição"/>
    <s v="Comprometer a produtividade das equipes, atendimentos emergenciais e aumentar a utilização de recursos de despesas."/>
    <m/>
    <m/>
    <m/>
    <m/>
    <m/>
    <m/>
    <n v="0"/>
    <m/>
    <m/>
    <m/>
    <m/>
    <m/>
    <m/>
    <m/>
    <m/>
    <m/>
    <m/>
    <m/>
    <m/>
    <n v="0"/>
    <m/>
    <m/>
    <m/>
    <m/>
    <m/>
    <m/>
    <m/>
    <m/>
    <m/>
    <m/>
    <m/>
    <m/>
    <n v="0"/>
    <m/>
    <m/>
    <m/>
    <m/>
    <m/>
    <m/>
    <m/>
    <m/>
    <m/>
    <m/>
    <m/>
    <m/>
    <n v="0"/>
    <n v="170"/>
    <m/>
    <m/>
    <m/>
    <m/>
    <m/>
    <m/>
    <m/>
    <m/>
    <m/>
    <m/>
    <m/>
    <n v="170"/>
    <n v="170"/>
  </r>
  <r>
    <x v="2"/>
    <x v="17"/>
    <s v="SC"/>
    <s v="Ormindo Coutinho Filho"/>
    <s v="MD"/>
    <s v="Fabio Henrique de Souza"/>
    <s v="DDC"/>
    <s v="MD00418"/>
    <s v="INFR.346.03818"/>
    <s v="Aquisição de veículo para MD para instalação de Sistema Veicular de Inspeção Termográfica e Visual para inspeção de subestações, redes e linhas aéreas."/>
    <m/>
    <m/>
    <m/>
    <m/>
    <m/>
    <m/>
    <m/>
    <n v="90"/>
    <n v="90"/>
    <m/>
    <m/>
    <m/>
    <m/>
    <m/>
    <m/>
    <m/>
    <m/>
    <m/>
    <m/>
    <m/>
    <m/>
    <n v="0"/>
    <m/>
    <m/>
    <m/>
    <m/>
    <m/>
    <m/>
    <m/>
    <m/>
    <m/>
    <m/>
    <m/>
    <m/>
    <n v="0"/>
    <m/>
    <m/>
    <m/>
    <m/>
    <m/>
    <m/>
    <m/>
    <m/>
    <m/>
    <m/>
    <m/>
    <m/>
    <n v="0"/>
    <m/>
    <m/>
    <m/>
    <m/>
    <m/>
    <m/>
    <m/>
    <m/>
    <m/>
    <m/>
    <m/>
    <m/>
    <n v="0"/>
    <n v="90"/>
  </r>
  <r>
    <x v="2"/>
    <x v="17"/>
    <s v="MS/LA"/>
    <s v="José Flávio/Amaro Freitas"/>
    <s v="MS/LA"/>
    <s v="José Flávio/Amaro Freitas"/>
    <s v="DGE"/>
    <s v="NA"/>
    <m/>
    <s v="Kit movimentação circuito / sistema pneumático para movimentação mecânica de cargas de peso e dimensão elevado a ser instalado em caminhão truck para equipe de movimentação de cargas especiais"/>
    <s v="CONJUNTO COM INTENSIFICADOR DE PRESSÃO HIDRAULICO COMPOSTO DE MANÔMETRO, SISTEMA DE DUPLA AÇÃO, COM VALVULA REGULADORA DE PRESSÃO DE 4 VIAS, 3 POSICOES /FUNÇOES DA VALVULA: AVANÇO / RETENÇÃO/ RETORNO, DE VAZÃO  44 pol³ / min, PESO: 7,26 Kg;"/>
    <s v="RISCO DE OCORÊNCIA DE ACIDENTES, BAIXA PRODUTIVIDADE DOS ATENDIMENTOS, OBSOLESCÊNCIA DO FERRAMENTAL, ELEVADO CUSTO MANUTENÇÃO, RISCO DO NÃO ATENDIMENTO EFICAZ  ÀS EMERGÊNCIAS DO SISTEMA ELÉTRICO DE POTÊNCIA- SEP, JUNTO AS INSTALAÇÃOES ENERGIZADASPRÓPRIAS E/OU TERCEIROS, USINAS, OFICINAS MANUTENÇÃO,PRÓPRIAS E/OU TERCEIROS;   _x000a_Aplicação de multas expressivas à Cemig, por interrupção do fornecimento de energia a consumidores em limites exorbitantes, fora dos previstos em lei, com impactos diretos no DEC, FEC, DIC e DMIC."/>
    <s v="Trata-se de desenvolvimento do produto."/>
    <m/>
    <m/>
    <m/>
    <m/>
    <m/>
    <n v="0"/>
    <m/>
    <m/>
    <m/>
    <m/>
    <m/>
    <m/>
    <m/>
    <m/>
    <m/>
    <n v="82"/>
    <m/>
    <m/>
    <n v="82"/>
    <m/>
    <m/>
    <m/>
    <m/>
    <m/>
    <m/>
    <m/>
    <m/>
    <m/>
    <m/>
    <m/>
    <m/>
    <n v="0"/>
    <m/>
    <m/>
    <m/>
    <m/>
    <m/>
    <m/>
    <m/>
    <m/>
    <m/>
    <m/>
    <m/>
    <m/>
    <n v="0"/>
    <m/>
    <m/>
    <m/>
    <m/>
    <m/>
    <m/>
    <m/>
    <m/>
    <m/>
    <m/>
    <m/>
    <m/>
    <n v="0"/>
    <n v="82"/>
  </r>
  <r>
    <x v="3"/>
    <x v="18"/>
    <s v="TI/IO"/>
    <s v="Carlos Araújo"/>
    <s v="TI/IO"/>
    <s v="Carlos Araújo"/>
    <s v="DGE"/>
    <s v="TI04518"/>
    <s v="TINV.18.H.045.MP"/>
    <s v="Modernização do Parque Microinformática (CORPORATIVO) H"/>
    <s v="Atualização do parque de microinformática mediante aquisição de microcomputadores, notebooks, Ultrabooks, dispositivos móveis etc. para atender a política de substituição de 20% ao ano. Desempenho, incompatibilidade, segurança, aumento do custo de despesas, perda de produtividade. Obsolescencia de eqpto."/>
    <s v="-"/>
    <s v="-"/>
    <n v="0"/>
    <n v="0"/>
    <n v="0"/>
    <n v="0"/>
    <n v="75"/>
    <n v="75"/>
    <n v="0"/>
    <n v="0"/>
    <n v="0"/>
    <n v="0"/>
    <n v="0"/>
    <n v="0"/>
    <n v="0"/>
    <n v="0"/>
    <n v="75"/>
    <n v="0"/>
    <n v="0"/>
    <n v="0"/>
    <n v="75"/>
    <n v="0"/>
    <n v="0"/>
    <n v="0"/>
    <n v="0"/>
    <n v="0"/>
    <n v="0"/>
    <n v="0"/>
    <n v="0"/>
    <n v="150"/>
    <n v="0"/>
    <n v="0"/>
    <n v="0"/>
    <n v="150"/>
    <n v="0"/>
    <n v="0"/>
    <n v="0"/>
    <n v="0"/>
    <n v="0"/>
    <n v="0"/>
    <n v="0"/>
    <n v="0"/>
    <n v="150"/>
    <n v="0"/>
    <n v="0"/>
    <n v="0"/>
    <n v="150"/>
    <n v="0"/>
    <n v="0"/>
    <n v="0"/>
    <n v="0"/>
    <n v="0"/>
    <n v="0"/>
    <n v="0"/>
    <n v="0"/>
    <n v="0"/>
    <n v="0"/>
    <n v="250"/>
    <n v="0"/>
    <n v="250"/>
    <n v="700"/>
  </r>
  <r>
    <x v="3"/>
    <x v="19"/>
    <s v="TI/IO"/>
    <s v="Marcus Souto"/>
    <s v="TI/IO"/>
    <s v="Marcus Souto"/>
    <s v="DGE"/>
    <s v="TI07118"/>
    <s v="TINV.18.H.045.MS"/>
    <s v="Licenciamento Microsoft H"/>
    <s v="Renovação do contrato de licenciamento de software que contempla Windows Server, Office, etc (2015). Para os demais anos, atendimento às demandas de novos projetos"/>
    <s v="-"/>
    <s v="Postergação do desembolso, conforme estratégia de contratação/renovação dos produtos licenciados."/>
    <m/>
    <n v="0"/>
    <n v="0"/>
    <n v="0"/>
    <n v="15"/>
    <n v="15"/>
    <n v="0"/>
    <n v="0"/>
    <n v="0"/>
    <n v="0"/>
    <n v="0"/>
    <n v="0"/>
    <n v="0"/>
    <n v="15"/>
    <n v="0"/>
    <n v="0"/>
    <n v="0"/>
    <n v="0"/>
    <n v="15"/>
    <n v="0"/>
    <n v="0"/>
    <n v="0"/>
    <n v="0"/>
    <n v="0"/>
    <n v="0"/>
    <n v="0"/>
    <n v="15"/>
    <n v="0"/>
    <n v="0"/>
    <n v="0"/>
    <n v="0"/>
    <n v="15"/>
    <n v="0"/>
    <n v="0"/>
    <n v="0"/>
    <n v="0"/>
    <n v="0"/>
    <n v="0"/>
    <n v="0"/>
    <n v="812"/>
    <n v="0"/>
    <n v="0"/>
    <n v="0"/>
    <n v="0"/>
    <n v="812"/>
    <n v="0"/>
    <n v="0"/>
    <n v="0"/>
    <n v="0"/>
    <n v="0"/>
    <n v="0"/>
    <n v="0"/>
    <n v="812"/>
    <n v="0"/>
    <n v="0"/>
    <n v="0"/>
    <n v="0"/>
    <n v="812"/>
    <n v="1669"/>
  </r>
  <r>
    <x v="3"/>
    <x v="19"/>
    <s v="TI/SI"/>
    <s v="Álisson Costa"/>
    <s v="TI/SI"/>
    <s v="Álisson Costa"/>
    <s v="DGE"/>
    <s v="TI01114"/>
    <s v="TINV.14.H.042.SJ"/>
    <s v="SISJUR - Novo Sistema Jurídico"/>
    <s v="Construção do novo sistema jurídico, em curso desde 2013."/>
    <s v="Obsolescência do sistema antigo; falta de interface com os sistemas legados;"/>
    <s v="Revisão do escopo do projeto, conforme demanda da área usuária."/>
    <n v="7.6050000190734863"/>
    <n v="0"/>
    <n v="0"/>
    <n v="0"/>
    <n v="212.39499998092671"/>
    <n v="220.0000000000002"/>
    <n v="0"/>
    <n v="0"/>
    <n v="0"/>
    <n v="0"/>
    <n v="0"/>
    <n v="0"/>
    <n v="0"/>
    <n v="0"/>
    <n v="0"/>
    <n v="0"/>
    <n v="0"/>
    <n v="0"/>
    <n v="0"/>
    <n v="0"/>
    <n v="0"/>
    <n v="0"/>
    <n v="0"/>
    <n v="0"/>
    <n v="0"/>
    <n v="0"/>
    <n v="0"/>
    <n v="0"/>
    <n v="0"/>
    <n v="0"/>
    <n v="0"/>
    <n v="0"/>
    <n v="0"/>
    <n v="0"/>
    <n v="0"/>
    <n v="0"/>
    <n v="0"/>
    <n v="0"/>
    <n v="0"/>
    <n v="0"/>
    <n v="0"/>
    <n v="0"/>
    <n v="0"/>
    <n v="0"/>
    <n v="0"/>
    <n v="0"/>
    <n v="0"/>
    <n v="0"/>
    <n v="0"/>
    <n v="0"/>
    <n v="0"/>
    <n v="0"/>
    <n v="0"/>
    <n v="0"/>
    <n v="0"/>
    <n v="0"/>
    <n v="0"/>
    <n v="0"/>
    <n v="22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ela dinâmica2" cacheId="7" applyNumberFormats="0" applyBorderFormats="0" applyFontFormats="0" applyPatternFormats="0" applyAlignmentFormats="0" applyWidthHeightFormats="1" dataCaption="Valores" updatedVersion="5" minRefreshableVersion="3" itemPrintTitles="1" createdVersion="5" indent="0" compact="0" compactData="0" gridDropZones="1" multipleFieldFilters="0" chartFormat="23">
  <location ref="B4:I30" firstHeaderRow="1" firstDataRow="2" firstDataCol="2"/>
  <pivotFields count="72">
    <pivotField name="Negócio" axis="axisRow" compact="0" outline="0" showAll="0">
      <items count="5">
        <item x="0"/>
        <item x="1"/>
        <item x="2"/>
        <item x="3"/>
        <item t="default"/>
      </items>
    </pivotField>
    <pivotField axis="axisRow" compact="0" outline="0" showAll="0">
      <items count="21">
        <item x="0"/>
        <item x="1"/>
        <item x="2"/>
        <item x="3"/>
        <item x="6"/>
        <item x="7"/>
        <item x="8"/>
        <item x="9"/>
        <item x="10"/>
        <item x="12"/>
        <item x="13"/>
        <item x="14"/>
        <item x="15"/>
        <item x="16"/>
        <item x="18"/>
        <item x="19"/>
        <item x="17"/>
        <item x="4"/>
        <item x="5"/>
        <item x="11"/>
        <item t="default"/>
      </items>
    </pivotField>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dataField="1" compact="0" numFmtId="41"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numFmtId="41" outline="0" showAll="0" defaultSubtotal="0"/>
    <pivotField dataField="1" compact="0" numFmtId="41" outline="0" showAll="0" defaultSubtotal="0"/>
  </pivotFields>
  <rowFields count="2">
    <field x="0"/>
    <field x="1"/>
  </rowFields>
  <rowItems count="25">
    <i>
      <x/>
      <x/>
    </i>
    <i r="1">
      <x v="1"/>
    </i>
    <i r="1">
      <x v="2"/>
    </i>
    <i r="1">
      <x v="3"/>
    </i>
    <i r="1">
      <x v="17"/>
    </i>
    <i r="1">
      <x v="18"/>
    </i>
    <i t="default">
      <x/>
    </i>
    <i>
      <x v="1"/>
      <x v="4"/>
    </i>
    <i r="1">
      <x v="5"/>
    </i>
    <i r="1">
      <x v="6"/>
    </i>
    <i r="1">
      <x v="7"/>
    </i>
    <i r="1">
      <x v="8"/>
    </i>
    <i r="1">
      <x v="19"/>
    </i>
    <i t="default">
      <x v="1"/>
    </i>
    <i>
      <x v="2"/>
      <x v="9"/>
    </i>
    <i r="1">
      <x v="10"/>
    </i>
    <i r="1">
      <x v="11"/>
    </i>
    <i r="1">
      <x v="12"/>
    </i>
    <i r="1">
      <x v="13"/>
    </i>
    <i r="1">
      <x v="16"/>
    </i>
    <i t="default">
      <x v="2"/>
    </i>
    <i>
      <x v="3"/>
      <x v="14"/>
    </i>
    <i r="1">
      <x v="15"/>
    </i>
    <i t="default">
      <x v="3"/>
    </i>
    <i t="grand">
      <x/>
    </i>
  </rowItems>
  <colFields count="1">
    <field x="-2"/>
  </colFields>
  <colItems count="6">
    <i>
      <x/>
    </i>
    <i i="1">
      <x v="1"/>
    </i>
    <i i="2">
      <x v="2"/>
    </i>
    <i i="3">
      <x v="3"/>
    </i>
    <i i="4">
      <x v="4"/>
    </i>
    <i i="5">
      <x v="5"/>
    </i>
  </colItems>
  <dataFields count="6">
    <dataField name="2018" fld="18" baseField="0" baseItem="0" numFmtId="171"/>
    <dataField name="2019" fld="31" baseField="0" baseItem="0"/>
    <dataField name="2020" fld="44" baseField="0" baseItem="0"/>
    <dataField name="2021" fld="57" baseField="0" baseItem="0"/>
    <dataField name="2022" fld="70" baseField="0" baseItem="0"/>
    <dataField name=" Total_x000a_2018/22" fld="71" baseField="0" baseItem="0" numFmtId="41"/>
  </dataFields>
  <formats count="18">
    <format dxfId="38">
      <pivotArea outline="0" collapsedLevelsAreSubtotals="1" fieldPosition="0"/>
    </format>
    <format dxfId="37">
      <pivotArea field="0" type="button" dataOnly="0" labelOnly="1" outline="0" axis="axisRow" fieldPosition="0"/>
    </format>
    <format dxfId="36">
      <pivotArea field="1" type="button" dataOnly="0" labelOnly="1" outline="0" axis="axisRow" fieldPosition="1"/>
    </format>
    <format dxfId="35">
      <pivotArea dataOnly="0" labelOnly="1" outline="0" fieldPosition="0">
        <references count="1">
          <reference field="4294967294" count="6">
            <x v="0"/>
            <x v="1"/>
            <x v="2"/>
            <x v="3"/>
            <x v="4"/>
            <x v="5"/>
          </reference>
        </references>
      </pivotArea>
    </format>
    <format dxfId="34">
      <pivotArea dataOnly="0" labelOnly="1" outline="0" fieldPosition="0">
        <references count="1">
          <reference field="4294967294" count="1">
            <x v="5"/>
          </reference>
        </references>
      </pivotArea>
    </format>
    <format dxfId="33">
      <pivotArea field="0" type="button" dataOnly="0" labelOnly="1" outline="0" axis="axisRow" fieldPosition="0"/>
    </format>
    <format dxfId="32">
      <pivotArea field="1" type="button" dataOnly="0" labelOnly="1" outline="0" axis="axisRow" fieldPosition="1"/>
    </format>
    <format dxfId="31">
      <pivotArea dataOnly="0" labelOnly="1" outline="0" fieldPosition="0">
        <references count="1">
          <reference field="4294967294" count="6">
            <x v="0"/>
            <x v="1"/>
            <x v="2"/>
            <x v="3"/>
            <x v="4"/>
            <x v="5"/>
          </reference>
        </references>
      </pivotArea>
    </format>
    <format dxfId="30">
      <pivotArea type="all" dataOnly="0" outline="0" fieldPosition="0"/>
    </format>
    <format dxfId="29">
      <pivotArea outline="0" collapsedLevelsAreSubtotals="1" fieldPosition="0"/>
    </format>
    <format dxfId="28">
      <pivotArea dataOnly="0" labelOnly="1" outline="0" fieldPosition="0">
        <references count="1">
          <reference field="0" count="0"/>
        </references>
      </pivotArea>
    </format>
    <format dxfId="27">
      <pivotArea dataOnly="0" labelOnly="1" outline="0" fieldPosition="0">
        <references count="1">
          <reference field="0" count="0" defaultSubtotal="1"/>
        </references>
      </pivotArea>
    </format>
    <format dxfId="26">
      <pivotArea dataOnly="0" labelOnly="1" grandRow="1" outline="0" fieldPosition="0"/>
    </format>
    <format dxfId="25">
      <pivotArea dataOnly="0" labelOnly="1" outline="0" fieldPosition="0">
        <references count="1">
          <reference field="4294967294" count="6">
            <x v="0"/>
            <x v="1"/>
            <x v="2"/>
            <x v="3"/>
            <x v="4"/>
            <x v="5"/>
          </reference>
        </references>
      </pivotArea>
    </format>
    <format dxfId="24">
      <pivotArea outline="0" fieldPosition="0">
        <references count="1">
          <reference field="4294967294" count="1" selected="0">
            <x v="0"/>
          </reference>
        </references>
      </pivotArea>
    </format>
    <format dxfId="23">
      <pivotArea outline="0" collapsedLevelsAreSubtotals="1" fieldPosition="0"/>
    </format>
    <format dxfId="22">
      <pivotArea field="0" grandRow="1" outline="0" axis="axisRow" fieldPosition="0">
        <references count="1">
          <reference field="4294967294" count="1" selected="0">
            <x v="5"/>
          </reference>
        </references>
      </pivotArea>
    </format>
    <format dxfId="21">
      <pivotArea outline="0" fieldPosition="0">
        <references count="1">
          <reference field="4294967294" count="1" selected="0">
            <x v="5"/>
          </reference>
        </references>
      </pivotArea>
    </format>
  </formats>
  <chartFormats count="6">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series="1">
      <pivotArea type="data" outline="0" fieldPosition="0">
        <references count="1">
          <reference field="4294967294" count="1" selected="0">
            <x v="2"/>
          </reference>
        </references>
      </pivotArea>
    </chartFormat>
    <chartFormat chart="22" format="3" series="1">
      <pivotArea type="data" outline="0" fieldPosition="0">
        <references count="1">
          <reference field="4294967294" count="1" selected="0">
            <x v="3"/>
          </reference>
        </references>
      </pivotArea>
    </chartFormat>
    <chartFormat chart="22" format="4" series="1">
      <pivotArea type="data" outline="0" fieldPosition="0">
        <references count="1">
          <reference field="4294967294" count="1" selected="0">
            <x v="4"/>
          </reference>
        </references>
      </pivotArea>
    </chartFormat>
    <chartFormat chart="22" format="5" series="1">
      <pivotArea type="data" outline="0" fieldPosition="0">
        <references count="1">
          <reference field="4294967294" count="1" selected="0">
            <x v="5"/>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1" cacheId="6"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rowHeaderCaption="Negócio/Macroprojeto">
  <location ref="A4:O9" firstHeaderRow="0" firstDataRow="1" firstDataCol="1"/>
  <pivotFields count="33">
    <pivotField axis="axisRow" showAll="0">
      <items count="5">
        <item sd="0" x="0"/>
        <item sd="0" x="1"/>
        <item sd="0" x="2"/>
        <item sd="0" x="3"/>
        <item t="default"/>
      </items>
    </pivotField>
    <pivotField axis="axisRow" showAll="0">
      <items count="21">
        <item x="0"/>
        <item x="1"/>
        <item x="2"/>
        <item x="3"/>
        <item x="5"/>
        <item x="7"/>
        <item x="8"/>
        <item x="9"/>
        <item x="11"/>
        <item x="12"/>
        <item x="13"/>
        <item x="15"/>
        <item x="16"/>
        <item x="14"/>
        <item x="17"/>
        <item x="18"/>
        <item x="19"/>
        <item x="4"/>
        <item x="6"/>
        <item x="10"/>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numFmtId="164" showAl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numFmtId="164" showAll="0" defaultSubtotal="0"/>
  </pivotFields>
  <rowFields count="2">
    <field x="0"/>
    <field x="1"/>
  </rowFields>
  <rowItems count="5">
    <i>
      <x/>
    </i>
    <i>
      <x v="1"/>
    </i>
    <i>
      <x v="2"/>
    </i>
    <i>
      <x v="3"/>
    </i>
    <i t="grand">
      <x/>
    </i>
  </rowItems>
  <colFields count="1">
    <field x="-2"/>
  </colFields>
  <colItems count="14">
    <i>
      <x/>
    </i>
    <i i="1">
      <x v="1"/>
    </i>
    <i i="2">
      <x v="2"/>
    </i>
    <i i="3">
      <x v="3"/>
    </i>
    <i i="4">
      <x v="4"/>
    </i>
    <i i="5">
      <x v="5"/>
    </i>
    <i i="6">
      <x v="6"/>
    </i>
    <i i="7">
      <x v="7"/>
    </i>
    <i i="8">
      <x v="8"/>
    </i>
    <i i="9">
      <x v="9"/>
    </i>
    <i i="10">
      <x v="10"/>
    </i>
    <i i="11">
      <x v="11"/>
    </i>
    <i i="12">
      <x v="12"/>
    </i>
    <i i="13">
      <x v="13"/>
    </i>
  </colItems>
  <dataFields count="14">
    <dataField name="Real até mai/18" fld="11" baseField="1" baseItem="527889448"/>
    <dataField name="Plan jun/18" fld="12" baseField="0" baseItem="0"/>
    <dataField name="Plan jul/18" fld="13" baseField="0" baseItem="0"/>
    <dataField name="Plan ago/18" fld="14" baseField="0" baseItem="0"/>
    <dataField name="Plan set/18" fld="15" baseField="0" baseItem="0"/>
    <dataField name="Plan out/18" fld="16" baseField="0" baseItem="0"/>
    <dataField name="Plan nov/18" fld="17" baseField="0" baseItem="0"/>
    <dataField name="Plan dez/18" fld="18" baseField="0" baseItem="0"/>
    <dataField name="Plan jan/19" fld="20" baseField="0" baseItem="1"/>
    <dataField name="Plan fev/19" fld="21" baseField="0" baseItem="1"/>
    <dataField name="Plan mar/19" fld="22" baseField="0" baseItem="0"/>
    <dataField name="Plan abr/19" fld="23" baseField="0" baseItem="0"/>
    <dataField name="Plan mai/19" fld="24" baseField="0" baseItem="0"/>
    <dataField name="Plan jun/19" fld="25" baseField="0" baseItem="0"/>
  </dataFields>
  <formats count="3">
    <format dxfId="20">
      <pivotArea outline="0" collapsedLevelsAreSubtotals="1" fieldPosition="0"/>
    </format>
    <format dxfId="19">
      <pivotArea dataOnly="0" labelOnly="1" outline="0" fieldPosition="0">
        <references count="1">
          <reference field="4294967294" count="8">
            <x v="0"/>
            <x v="1"/>
            <x v="2"/>
            <x v="3"/>
            <x v="4"/>
            <x v="5"/>
            <x v="6"/>
            <x v="7"/>
          </reference>
        </references>
      </pivotArea>
    </format>
    <format dxfId="18">
      <pivotArea dataOnly="0" labelOnly="1" outline="0" fieldPosition="0">
        <references count="1">
          <reference field="4294967294" count="7">
            <x v="1"/>
            <x v="2"/>
            <x v="3"/>
            <x v="4"/>
            <x v="5"/>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2" cacheId="7"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11:G34" firstHeaderRow="0" firstDataRow="1" firstDataCol="1"/>
  <pivotFields count="72">
    <pivotField axis="axisRow" showAll="0">
      <items count="5">
        <item x="0"/>
        <item x="1"/>
        <item x="2"/>
        <item sd="0" x="3"/>
        <item t="default" sd="0"/>
      </items>
    </pivotField>
    <pivotField axis="axisRow" showAll="0">
      <items count="21">
        <item x="0"/>
        <item x="1"/>
        <item x="2"/>
        <item x="3"/>
        <item x="4"/>
        <item x="5"/>
        <item x="6"/>
        <item x="7"/>
        <item x="8"/>
        <item x="9"/>
        <item x="10"/>
        <item x="11"/>
        <item x="12"/>
        <item x="13"/>
        <item x="14"/>
        <item x="15"/>
        <item x="16"/>
        <item x="17"/>
        <item x="18"/>
        <item x="19"/>
        <item t="default"/>
      </items>
    </pivotField>
    <pivotField showAll="0" defaultSubtotal="0"/>
    <pivotField showAll="0"/>
    <pivotField showAll="0" defaultSubtotal="0"/>
    <pivotField showAll="0" defaultSubtotal="0"/>
    <pivotField showAll="0"/>
    <pivotField showAll="0"/>
    <pivotField showAll="0"/>
    <pivotField showAll="0"/>
    <pivotField showAll="0"/>
    <pivotField showAll="0"/>
    <pivotField showAll="0" defaultSubtotal="0"/>
    <pivotField showAll="0"/>
    <pivotField showAll="0"/>
    <pivotField showAll="0"/>
    <pivotField showAll="0"/>
    <pivotField showAll="0"/>
    <pivotField dataField="1" numFmtId="164"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numFmtId="164" showAll="0"/>
    <pivotField dataField="1" numFmtId="164" showAll="0"/>
  </pivotFields>
  <rowFields count="2">
    <field x="0"/>
    <field x="1"/>
  </rowFields>
  <rowItems count="23">
    <i>
      <x/>
    </i>
    <i r="1">
      <x/>
    </i>
    <i r="1">
      <x v="1"/>
    </i>
    <i r="1">
      <x v="2"/>
    </i>
    <i r="1">
      <x v="3"/>
    </i>
    <i r="1">
      <x v="4"/>
    </i>
    <i r="1">
      <x v="5"/>
    </i>
    <i>
      <x v="1"/>
    </i>
    <i r="1">
      <x v="6"/>
    </i>
    <i r="1">
      <x v="7"/>
    </i>
    <i r="1">
      <x v="8"/>
    </i>
    <i r="1">
      <x v="9"/>
    </i>
    <i r="1">
      <x v="10"/>
    </i>
    <i r="1">
      <x v="11"/>
    </i>
    <i>
      <x v="2"/>
    </i>
    <i r="1">
      <x v="12"/>
    </i>
    <i r="1">
      <x v="13"/>
    </i>
    <i r="1">
      <x v="14"/>
    </i>
    <i r="1">
      <x v="15"/>
    </i>
    <i r="1">
      <x v="16"/>
    </i>
    <i r="1">
      <x v="17"/>
    </i>
    <i>
      <x v="3"/>
    </i>
    <i t="grand">
      <x/>
    </i>
  </rowItems>
  <colFields count="1">
    <field x="-2"/>
  </colFields>
  <colItems count="6">
    <i>
      <x/>
    </i>
    <i i="1">
      <x v="1"/>
    </i>
    <i i="2">
      <x v="2"/>
    </i>
    <i i="3">
      <x v="3"/>
    </i>
    <i i="4">
      <x v="4"/>
    </i>
    <i i="5">
      <x v="5"/>
    </i>
  </colItems>
  <dataFields count="6">
    <dataField name="Soma de Total 2019" fld="31" baseField="0" baseItem="0"/>
    <dataField name="Soma de Total 2018" fld="18" baseField="0" baseItem="0"/>
    <dataField name="Soma de Total 2020" fld="44" baseField="0" baseItem="0"/>
    <dataField name="Soma de Total 2021" fld="57" baseField="0" baseItem="0"/>
    <dataField name="Soma de Total 2022" fld="70" baseField="0" baseItem="0"/>
    <dataField name="Soma de Total_x000a_2018/22" fld="71"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çãodeDados_Empresa" sourceName="Empresa">
  <pivotTables>
    <pivotTable tabId="25" name="Tabela dinâmica2"/>
  </pivotTables>
  <data>
    <tabular pivotCacheId="2">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egmentaçãodeDados_Macroprojeto" sourceName="Macroprojeto">
  <pivotTables>
    <pivotTable tabId="25" name="Tabela dinâmica2"/>
  </pivotTables>
  <data>
    <tabular pivotCacheId="2">
      <items count="20">
        <i x="0" s="1"/>
        <i x="1" s="1"/>
        <i x="2" s="1"/>
        <i x="3" s="1"/>
        <i x="4" s="1"/>
        <i x="5" s="1"/>
        <i x="6" s="1"/>
        <i x="7" s="1"/>
        <i x="8" s="1"/>
        <i x="9" s="1"/>
        <i x="10" s="1"/>
        <i x="11" s="1"/>
        <i x="12" s="1"/>
        <i x="13" s="1"/>
        <i x="14" s="1"/>
        <i x="15" s="1"/>
        <i x="16" s="1"/>
        <i x="17" s="1"/>
        <i x="18"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resa" cache="SegmentaçãodeDados_Empresa" caption="Empresa" columnCount="4" rowHeight="241300"/>
  <slicer name="Macroprojeto" cache="SegmentaçãodeDados_Macroprojeto" caption="Macroprojeto" columnCount="4" rowHeight="241300"/>
</slicers>
</file>

<file path=xl/tables/table1.xml><?xml version="1.0" encoding="utf-8"?>
<table xmlns="http://schemas.openxmlformats.org/spreadsheetml/2006/main" id="1" name="Tabela1" displayName="Tabela1" ref="A15:N20" totalsRowShown="0" headerRowDxfId="17">
  <autoFilter ref="A15:N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Negócio/Macroprojeto" dataDxfId="16"/>
    <tableColumn id="2" name="Real até junho/18" dataDxfId="15"/>
    <tableColumn id="3" name="Plan jul/18" dataDxfId="14"/>
    <tableColumn id="4" name="Plan ago/18" dataDxfId="13"/>
    <tableColumn id="5" name="Plan set/18" dataDxfId="12"/>
    <tableColumn id="6" name="Plan out/18" dataDxfId="11"/>
    <tableColumn id="7" name="Plan nov/18" dataDxfId="10"/>
    <tableColumn id="8" name="Plan dez/18" dataDxfId="9"/>
    <tableColumn id="9" name="Plan jan/19" dataDxfId="8"/>
    <tableColumn id="10" name="Plan fev/19" dataDxfId="7"/>
    <tableColumn id="11" name="Plan mar/19" dataDxfId="6"/>
    <tableColumn id="12" name="Plan abr/19" dataDxfId="5"/>
    <tableColumn id="13" name="Plan mai/19" dataDxfId="4"/>
    <tableColumn id="14" name="Plan jun/19" dataDxfId="3"/>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11.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3"/>
  <sheetViews>
    <sheetView showGridLines="0" workbookViewId="0">
      <selection activeCell="J3" sqref="J3"/>
    </sheetView>
  </sheetViews>
  <sheetFormatPr defaultRowHeight="16.5" x14ac:dyDescent="0.3"/>
  <cols>
    <col min="1" max="1" width="1.85546875" style="43" customWidth="1"/>
    <col min="2" max="2" width="12.85546875" style="43" customWidth="1"/>
    <col min="3" max="3" width="45.28515625" style="43" customWidth="1"/>
    <col min="4" max="8" width="15.140625" style="43" bestFit="1" customWidth="1"/>
    <col min="9" max="9" width="15.140625" style="43" customWidth="1"/>
    <col min="10" max="16384" width="9.140625" style="43"/>
  </cols>
  <sheetData>
    <row r="1" spans="2:10" ht="18.75" x14ac:dyDescent="0.3">
      <c r="B1" s="85" t="s">
        <v>946</v>
      </c>
    </row>
    <row r="2" spans="2:10" ht="18.75" x14ac:dyDescent="0.3">
      <c r="B2" s="85"/>
    </row>
    <row r="3" spans="2:10" x14ac:dyDescent="0.3">
      <c r="B3" s="88" t="s">
        <v>569</v>
      </c>
    </row>
    <row r="4" spans="2:10" hidden="1" x14ac:dyDescent="0.3">
      <c r="D4" s="478" t="s">
        <v>457</v>
      </c>
    </row>
    <row r="5" spans="2:10" ht="33" x14ac:dyDescent="0.3">
      <c r="B5" s="479" t="s">
        <v>1116</v>
      </c>
      <c r="C5" s="479" t="s">
        <v>1</v>
      </c>
      <c r="D5" s="480" t="s">
        <v>459</v>
      </c>
      <c r="E5" s="480" t="s">
        <v>460</v>
      </c>
      <c r="F5" s="480" t="s">
        <v>461</v>
      </c>
      <c r="G5" s="480" t="s">
        <v>462</v>
      </c>
      <c r="H5" s="480" t="s">
        <v>463</v>
      </c>
      <c r="I5" s="481" t="s">
        <v>464</v>
      </c>
    </row>
    <row r="6" spans="2:10" x14ac:dyDescent="0.3">
      <c r="B6" s="43" t="s">
        <v>54</v>
      </c>
      <c r="C6" s="43" t="s">
        <v>29</v>
      </c>
      <c r="D6" s="477">
        <v>283.39999999999986</v>
      </c>
      <c r="E6" s="477">
        <v>585.97096002384296</v>
      </c>
      <c r="F6" s="477">
        <v>659.3998399761573</v>
      </c>
      <c r="G6" s="477">
        <v>461.5</v>
      </c>
      <c r="H6" s="477">
        <v>645.87551513489007</v>
      </c>
      <c r="I6" s="477">
        <v>2636.1463151348903</v>
      </c>
    </row>
    <row r="7" spans="2:10" x14ac:dyDescent="0.3">
      <c r="C7" s="43" t="s">
        <v>30</v>
      </c>
      <c r="D7" s="477">
        <v>10.000000000000002</v>
      </c>
      <c r="E7" s="477">
        <v>157</v>
      </c>
      <c r="F7" s="477">
        <v>0</v>
      </c>
      <c r="G7" s="477">
        <v>0</v>
      </c>
      <c r="H7" s="477">
        <v>0</v>
      </c>
      <c r="I7" s="477">
        <v>167</v>
      </c>
    </row>
    <row r="8" spans="2:10" x14ac:dyDescent="0.3">
      <c r="C8" s="43" t="s">
        <v>31</v>
      </c>
      <c r="D8" s="477">
        <v>58.6</v>
      </c>
      <c r="E8" s="477">
        <v>351.9</v>
      </c>
      <c r="F8" s="477">
        <v>214.7</v>
      </c>
      <c r="G8" s="477">
        <v>51.5</v>
      </c>
      <c r="H8" s="477">
        <v>278.5</v>
      </c>
      <c r="I8" s="477">
        <v>955.2</v>
      </c>
    </row>
    <row r="9" spans="2:10" x14ac:dyDescent="0.3">
      <c r="C9" s="43" t="s">
        <v>32</v>
      </c>
      <c r="D9" s="477">
        <v>1613.0843323699953</v>
      </c>
      <c r="E9" s="477">
        <v>476</v>
      </c>
      <c r="F9" s="477">
        <v>1152</v>
      </c>
      <c r="G9" s="477">
        <v>1689.5</v>
      </c>
      <c r="H9" s="477">
        <v>1190.5</v>
      </c>
      <c r="I9" s="477">
        <v>6121.0843323699946</v>
      </c>
    </row>
    <row r="10" spans="2:10" x14ac:dyDescent="0.3">
      <c r="C10" s="43" t="s">
        <v>33</v>
      </c>
      <c r="D10" s="477">
        <v>0</v>
      </c>
      <c r="E10" s="477">
        <v>102.5</v>
      </c>
      <c r="F10" s="477">
        <v>0</v>
      </c>
      <c r="G10" s="477">
        <v>0</v>
      </c>
      <c r="H10" s="477">
        <v>0</v>
      </c>
      <c r="I10" s="477">
        <v>102.5</v>
      </c>
    </row>
    <row r="11" spans="2:10" x14ac:dyDescent="0.3">
      <c r="C11" s="43" t="s">
        <v>1492</v>
      </c>
      <c r="D11" s="477">
        <v>420.29000020027132</v>
      </c>
      <c r="E11" s="477">
        <v>583.21700229484532</v>
      </c>
      <c r="F11" s="477">
        <v>602.22</v>
      </c>
      <c r="G11" s="477">
        <v>498</v>
      </c>
      <c r="H11" s="477">
        <v>197</v>
      </c>
      <c r="I11" s="477">
        <v>2300.7270024951167</v>
      </c>
      <c r="J11" s="86"/>
    </row>
    <row r="12" spans="2:10" x14ac:dyDescent="0.3">
      <c r="B12" s="43" t="s">
        <v>865</v>
      </c>
      <c r="D12" s="477">
        <v>2385.3743325702662</v>
      </c>
      <c r="E12" s="477">
        <v>2256.5879623186884</v>
      </c>
      <c r="F12" s="477">
        <v>2628.3198399761573</v>
      </c>
      <c r="G12" s="477">
        <v>2700.5</v>
      </c>
      <c r="H12" s="477">
        <v>2311.8755151348901</v>
      </c>
      <c r="I12" s="477">
        <v>12282.657650000001</v>
      </c>
    </row>
    <row r="13" spans="2:10" x14ac:dyDescent="0.3">
      <c r="B13" s="43" t="s">
        <v>63</v>
      </c>
      <c r="C13" s="43" t="s">
        <v>35</v>
      </c>
      <c r="D13" s="477">
        <v>0</v>
      </c>
      <c r="E13" s="477">
        <v>749.53983000000017</v>
      </c>
      <c r="F13" s="477">
        <v>204.46016999999981</v>
      </c>
      <c r="G13" s="477">
        <v>930.5</v>
      </c>
      <c r="H13" s="477">
        <v>26</v>
      </c>
      <c r="I13" s="477">
        <v>1910.5</v>
      </c>
    </row>
    <row r="14" spans="2:10" x14ac:dyDescent="0.3">
      <c r="C14" s="43" t="s">
        <v>36</v>
      </c>
      <c r="D14" s="477">
        <v>142.21934999999999</v>
      </c>
      <c r="E14" s="477">
        <v>448.83333249511816</v>
      </c>
      <c r="F14" s="477">
        <v>0</v>
      </c>
      <c r="G14" s="477">
        <v>0</v>
      </c>
      <c r="H14" s="477">
        <v>0</v>
      </c>
      <c r="I14" s="477">
        <v>591.05268249511812</v>
      </c>
    </row>
    <row r="15" spans="2:10" x14ac:dyDescent="0.3">
      <c r="C15" s="43" t="s">
        <v>37</v>
      </c>
      <c r="D15" s="477">
        <v>415</v>
      </c>
      <c r="E15" s="477">
        <v>55</v>
      </c>
      <c r="F15" s="477">
        <v>209</v>
      </c>
      <c r="G15" s="477">
        <v>55</v>
      </c>
      <c r="H15" s="477">
        <v>209.5</v>
      </c>
      <c r="I15" s="477">
        <v>943.5</v>
      </c>
    </row>
    <row r="16" spans="2:10" x14ac:dyDescent="0.3">
      <c r="C16" s="43" t="s">
        <v>38</v>
      </c>
      <c r="D16" s="477">
        <v>97.797317504882813</v>
      </c>
      <c r="E16" s="477">
        <v>298</v>
      </c>
      <c r="F16" s="477">
        <v>98</v>
      </c>
      <c r="G16" s="477">
        <v>98</v>
      </c>
      <c r="H16" s="477">
        <v>98</v>
      </c>
      <c r="I16" s="477">
        <v>689.79731750488281</v>
      </c>
    </row>
    <row r="17" spans="2:12" x14ac:dyDescent="0.3">
      <c r="C17" s="43" t="s">
        <v>39</v>
      </c>
      <c r="D17" s="477">
        <v>0</v>
      </c>
      <c r="E17" s="477">
        <v>1618.44</v>
      </c>
      <c r="F17" s="477">
        <v>1050</v>
      </c>
      <c r="G17" s="477">
        <v>1008</v>
      </c>
      <c r="H17" s="477">
        <v>0</v>
      </c>
      <c r="I17" s="477">
        <v>3676.44</v>
      </c>
      <c r="L17" s="96"/>
    </row>
    <row r="18" spans="2:12" x14ac:dyDescent="0.3">
      <c r="C18" s="43" t="s">
        <v>1493</v>
      </c>
      <c r="D18" s="477">
        <v>1786.6762499806587</v>
      </c>
      <c r="E18" s="477">
        <v>1324.2812850193402</v>
      </c>
      <c r="F18" s="477">
        <v>777.03347499999984</v>
      </c>
      <c r="G18" s="477">
        <v>2549.7189899999998</v>
      </c>
      <c r="H18" s="477">
        <v>0</v>
      </c>
      <c r="I18" s="477">
        <v>6437.7099999999991</v>
      </c>
    </row>
    <row r="19" spans="2:12" x14ac:dyDescent="0.3">
      <c r="B19" s="43" t="s">
        <v>866</v>
      </c>
      <c r="D19" s="477">
        <v>2441.6929174855413</v>
      </c>
      <c r="E19" s="477">
        <v>4494.0944475144588</v>
      </c>
      <c r="F19" s="477">
        <v>2338.4936449999996</v>
      </c>
      <c r="G19" s="477">
        <v>4641.2189899999994</v>
      </c>
      <c r="H19" s="477">
        <v>333.5</v>
      </c>
      <c r="I19" s="477">
        <v>14249</v>
      </c>
    </row>
    <row r="20" spans="2:12" x14ac:dyDescent="0.3">
      <c r="B20" s="43" t="s">
        <v>57</v>
      </c>
      <c r="C20" s="43" t="s">
        <v>40</v>
      </c>
      <c r="D20" s="477">
        <v>1565.483619976158</v>
      </c>
      <c r="E20" s="477">
        <v>2667.9163800000001</v>
      </c>
      <c r="F20" s="477">
        <v>3243</v>
      </c>
      <c r="G20" s="477">
        <v>3733</v>
      </c>
      <c r="H20" s="477">
        <v>2471</v>
      </c>
      <c r="I20" s="477">
        <v>13680.399999976158</v>
      </c>
    </row>
    <row r="21" spans="2:12" x14ac:dyDescent="0.3">
      <c r="C21" s="43" t="s">
        <v>41</v>
      </c>
      <c r="D21" s="477">
        <v>3206.8986121711728</v>
      </c>
      <c r="E21" s="477">
        <v>9677.8479970865246</v>
      </c>
      <c r="F21" s="477">
        <v>9962.7250716193466</v>
      </c>
      <c r="G21" s="477">
        <v>5683.8053581794766</v>
      </c>
      <c r="H21" s="477">
        <v>2684.54031913777</v>
      </c>
      <c r="I21" s="477">
        <v>31215.81735819429</v>
      </c>
    </row>
    <row r="22" spans="2:12" x14ac:dyDescent="0.3">
      <c r="C22" s="43" t="s">
        <v>42</v>
      </c>
      <c r="D22" s="477">
        <v>3934.0860000000002</v>
      </c>
      <c r="E22" s="477">
        <v>3511.3220000000001</v>
      </c>
      <c r="F22" s="477">
        <v>5997.875</v>
      </c>
      <c r="G22" s="477">
        <v>6466.2689999999993</v>
      </c>
      <c r="H22" s="477">
        <v>8767.784999999998</v>
      </c>
      <c r="I22" s="477">
        <v>28677.337000000003</v>
      </c>
    </row>
    <row r="23" spans="2:12" x14ac:dyDescent="0.3">
      <c r="C23" s="43" t="s">
        <v>43</v>
      </c>
      <c r="D23" s="477">
        <v>4684</v>
      </c>
      <c r="E23" s="477">
        <v>15480</v>
      </c>
      <c r="F23" s="477">
        <v>2220</v>
      </c>
      <c r="G23" s="477">
        <v>340</v>
      </c>
      <c r="H23" s="477">
        <v>2736</v>
      </c>
      <c r="I23" s="477">
        <v>25460</v>
      </c>
    </row>
    <row r="24" spans="2:12" x14ac:dyDescent="0.3">
      <c r="C24" s="43" t="s">
        <v>44</v>
      </c>
      <c r="D24" s="477">
        <v>56476.689081820536</v>
      </c>
      <c r="E24" s="477">
        <v>53157.658060000009</v>
      </c>
      <c r="F24" s="477">
        <v>40873.777499999997</v>
      </c>
      <c r="G24" s="477">
        <v>35529.5</v>
      </c>
      <c r="H24" s="477">
        <v>33985.4</v>
      </c>
      <c r="I24" s="477">
        <v>220023.02464182052</v>
      </c>
    </row>
    <row r="25" spans="2:12" x14ac:dyDescent="0.3">
      <c r="C25" s="43" t="s">
        <v>45</v>
      </c>
      <c r="D25" s="477">
        <v>90</v>
      </c>
      <c r="E25" s="477">
        <v>4956.3999999999996</v>
      </c>
      <c r="F25" s="477">
        <v>2982</v>
      </c>
      <c r="G25" s="477">
        <v>350</v>
      </c>
      <c r="H25" s="477">
        <v>170</v>
      </c>
      <c r="I25" s="477">
        <v>8548.4</v>
      </c>
    </row>
    <row r="26" spans="2:12" x14ac:dyDescent="0.3">
      <c r="B26" s="43" t="s">
        <v>458</v>
      </c>
      <c r="D26" s="477">
        <v>69957.157313967866</v>
      </c>
      <c r="E26" s="477">
        <v>89451.144437086536</v>
      </c>
      <c r="F26" s="477">
        <v>65279.377571619341</v>
      </c>
      <c r="G26" s="477">
        <v>52102.574358179481</v>
      </c>
      <c r="H26" s="477">
        <v>50814.725319137768</v>
      </c>
      <c r="I26" s="477">
        <v>327604.97899999097</v>
      </c>
    </row>
    <row r="27" spans="2:12" x14ac:dyDescent="0.3">
      <c r="B27" s="43" t="s">
        <v>406</v>
      </c>
      <c r="C27" s="43" t="s">
        <v>46</v>
      </c>
      <c r="D27" s="477">
        <v>75</v>
      </c>
      <c r="E27" s="477">
        <v>75</v>
      </c>
      <c r="F27" s="477">
        <v>150</v>
      </c>
      <c r="G27" s="477">
        <v>150</v>
      </c>
      <c r="H27" s="477">
        <v>250</v>
      </c>
      <c r="I27" s="477">
        <v>700</v>
      </c>
    </row>
    <row r="28" spans="2:12" x14ac:dyDescent="0.3">
      <c r="C28" s="43" t="s">
        <v>47</v>
      </c>
      <c r="D28" s="477">
        <v>235.0000000000002</v>
      </c>
      <c r="E28" s="477">
        <v>15</v>
      </c>
      <c r="F28" s="477">
        <v>15</v>
      </c>
      <c r="G28" s="477">
        <v>812</v>
      </c>
      <c r="H28" s="477">
        <v>812</v>
      </c>
      <c r="I28" s="477">
        <v>1889.0000000000002</v>
      </c>
    </row>
    <row r="29" spans="2:12" x14ac:dyDescent="0.3">
      <c r="B29" s="43" t="s">
        <v>867</v>
      </c>
      <c r="D29" s="477">
        <v>310.00000000000023</v>
      </c>
      <c r="E29" s="477">
        <v>90</v>
      </c>
      <c r="F29" s="477">
        <v>165</v>
      </c>
      <c r="G29" s="477">
        <v>962</v>
      </c>
      <c r="H29" s="477">
        <v>1062</v>
      </c>
      <c r="I29" s="477">
        <v>2589</v>
      </c>
      <c r="K29" s="87"/>
    </row>
    <row r="30" spans="2:12" x14ac:dyDescent="0.3">
      <c r="B30" s="43" t="s">
        <v>456</v>
      </c>
      <c r="D30" s="477">
        <v>75094.22456402368</v>
      </c>
      <c r="E30" s="477">
        <v>96291.826846919677</v>
      </c>
      <c r="F30" s="477">
        <v>70411.191056595504</v>
      </c>
      <c r="G30" s="477">
        <v>60406.293348179475</v>
      </c>
      <c r="H30" s="477">
        <v>54522.100834272656</v>
      </c>
      <c r="I30" s="477">
        <v>356725.63664999098</v>
      </c>
    </row>
    <row r="31" spans="2:12" x14ac:dyDescent="0.3">
      <c r="D31" s="310"/>
      <c r="E31" s="310"/>
      <c r="F31" s="310"/>
      <c r="G31" s="310"/>
      <c r="H31" s="310"/>
      <c r="I31" s="310"/>
    </row>
    <row r="43" spans="5:5" x14ac:dyDescent="0.3">
      <c r="E43" s="154" t="s">
        <v>1955</v>
      </c>
    </row>
  </sheetData>
  <pageMargins left="0.31496062992125984" right="0.31496062992125984" top="0.39370078740157483" bottom="0.39370078740157483" header="0.31496062992125984" footer="0.31496062992125984"/>
  <pageSetup paperSize="143" scale="99"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pageSetUpPr fitToPage="1"/>
  </sheetPr>
  <dimension ref="A1:GC326"/>
  <sheetViews>
    <sheetView showGridLines="0" tabSelected="1" zoomScale="70" zoomScaleNormal="70" workbookViewId="0">
      <pane xSplit="11" ySplit="6" topLeftCell="O7" activePane="bottomRight" state="frozen"/>
      <selection pane="topRight" activeCell="L1" sqref="L1"/>
      <selection pane="bottomLeft" activeCell="A7" sqref="A7"/>
      <selection pane="bottomRight" activeCell="AG15" sqref="AG15"/>
    </sheetView>
  </sheetViews>
  <sheetFormatPr defaultRowHeight="15" outlineLevelCol="2" x14ac:dyDescent="0.25"/>
  <cols>
    <col min="1" max="1" width="2" style="24" customWidth="1"/>
    <col min="2" max="8" width="10.7109375" style="1" customWidth="1"/>
    <col min="9" max="9" width="14.140625" style="1" customWidth="1"/>
    <col min="10" max="10" width="7" style="1" customWidth="1"/>
    <col min="11" max="11" width="33.42578125" style="35" customWidth="1"/>
    <col min="12" max="12" width="15" style="35" hidden="1" customWidth="1"/>
    <col min="13" max="13" width="13.28515625" style="35" hidden="1" customWidth="1"/>
    <col min="14" max="14" width="18.85546875" style="35" hidden="1" customWidth="1"/>
    <col min="15" max="18" width="8.7109375" style="1" customWidth="1" outlineLevel="1"/>
    <col min="19" max="19" width="10.28515625" style="1" customWidth="1" outlineLevel="1"/>
    <col min="20" max="20" width="10.85546875" style="111" customWidth="1"/>
    <col min="21" max="32" width="10.85546875" style="203" customWidth="1" outlineLevel="1"/>
    <col min="33" max="33" width="10.85546875" style="203" customWidth="1"/>
    <col min="34" max="45" width="10.85546875" style="203" customWidth="1" outlineLevel="1"/>
    <col min="46" max="46" width="10.85546875" style="203" customWidth="1"/>
    <col min="47" max="58" width="10.85546875" style="203" customWidth="1" outlineLevel="1"/>
    <col min="59" max="59" width="10.85546875" style="203" customWidth="1"/>
    <col min="60" max="71" width="10.85546875" style="203" customWidth="1" outlineLevel="1"/>
    <col min="72" max="72" width="10.85546875" style="203" customWidth="1"/>
    <col min="73" max="73" width="13.42578125" style="111" customWidth="1"/>
    <col min="74" max="79" width="10.85546875" style="111" customWidth="1"/>
    <col min="80" max="80" width="10.85546875" style="1" customWidth="1"/>
    <col min="81" max="92" width="10.85546875" style="1" customWidth="1" outlineLevel="1"/>
    <col min="93" max="93" width="10.85546875" style="1" customWidth="1"/>
    <col min="94" max="105" width="10.85546875" style="1" customWidth="1" outlineLevel="1"/>
    <col min="106" max="106" width="10.85546875" style="1" customWidth="1"/>
    <col min="107" max="118" width="10.85546875" style="1" customWidth="1" outlineLevel="1"/>
    <col min="119" max="119" width="10.85546875" style="1" customWidth="1"/>
    <col min="120" max="131" width="10.85546875" style="1" customWidth="1" outlineLevel="1"/>
    <col min="132" max="132" width="10.85546875" style="1" customWidth="1"/>
    <col min="133" max="144" width="10.85546875" style="1" customWidth="1" outlineLevel="2"/>
    <col min="145" max="153" width="10.85546875" style="1" customWidth="1"/>
    <col min="154" max="158" width="9.85546875" style="1" customWidth="1"/>
    <col min="159" max="159" width="11.42578125" style="1" customWidth="1"/>
    <col min="160" max="160" width="12.5703125" style="1" customWidth="1"/>
    <col min="161" max="161" width="13.42578125" style="1" customWidth="1"/>
    <col min="162" max="185" width="9.140625" style="394"/>
  </cols>
  <sheetData>
    <row r="1" spans="1:185" ht="7.5" customHeight="1" x14ac:dyDescent="0.25">
      <c r="K1" s="35">
        <v>1</v>
      </c>
      <c r="L1" s="35">
        <v>2</v>
      </c>
      <c r="M1" s="35">
        <v>4</v>
      </c>
      <c r="O1" s="35">
        <v>15</v>
      </c>
      <c r="P1" s="35">
        <v>16</v>
      </c>
      <c r="Q1" s="35">
        <v>17</v>
      </c>
      <c r="R1" s="35">
        <v>18</v>
      </c>
      <c r="S1" s="35">
        <v>19</v>
      </c>
      <c r="T1" s="110">
        <v>20</v>
      </c>
      <c r="U1" s="319">
        <v>21</v>
      </c>
      <c r="V1" s="319">
        <v>22</v>
      </c>
      <c r="W1" s="319">
        <v>23</v>
      </c>
      <c r="X1" s="319">
        <v>24</v>
      </c>
      <c r="Y1" s="319">
        <v>25</v>
      </c>
      <c r="Z1" s="319">
        <v>26</v>
      </c>
      <c r="AA1" s="319">
        <v>27</v>
      </c>
      <c r="AB1" s="319">
        <v>28</v>
      </c>
      <c r="AC1" s="319">
        <v>29</v>
      </c>
      <c r="AD1" s="319">
        <v>30</v>
      </c>
      <c r="AE1" s="319">
        <v>31</v>
      </c>
      <c r="AF1" s="319">
        <v>32</v>
      </c>
      <c r="AG1" s="319">
        <v>33</v>
      </c>
      <c r="AH1" s="319">
        <v>34</v>
      </c>
      <c r="AI1" s="319">
        <v>35</v>
      </c>
      <c r="AJ1" s="319">
        <v>36</v>
      </c>
      <c r="AK1" s="319">
        <v>37</v>
      </c>
      <c r="AL1" s="319">
        <v>38</v>
      </c>
      <c r="AM1" s="319">
        <v>39</v>
      </c>
      <c r="AN1" s="319">
        <v>40</v>
      </c>
      <c r="AO1" s="319">
        <v>41</v>
      </c>
      <c r="AP1" s="319">
        <v>42</v>
      </c>
      <c r="AQ1" s="319">
        <v>43</v>
      </c>
      <c r="AR1" s="319">
        <v>44</v>
      </c>
      <c r="AS1" s="319">
        <v>45</v>
      </c>
      <c r="AT1" s="319">
        <v>46</v>
      </c>
      <c r="AU1" s="319">
        <v>47</v>
      </c>
      <c r="AV1" s="319">
        <v>48</v>
      </c>
      <c r="AW1" s="319">
        <v>49</v>
      </c>
      <c r="AX1" s="319">
        <v>50</v>
      </c>
      <c r="AY1" s="319">
        <v>51</v>
      </c>
      <c r="AZ1" s="319">
        <v>52</v>
      </c>
      <c r="BA1" s="319">
        <v>53</v>
      </c>
      <c r="BB1" s="319">
        <v>54</v>
      </c>
      <c r="BC1" s="319">
        <v>55</v>
      </c>
      <c r="BD1" s="319">
        <v>56</v>
      </c>
      <c r="BE1" s="319">
        <v>57</v>
      </c>
      <c r="BF1" s="319">
        <v>58</v>
      </c>
      <c r="BG1" s="319">
        <v>59</v>
      </c>
      <c r="BH1" s="319">
        <v>60</v>
      </c>
      <c r="BI1" s="319">
        <v>61</v>
      </c>
      <c r="BJ1" s="319">
        <v>62</v>
      </c>
      <c r="BK1" s="319">
        <v>63</v>
      </c>
      <c r="BL1" s="319">
        <v>64</v>
      </c>
      <c r="BM1" s="319">
        <v>65</v>
      </c>
      <c r="BN1" s="319">
        <v>66</v>
      </c>
      <c r="BO1" s="319">
        <v>67</v>
      </c>
      <c r="BP1" s="319">
        <v>68</v>
      </c>
      <c r="BQ1" s="319">
        <v>69</v>
      </c>
      <c r="BR1" s="319">
        <v>70</v>
      </c>
      <c r="BS1" s="319">
        <v>71</v>
      </c>
      <c r="BT1" s="319">
        <v>72</v>
      </c>
      <c r="BU1" s="110">
        <v>73</v>
      </c>
      <c r="BV1" s="110"/>
      <c r="BW1" s="110"/>
      <c r="BX1" s="110"/>
      <c r="BY1" s="110"/>
      <c r="BZ1" s="110"/>
      <c r="CA1" s="110"/>
      <c r="CC1" s="1">
        <v>3880.4419999999996</v>
      </c>
      <c r="DB1" s="1">
        <v>7082.5841583299998</v>
      </c>
      <c r="DO1" s="1">
        <v>8774.2548416610007</v>
      </c>
      <c r="EB1" s="1">
        <v>8401.3140000000003</v>
      </c>
      <c r="EO1" s="1">
        <v>4807</v>
      </c>
      <c r="FF1"/>
      <c r="FG1"/>
      <c r="FH1"/>
      <c r="FI1"/>
      <c r="FJ1"/>
      <c r="FK1"/>
      <c r="FL1"/>
      <c r="FM1"/>
      <c r="FN1"/>
      <c r="FO1"/>
      <c r="FP1"/>
      <c r="FQ1"/>
      <c r="FR1"/>
      <c r="FS1"/>
      <c r="FT1"/>
      <c r="FU1"/>
      <c r="FV1"/>
      <c r="FW1"/>
      <c r="FX1"/>
      <c r="FY1"/>
      <c r="FZ1"/>
      <c r="GA1"/>
      <c r="GB1"/>
      <c r="GC1"/>
    </row>
    <row r="2" spans="1:185" ht="20.25" x14ac:dyDescent="0.3">
      <c r="B2" s="79" t="s">
        <v>26</v>
      </c>
      <c r="C2" s="24"/>
      <c r="EO2" s="95"/>
      <c r="EX2" s="203">
        <f>EX12-EW12</f>
        <v>27.184600830078125</v>
      </c>
      <c r="FF2"/>
      <c r="FG2"/>
      <c r="FH2"/>
      <c r="FI2"/>
      <c r="FJ2"/>
      <c r="FK2"/>
      <c r="FL2"/>
      <c r="FM2"/>
      <c r="FN2"/>
      <c r="FO2"/>
      <c r="FP2"/>
      <c r="FQ2"/>
      <c r="FR2"/>
      <c r="FS2"/>
      <c r="FT2"/>
      <c r="FU2"/>
      <c r="FV2"/>
      <c r="FW2"/>
      <c r="FX2"/>
      <c r="FY2"/>
      <c r="FZ2"/>
      <c r="GA2"/>
      <c r="GB2"/>
      <c r="GC2"/>
    </row>
    <row r="3" spans="1:185" ht="3" customHeight="1" thickBot="1" x14ac:dyDescent="0.3">
      <c r="FF3"/>
      <c r="FG3"/>
      <c r="FH3"/>
      <c r="FI3"/>
      <c r="FJ3"/>
      <c r="FK3"/>
      <c r="FL3"/>
      <c r="FM3"/>
      <c r="FN3"/>
      <c r="FO3"/>
      <c r="FP3"/>
      <c r="FQ3"/>
      <c r="FR3"/>
      <c r="FS3"/>
      <c r="FT3"/>
      <c r="FU3"/>
      <c r="FV3"/>
      <c r="FW3"/>
      <c r="FX3"/>
      <c r="FY3"/>
      <c r="FZ3"/>
      <c r="GA3"/>
      <c r="GB3"/>
      <c r="GC3"/>
    </row>
    <row r="4" spans="1:185" ht="18.75" customHeight="1" thickBot="1" x14ac:dyDescent="0.3">
      <c r="B4" s="6" t="s">
        <v>569</v>
      </c>
      <c r="O4" s="511"/>
      <c r="P4" s="511"/>
      <c r="Q4" s="511"/>
      <c r="R4" s="511"/>
      <c r="S4" s="511"/>
      <c r="T4" s="512"/>
      <c r="U4" s="511"/>
      <c r="V4" s="511"/>
      <c r="W4" s="511"/>
      <c r="X4" s="511"/>
      <c r="Y4" s="511"/>
      <c r="Z4" s="511"/>
      <c r="AA4" s="511"/>
      <c r="AB4" s="511"/>
      <c r="AC4" s="511"/>
      <c r="AD4" s="511"/>
      <c r="AE4" s="511"/>
      <c r="AF4" s="511"/>
      <c r="AG4" s="513"/>
      <c r="AH4" s="511"/>
      <c r="AI4" s="511"/>
      <c r="AJ4" s="511"/>
      <c r="AK4" s="511"/>
      <c r="AL4" s="511"/>
      <c r="AM4" s="511"/>
      <c r="AN4" s="511"/>
      <c r="AO4" s="511"/>
      <c r="AP4" s="511"/>
      <c r="AQ4" s="511"/>
      <c r="AR4" s="511"/>
      <c r="AS4" s="511"/>
      <c r="AT4" s="513"/>
      <c r="AU4" s="511"/>
      <c r="AV4" s="511"/>
      <c r="AW4" s="511"/>
      <c r="AX4" s="511"/>
      <c r="AY4" s="511"/>
      <c r="AZ4" s="511"/>
      <c r="BA4" s="511"/>
      <c r="BB4" s="511"/>
      <c r="BC4" s="511"/>
      <c r="BD4" s="511"/>
      <c r="BE4" s="511"/>
      <c r="BF4" s="511"/>
      <c r="BG4" s="513"/>
      <c r="BH4" s="511"/>
      <c r="BI4" s="511"/>
      <c r="BJ4" s="511"/>
      <c r="BK4" s="511"/>
      <c r="BL4" s="511"/>
      <c r="BM4" s="511"/>
      <c r="BN4" s="511"/>
      <c r="BO4" s="511"/>
      <c r="BP4" s="511"/>
      <c r="BQ4" s="511"/>
      <c r="BR4" s="511"/>
      <c r="BS4" s="511"/>
      <c r="BT4" s="514"/>
      <c r="BU4" s="515"/>
      <c r="BV4" s="518" t="s">
        <v>1932</v>
      </c>
      <c r="BW4" s="519"/>
      <c r="BX4" s="519"/>
      <c r="BY4" s="519"/>
      <c r="BZ4" s="519"/>
      <c r="CA4" s="520"/>
      <c r="CB4" s="504" t="s">
        <v>22</v>
      </c>
      <c r="CC4" s="505"/>
      <c r="CD4" s="505"/>
      <c r="CE4" s="505"/>
      <c r="CF4" s="505"/>
      <c r="CG4" s="505"/>
      <c r="CH4" s="505"/>
      <c r="CI4" s="505"/>
      <c r="CJ4" s="505"/>
      <c r="CK4" s="505"/>
      <c r="CL4" s="505"/>
      <c r="CM4" s="505"/>
      <c r="CN4" s="505"/>
      <c r="CO4" s="505"/>
      <c r="CP4" s="505"/>
      <c r="CQ4" s="505"/>
      <c r="CR4" s="505"/>
      <c r="CS4" s="505"/>
      <c r="CT4" s="505"/>
      <c r="CU4" s="505"/>
      <c r="CV4" s="505"/>
      <c r="CW4" s="505"/>
      <c r="CX4" s="505"/>
      <c r="CY4" s="505"/>
      <c r="CZ4" s="505"/>
      <c r="DA4" s="505"/>
      <c r="DB4" s="505"/>
      <c r="DC4" s="505"/>
      <c r="DD4" s="505"/>
      <c r="DE4" s="505"/>
      <c r="DF4" s="505"/>
      <c r="DG4" s="505"/>
      <c r="DH4" s="505"/>
      <c r="DI4" s="505"/>
      <c r="DJ4" s="505"/>
      <c r="DK4" s="505"/>
      <c r="DL4" s="505"/>
      <c r="DM4" s="505"/>
      <c r="DN4" s="505"/>
      <c r="DO4" s="505"/>
      <c r="DP4" s="505"/>
      <c r="DQ4" s="505"/>
      <c r="DR4" s="505"/>
      <c r="DS4" s="505"/>
      <c r="DT4" s="505"/>
      <c r="DU4" s="505"/>
      <c r="DV4" s="505"/>
      <c r="DW4" s="505"/>
      <c r="DX4" s="505"/>
      <c r="DY4" s="505"/>
      <c r="DZ4" s="505"/>
      <c r="EA4" s="505"/>
      <c r="EB4" s="505"/>
      <c r="EC4" s="505"/>
      <c r="ED4" s="506"/>
      <c r="EE4" s="506"/>
      <c r="EF4" s="506"/>
      <c r="EG4" s="506"/>
      <c r="EH4" s="506"/>
      <c r="EI4" s="506"/>
      <c r="EJ4" s="506"/>
      <c r="EK4" s="506"/>
      <c r="EL4" s="506"/>
      <c r="EM4" s="506"/>
      <c r="EN4" s="506"/>
      <c r="EO4" s="506"/>
      <c r="EP4" s="507"/>
      <c r="EQ4" s="311"/>
      <c r="ER4" s="311"/>
      <c r="ES4" s="311"/>
      <c r="ET4" s="311"/>
      <c r="EU4" s="311"/>
      <c r="EV4" s="311"/>
      <c r="EW4" s="311"/>
      <c r="EX4" s="311"/>
      <c r="EY4" s="311"/>
      <c r="EZ4" s="311"/>
      <c r="FA4" s="311"/>
      <c r="FB4" s="311"/>
      <c r="FC4" s="311"/>
      <c r="FD4" s="311"/>
      <c r="FE4" s="311"/>
      <c r="FF4"/>
      <c r="FG4"/>
      <c r="FH4"/>
      <c r="FI4"/>
      <c r="FJ4"/>
      <c r="FK4"/>
      <c r="FL4"/>
      <c r="FM4"/>
      <c r="FN4"/>
      <c r="FO4"/>
      <c r="FP4"/>
      <c r="FQ4"/>
      <c r="FR4"/>
      <c r="FS4"/>
      <c r="FT4"/>
      <c r="FU4"/>
      <c r="FV4"/>
      <c r="FW4"/>
      <c r="FX4"/>
      <c r="FY4"/>
      <c r="FZ4"/>
      <c r="GA4"/>
      <c r="GB4"/>
      <c r="GC4"/>
    </row>
    <row r="5" spans="1:185" ht="21.75" hidden="1" customHeight="1" x14ac:dyDescent="0.25">
      <c r="A5" s="201"/>
      <c r="B5" s="26"/>
      <c r="C5" s="26"/>
      <c r="D5" s="26"/>
      <c r="E5" s="26"/>
      <c r="F5" s="26"/>
      <c r="G5" s="26"/>
      <c r="H5" s="26"/>
      <c r="I5" s="26"/>
      <c r="J5" s="26"/>
      <c r="K5" s="26"/>
      <c r="L5" s="26"/>
      <c r="M5" s="30"/>
      <c r="N5" s="32"/>
      <c r="O5" s="501"/>
      <c r="P5" s="501"/>
      <c r="Q5" s="501"/>
      <c r="R5" s="501"/>
      <c r="S5" s="501"/>
      <c r="T5" s="502"/>
      <c r="U5" s="320">
        <v>2019</v>
      </c>
      <c r="V5" s="321"/>
      <c r="W5" s="321"/>
      <c r="X5" s="321"/>
      <c r="Y5" s="321"/>
      <c r="Z5" s="321"/>
      <c r="AA5" s="321"/>
      <c r="AB5" s="321"/>
      <c r="AC5" s="321"/>
      <c r="AD5" s="321"/>
      <c r="AE5" s="321"/>
      <c r="AF5" s="321"/>
      <c r="AG5" s="321">
        <v>2019</v>
      </c>
      <c r="AH5" s="516">
        <v>2020</v>
      </c>
      <c r="AI5" s="517"/>
      <c r="AJ5" s="517"/>
      <c r="AK5" s="517"/>
      <c r="AL5" s="517"/>
      <c r="AM5" s="517"/>
      <c r="AN5" s="517"/>
      <c r="AO5" s="517"/>
      <c r="AP5" s="517"/>
      <c r="AQ5" s="517"/>
      <c r="AR5" s="517"/>
      <c r="AS5" s="517"/>
      <c r="AT5" s="517"/>
      <c r="AU5" s="516">
        <v>2021</v>
      </c>
      <c r="AV5" s="517"/>
      <c r="AW5" s="517"/>
      <c r="AX5" s="517"/>
      <c r="AY5" s="517"/>
      <c r="AZ5" s="517"/>
      <c r="BA5" s="517"/>
      <c r="BB5" s="517"/>
      <c r="BC5" s="517"/>
      <c r="BD5" s="517"/>
      <c r="BE5" s="517"/>
      <c r="BF5" s="517"/>
      <c r="BG5" s="517"/>
      <c r="BH5" s="516">
        <v>2022</v>
      </c>
      <c r="BI5" s="517"/>
      <c r="BJ5" s="517"/>
      <c r="BK5" s="517"/>
      <c r="BL5" s="517"/>
      <c r="BM5" s="517"/>
      <c r="BN5" s="517"/>
      <c r="BO5" s="517"/>
      <c r="BP5" s="517"/>
      <c r="BQ5" s="517"/>
      <c r="BR5" s="517"/>
      <c r="BS5" s="517"/>
      <c r="BT5" s="517"/>
      <c r="BU5" s="112"/>
      <c r="BV5" s="369"/>
      <c r="BW5" s="370"/>
      <c r="BX5" s="370"/>
      <c r="BY5" s="370"/>
      <c r="BZ5" s="371"/>
      <c r="CA5" s="430"/>
      <c r="CB5" s="81"/>
      <c r="CC5" s="503">
        <v>2018</v>
      </c>
      <c r="CD5" s="503"/>
      <c r="CE5" s="503"/>
      <c r="CF5" s="503"/>
      <c r="CG5" s="503"/>
      <c r="CH5" s="503"/>
      <c r="CI5" s="503"/>
      <c r="CJ5" s="503"/>
      <c r="CK5" s="503"/>
      <c r="CL5" s="503"/>
      <c r="CM5" s="503"/>
      <c r="CN5" s="503"/>
      <c r="CO5" s="503"/>
      <c r="CP5" s="508">
        <v>2019</v>
      </c>
      <c r="CQ5" s="509"/>
      <c r="CR5" s="509"/>
      <c r="CS5" s="509"/>
      <c r="CT5" s="509"/>
      <c r="CU5" s="509"/>
      <c r="CV5" s="509"/>
      <c r="CW5" s="509"/>
      <c r="CX5" s="509"/>
      <c r="CY5" s="509"/>
      <c r="CZ5" s="509"/>
      <c r="DA5" s="509"/>
      <c r="DB5" s="510"/>
      <c r="DC5" s="503">
        <v>2020</v>
      </c>
      <c r="DD5" s="503"/>
      <c r="DE5" s="503"/>
      <c r="DF5" s="503"/>
      <c r="DG5" s="503"/>
      <c r="DH5" s="503"/>
      <c r="DI5" s="503"/>
      <c r="DJ5" s="503"/>
      <c r="DK5" s="503"/>
      <c r="DL5" s="503"/>
      <c r="DM5" s="503"/>
      <c r="DN5" s="503"/>
      <c r="DO5" s="503"/>
      <c r="DP5" s="503">
        <v>2021</v>
      </c>
      <c r="DQ5" s="503"/>
      <c r="DR5" s="503"/>
      <c r="DS5" s="503"/>
      <c r="DT5" s="503"/>
      <c r="DU5" s="503"/>
      <c r="DV5" s="503"/>
      <c r="DW5" s="503"/>
      <c r="DX5" s="503"/>
      <c r="DY5" s="503"/>
      <c r="DZ5" s="503"/>
      <c r="EA5" s="503"/>
      <c r="EB5" s="503"/>
      <c r="EC5" s="503">
        <v>2022</v>
      </c>
      <c r="ED5" s="503"/>
      <c r="EE5" s="503"/>
      <c r="EF5" s="503"/>
      <c r="EG5" s="503"/>
      <c r="EH5" s="503"/>
      <c r="EI5" s="503"/>
      <c r="EJ5" s="503"/>
      <c r="EK5" s="503"/>
      <c r="EL5" s="503"/>
      <c r="EM5" s="503"/>
      <c r="EN5" s="503"/>
      <c r="EO5" s="503"/>
      <c r="EP5" s="36"/>
      <c r="EQ5" s="312"/>
      <c r="ER5" s="312"/>
      <c r="ES5" s="312"/>
      <c r="ET5" s="312"/>
      <c r="EU5" s="312"/>
      <c r="EV5" s="312"/>
      <c r="EW5" s="312"/>
      <c r="EX5" s="312"/>
      <c r="EY5" s="312"/>
      <c r="EZ5" s="312"/>
      <c r="FA5" s="312"/>
      <c r="FB5" s="312"/>
      <c r="FC5" s="312"/>
      <c r="FD5" s="312"/>
      <c r="FE5" s="312"/>
      <c r="FF5"/>
      <c r="FG5"/>
      <c r="FH5"/>
      <c r="FI5"/>
      <c r="FJ5"/>
      <c r="FK5"/>
      <c r="FL5"/>
      <c r="FM5"/>
      <c r="FN5"/>
      <c r="FO5"/>
      <c r="FP5"/>
      <c r="FQ5"/>
      <c r="FR5"/>
      <c r="FS5"/>
      <c r="FT5"/>
      <c r="FU5"/>
      <c r="FV5"/>
      <c r="FW5"/>
      <c r="FX5"/>
      <c r="FY5"/>
      <c r="FZ5"/>
      <c r="GA5"/>
      <c r="GB5"/>
      <c r="GC5"/>
    </row>
    <row r="6" spans="1:185" ht="26.25" customHeight="1" x14ac:dyDescent="0.25">
      <c r="A6" s="314"/>
      <c r="B6" s="27" t="s">
        <v>0</v>
      </c>
      <c r="C6" s="27" t="s">
        <v>1</v>
      </c>
      <c r="D6" s="31" t="s">
        <v>1829</v>
      </c>
      <c r="E6" s="31" t="s">
        <v>53</v>
      </c>
      <c r="F6" s="31" t="s">
        <v>1863</v>
      </c>
      <c r="G6" s="31" t="s">
        <v>1830</v>
      </c>
      <c r="H6" s="31" t="s">
        <v>17</v>
      </c>
      <c r="I6" s="31" t="s">
        <v>562</v>
      </c>
      <c r="J6" s="31" t="s">
        <v>1155</v>
      </c>
      <c r="K6" s="27" t="s">
        <v>20</v>
      </c>
      <c r="L6" s="27" t="s">
        <v>2</v>
      </c>
      <c r="M6" s="32" t="s">
        <v>24</v>
      </c>
      <c r="N6" s="337" t="s">
        <v>1731</v>
      </c>
      <c r="O6" s="315">
        <v>43313</v>
      </c>
      <c r="P6" s="315">
        <v>43344</v>
      </c>
      <c r="Q6" s="315">
        <v>43374</v>
      </c>
      <c r="R6" s="315">
        <v>43405</v>
      </c>
      <c r="S6" s="315">
        <v>43435</v>
      </c>
      <c r="T6" s="322" t="s">
        <v>451</v>
      </c>
      <c r="U6" s="315">
        <v>43466</v>
      </c>
      <c r="V6" s="315">
        <v>43497</v>
      </c>
      <c r="W6" s="315">
        <v>43525</v>
      </c>
      <c r="X6" s="315">
        <v>43556</v>
      </c>
      <c r="Y6" s="315">
        <v>43586</v>
      </c>
      <c r="Z6" s="315">
        <v>43617</v>
      </c>
      <c r="AA6" s="315">
        <v>43647</v>
      </c>
      <c r="AB6" s="315">
        <v>43678</v>
      </c>
      <c r="AC6" s="315">
        <v>43709</v>
      </c>
      <c r="AD6" s="315">
        <v>43739</v>
      </c>
      <c r="AE6" s="315">
        <v>43770</v>
      </c>
      <c r="AF6" s="315">
        <v>43800</v>
      </c>
      <c r="AG6" s="323" t="s">
        <v>452</v>
      </c>
      <c r="AH6" s="315">
        <v>43831</v>
      </c>
      <c r="AI6" s="315">
        <v>43862</v>
      </c>
      <c r="AJ6" s="315">
        <v>43891</v>
      </c>
      <c r="AK6" s="315">
        <v>43922</v>
      </c>
      <c r="AL6" s="315">
        <v>43952</v>
      </c>
      <c r="AM6" s="315">
        <v>43983</v>
      </c>
      <c r="AN6" s="315">
        <v>44013</v>
      </c>
      <c r="AO6" s="315">
        <v>44044</v>
      </c>
      <c r="AP6" s="315">
        <v>44075</v>
      </c>
      <c r="AQ6" s="315">
        <v>44105</v>
      </c>
      <c r="AR6" s="315">
        <v>44136</v>
      </c>
      <c r="AS6" s="315">
        <v>44166</v>
      </c>
      <c r="AT6" s="323" t="s">
        <v>453</v>
      </c>
      <c r="AU6" s="315">
        <v>44197</v>
      </c>
      <c r="AV6" s="315">
        <v>44228</v>
      </c>
      <c r="AW6" s="315">
        <v>44256</v>
      </c>
      <c r="AX6" s="315">
        <v>44287</v>
      </c>
      <c r="AY6" s="315">
        <v>44317</v>
      </c>
      <c r="AZ6" s="315">
        <v>44348</v>
      </c>
      <c r="BA6" s="315">
        <v>44378</v>
      </c>
      <c r="BB6" s="315">
        <v>44409</v>
      </c>
      <c r="BC6" s="315">
        <v>44440</v>
      </c>
      <c r="BD6" s="315">
        <v>44470</v>
      </c>
      <c r="BE6" s="315">
        <v>44501</v>
      </c>
      <c r="BF6" s="315">
        <v>44531</v>
      </c>
      <c r="BG6" s="323" t="s">
        <v>454</v>
      </c>
      <c r="BH6" s="315">
        <v>44562</v>
      </c>
      <c r="BI6" s="315">
        <v>44593</v>
      </c>
      <c r="BJ6" s="315">
        <v>44621</v>
      </c>
      <c r="BK6" s="315">
        <v>44652</v>
      </c>
      <c r="BL6" s="315">
        <v>44682</v>
      </c>
      <c r="BM6" s="315">
        <v>44713</v>
      </c>
      <c r="BN6" s="315">
        <v>44743</v>
      </c>
      <c r="BO6" s="315">
        <v>44774</v>
      </c>
      <c r="BP6" s="315">
        <v>44805</v>
      </c>
      <c r="BQ6" s="315">
        <v>44835</v>
      </c>
      <c r="BR6" s="315">
        <v>44866</v>
      </c>
      <c r="BS6" s="315">
        <v>44896</v>
      </c>
      <c r="BT6" s="323" t="s">
        <v>455</v>
      </c>
      <c r="BU6" s="482" t="s">
        <v>15</v>
      </c>
      <c r="BV6" s="426" t="s">
        <v>1732</v>
      </c>
      <c r="BW6" s="426" t="s">
        <v>1733</v>
      </c>
      <c r="BX6" s="426" t="s">
        <v>1734</v>
      </c>
      <c r="BY6" s="426" t="s">
        <v>1735</v>
      </c>
      <c r="BZ6" s="427" t="s">
        <v>1954</v>
      </c>
      <c r="CA6" s="431" t="s">
        <v>1956</v>
      </c>
      <c r="CB6" s="81" t="s">
        <v>23</v>
      </c>
      <c r="CC6" s="316" t="s">
        <v>3</v>
      </c>
      <c r="CD6" s="316" t="s">
        <v>4</v>
      </c>
      <c r="CE6" s="316" t="s">
        <v>5</v>
      </c>
      <c r="CF6" s="316" t="s">
        <v>6</v>
      </c>
      <c r="CG6" s="316" t="s">
        <v>7</v>
      </c>
      <c r="CH6" s="316" t="s">
        <v>8</v>
      </c>
      <c r="CI6" s="316" t="s">
        <v>9</v>
      </c>
      <c r="CJ6" s="316" t="s">
        <v>10</v>
      </c>
      <c r="CK6" s="316" t="s">
        <v>11</v>
      </c>
      <c r="CL6" s="316" t="s">
        <v>12</v>
      </c>
      <c r="CM6" s="316" t="s">
        <v>13</v>
      </c>
      <c r="CN6" s="316" t="s">
        <v>21</v>
      </c>
      <c r="CO6" s="316" t="s">
        <v>451</v>
      </c>
      <c r="CP6" s="316" t="s">
        <v>3</v>
      </c>
      <c r="CQ6" s="316" t="s">
        <v>4</v>
      </c>
      <c r="CR6" s="316" t="s">
        <v>5</v>
      </c>
      <c r="CS6" s="316" t="s">
        <v>6</v>
      </c>
      <c r="CT6" s="316" t="s">
        <v>7</v>
      </c>
      <c r="CU6" s="316" t="s">
        <v>8</v>
      </c>
      <c r="CV6" s="316" t="s">
        <v>9</v>
      </c>
      <c r="CW6" s="316" t="s">
        <v>10</v>
      </c>
      <c r="CX6" s="316" t="s">
        <v>11</v>
      </c>
      <c r="CY6" s="316" t="s">
        <v>12</v>
      </c>
      <c r="CZ6" s="316" t="s">
        <v>13</v>
      </c>
      <c r="DA6" s="316" t="s">
        <v>21</v>
      </c>
      <c r="DB6" s="316" t="s">
        <v>452</v>
      </c>
      <c r="DC6" s="316" t="s">
        <v>3</v>
      </c>
      <c r="DD6" s="316" t="s">
        <v>4</v>
      </c>
      <c r="DE6" s="316" t="s">
        <v>5</v>
      </c>
      <c r="DF6" s="316" t="s">
        <v>6</v>
      </c>
      <c r="DG6" s="316" t="s">
        <v>7</v>
      </c>
      <c r="DH6" s="316" t="s">
        <v>8</v>
      </c>
      <c r="DI6" s="316" t="s">
        <v>9</v>
      </c>
      <c r="DJ6" s="316" t="s">
        <v>10</v>
      </c>
      <c r="DK6" s="316" t="s">
        <v>11</v>
      </c>
      <c r="DL6" s="316" t="s">
        <v>12</v>
      </c>
      <c r="DM6" s="316" t="s">
        <v>13</v>
      </c>
      <c r="DN6" s="316" t="s">
        <v>21</v>
      </c>
      <c r="DO6" s="316" t="s">
        <v>453</v>
      </c>
      <c r="DP6" s="316" t="s">
        <v>3</v>
      </c>
      <c r="DQ6" s="316" t="s">
        <v>4</v>
      </c>
      <c r="DR6" s="316" t="s">
        <v>5</v>
      </c>
      <c r="DS6" s="316" t="s">
        <v>6</v>
      </c>
      <c r="DT6" s="316" t="s">
        <v>7</v>
      </c>
      <c r="DU6" s="316" t="s">
        <v>8</v>
      </c>
      <c r="DV6" s="316" t="s">
        <v>9</v>
      </c>
      <c r="DW6" s="316" t="s">
        <v>10</v>
      </c>
      <c r="DX6" s="316" t="s">
        <v>11</v>
      </c>
      <c r="DY6" s="316" t="s">
        <v>12</v>
      </c>
      <c r="DZ6" s="316" t="s">
        <v>13</v>
      </c>
      <c r="EA6" s="316" t="s">
        <v>21</v>
      </c>
      <c r="EB6" s="316" t="s">
        <v>454</v>
      </c>
      <c r="EC6" s="316" t="s">
        <v>3</v>
      </c>
      <c r="ED6" s="316" t="s">
        <v>4</v>
      </c>
      <c r="EE6" s="316" t="s">
        <v>5</v>
      </c>
      <c r="EF6" s="316" t="s">
        <v>6</v>
      </c>
      <c r="EG6" s="316" t="s">
        <v>7</v>
      </c>
      <c r="EH6" s="316" t="s">
        <v>8</v>
      </c>
      <c r="EI6" s="316" t="s">
        <v>9</v>
      </c>
      <c r="EJ6" s="316" t="s">
        <v>10</v>
      </c>
      <c r="EK6" s="316" t="s">
        <v>11</v>
      </c>
      <c r="EL6" s="316" t="s">
        <v>12</v>
      </c>
      <c r="EM6" s="316" t="s">
        <v>13</v>
      </c>
      <c r="EN6" s="316" t="s">
        <v>21</v>
      </c>
      <c r="EO6" s="316" t="s">
        <v>455</v>
      </c>
      <c r="EP6" s="82" t="s">
        <v>15</v>
      </c>
      <c r="EQ6" s="313" t="s">
        <v>1593</v>
      </c>
      <c r="ER6" s="313" t="s">
        <v>1594</v>
      </c>
      <c r="ES6" s="313" t="s">
        <v>1595</v>
      </c>
      <c r="ET6" s="313" t="s">
        <v>1592</v>
      </c>
      <c r="EU6" s="313" t="s">
        <v>1671</v>
      </c>
      <c r="EV6" s="313" t="s">
        <v>981</v>
      </c>
      <c r="EW6" s="313" t="s">
        <v>982</v>
      </c>
      <c r="EX6" s="313" t="s">
        <v>983</v>
      </c>
      <c r="EY6" s="313" t="s">
        <v>984</v>
      </c>
      <c r="EZ6" s="313" t="s">
        <v>985</v>
      </c>
      <c r="FA6" s="313" t="s">
        <v>986</v>
      </c>
      <c r="FB6" s="313" t="s">
        <v>987</v>
      </c>
      <c r="FC6" s="313" t="s">
        <v>989</v>
      </c>
      <c r="FD6" s="313" t="s">
        <v>990</v>
      </c>
      <c r="FE6" s="313" t="s">
        <v>991</v>
      </c>
      <c r="FF6"/>
      <c r="FG6"/>
      <c r="FH6"/>
      <c r="FI6"/>
      <c r="FJ6"/>
      <c r="FK6"/>
      <c r="FL6"/>
      <c r="FM6"/>
      <c r="FN6"/>
      <c r="FO6"/>
      <c r="FP6"/>
      <c r="FQ6"/>
      <c r="FR6"/>
      <c r="FS6"/>
      <c r="FT6"/>
      <c r="FU6"/>
      <c r="FV6"/>
      <c r="FW6"/>
      <c r="FX6"/>
      <c r="FY6"/>
      <c r="FZ6"/>
      <c r="GA6"/>
      <c r="GB6"/>
      <c r="GC6"/>
    </row>
    <row r="7" spans="1:185" ht="12.75" customHeight="1" x14ac:dyDescent="0.25">
      <c r="A7" s="202"/>
      <c r="B7" s="22" t="s">
        <v>54</v>
      </c>
      <c r="C7" s="34" t="s">
        <v>29</v>
      </c>
      <c r="D7" s="22" t="s">
        <v>55</v>
      </c>
      <c r="E7" s="25" t="s">
        <v>613</v>
      </c>
      <c r="F7" s="25" t="s">
        <v>55</v>
      </c>
      <c r="G7" s="25" t="s">
        <v>613</v>
      </c>
      <c r="H7" s="22" t="s">
        <v>56</v>
      </c>
      <c r="I7" s="423" t="s">
        <v>565</v>
      </c>
      <c r="J7" s="37"/>
      <c r="K7" s="23" t="s">
        <v>614</v>
      </c>
      <c r="L7" s="23" t="s">
        <v>82</v>
      </c>
      <c r="M7" s="23" t="s">
        <v>615</v>
      </c>
      <c r="N7" s="23" t="s">
        <v>1755</v>
      </c>
      <c r="O7" s="2"/>
      <c r="P7" s="2"/>
      <c r="Q7" s="2"/>
      <c r="R7" s="2"/>
      <c r="S7" s="2"/>
      <c r="T7" s="116">
        <f t="shared" ref="T7:T70" si="0">SUM(O7:S7)</f>
        <v>0</v>
      </c>
      <c r="U7" s="324"/>
      <c r="V7" s="324"/>
      <c r="W7" s="324"/>
      <c r="X7" s="324"/>
      <c r="Y7" s="324"/>
      <c r="Z7" s="324"/>
      <c r="AA7" s="324">
        <v>94.416799999999995</v>
      </c>
      <c r="AB7" s="324"/>
      <c r="AC7" s="324"/>
      <c r="AD7" s="324"/>
      <c r="AE7" s="324"/>
      <c r="AF7" s="324">
        <v>208.5</v>
      </c>
      <c r="AG7" s="140">
        <f t="shared" ref="AG7:AG71" si="1">SUM(U7:AF7)</f>
        <v>302.91679999999997</v>
      </c>
      <c r="AH7" s="324"/>
      <c r="AI7" s="324"/>
      <c r="AJ7" s="324"/>
      <c r="AK7" s="324"/>
      <c r="AL7" s="324"/>
      <c r="AM7" s="324"/>
      <c r="AN7" s="324"/>
      <c r="AO7" s="324"/>
      <c r="AP7" s="324"/>
      <c r="AQ7" s="324"/>
      <c r="AR7" s="324">
        <v>158.5</v>
      </c>
      <c r="AS7" s="324">
        <v>57</v>
      </c>
      <c r="AT7" s="140">
        <f t="shared" ref="AT7:AT71" si="2">SUM(AH7:AS7)</f>
        <v>215.5</v>
      </c>
      <c r="AU7" s="324"/>
      <c r="AV7" s="324"/>
      <c r="AW7" s="324"/>
      <c r="AX7" s="324"/>
      <c r="AY7" s="324"/>
      <c r="AZ7" s="324"/>
      <c r="BA7" s="324"/>
      <c r="BB7" s="324"/>
      <c r="BC7" s="324"/>
      <c r="BD7" s="324"/>
      <c r="BE7" s="324"/>
      <c r="BF7" s="324">
        <v>158.5</v>
      </c>
      <c r="BG7" s="140">
        <f t="shared" ref="BG7:BG71" si="3">SUM(AU7:BF7)</f>
        <v>158.5</v>
      </c>
      <c r="BH7" s="324"/>
      <c r="BI7" s="324"/>
      <c r="BJ7" s="324"/>
      <c r="BK7" s="324"/>
      <c r="BL7" s="324"/>
      <c r="BM7" s="324"/>
      <c r="BN7" s="324"/>
      <c r="BO7" s="324"/>
      <c r="BP7" s="324"/>
      <c r="BQ7" s="324"/>
      <c r="BR7" s="324">
        <v>158.5</v>
      </c>
      <c r="BS7" s="324">
        <v>110.65115833000019</v>
      </c>
      <c r="BT7" s="140">
        <f t="shared" ref="BT7:BT71" si="4">SUM(BH7:BS7)</f>
        <v>269.15115833000016</v>
      </c>
      <c r="BU7" s="488">
        <f t="shared" ref="BU7:BU71" si="5">SUM(BT7,BG7,AT7,AG7,T7)</f>
        <v>946.06795833000012</v>
      </c>
      <c r="BV7" s="432"/>
      <c r="BW7" s="432"/>
      <c r="BX7" s="432"/>
      <c r="BY7" s="432"/>
      <c r="BZ7" s="433"/>
      <c r="CA7" s="434"/>
      <c r="CB7" s="7" t="s">
        <v>72</v>
      </c>
      <c r="CC7" s="83">
        <v>0</v>
      </c>
      <c r="CD7" s="83">
        <v>0</v>
      </c>
      <c r="CE7" s="83">
        <v>0</v>
      </c>
      <c r="CF7" s="83">
        <v>0</v>
      </c>
      <c r="CG7" s="83">
        <v>0</v>
      </c>
      <c r="CH7" s="83">
        <v>0</v>
      </c>
      <c r="CI7" s="83">
        <v>0</v>
      </c>
      <c r="CJ7" s="83">
        <v>0</v>
      </c>
      <c r="CK7" s="83">
        <v>0</v>
      </c>
      <c r="CL7" s="83">
        <v>0</v>
      </c>
      <c r="CM7" s="83">
        <v>0</v>
      </c>
      <c r="CN7" s="83">
        <v>0</v>
      </c>
      <c r="CO7" s="4">
        <f t="shared" ref="CO7:CO18" si="6">SUM(CC7:CN7)</f>
        <v>0</v>
      </c>
      <c r="CP7" s="83">
        <v>0</v>
      </c>
      <c r="CQ7" s="83">
        <v>0</v>
      </c>
      <c r="CR7" s="83">
        <v>0</v>
      </c>
      <c r="CS7" s="83">
        <v>0</v>
      </c>
      <c r="CT7" s="83">
        <v>0</v>
      </c>
      <c r="CU7" s="83">
        <v>0</v>
      </c>
      <c r="CV7" s="83">
        <v>0.14892239747634067</v>
      </c>
      <c r="CW7" s="83">
        <v>0</v>
      </c>
      <c r="CX7" s="83">
        <v>0</v>
      </c>
      <c r="CY7" s="83">
        <v>0</v>
      </c>
      <c r="CZ7" s="83">
        <v>0</v>
      </c>
      <c r="DA7" s="83">
        <v>0.32886435331230285</v>
      </c>
      <c r="DB7" s="4">
        <f t="shared" ref="DB7:DB18" si="7">SUM(CP7:DA7)</f>
        <v>0.47778675078864352</v>
      </c>
      <c r="DC7" s="83">
        <v>0</v>
      </c>
      <c r="DD7" s="83">
        <v>0</v>
      </c>
      <c r="DE7" s="83">
        <v>0</v>
      </c>
      <c r="DF7" s="83">
        <v>0</v>
      </c>
      <c r="DG7" s="83">
        <v>0</v>
      </c>
      <c r="DH7" s="83">
        <v>0</v>
      </c>
      <c r="DI7" s="83">
        <v>0</v>
      </c>
      <c r="DJ7" s="83">
        <v>0</v>
      </c>
      <c r="DK7" s="83">
        <v>0</v>
      </c>
      <c r="DL7" s="83">
        <v>0</v>
      </c>
      <c r="DM7" s="83">
        <v>2.7807017543859649</v>
      </c>
      <c r="DN7" s="83">
        <v>1</v>
      </c>
      <c r="DO7" s="4">
        <f t="shared" ref="DO7:DO18" si="8">SUM(DC7:DN7)</f>
        <v>3.7807017543859649</v>
      </c>
      <c r="DP7" s="135">
        <v>0</v>
      </c>
      <c r="DQ7" s="135">
        <v>0</v>
      </c>
      <c r="DR7" s="135">
        <v>0</v>
      </c>
      <c r="DS7" s="135">
        <v>0</v>
      </c>
      <c r="DT7" s="135">
        <v>0</v>
      </c>
      <c r="DU7" s="135">
        <v>0</v>
      </c>
      <c r="DV7" s="135">
        <v>0</v>
      </c>
      <c r="DW7" s="135">
        <v>0</v>
      </c>
      <c r="DX7" s="135">
        <v>0</v>
      </c>
      <c r="DY7" s="135">
        <v>0</v>
      </c>
      <c r="DZ7" s="135">
        <v>0</v>
      </c>
      <c r="EA7" s="135">
        <v>0</v>
      </c>
      <c r="EB7" s="4">
        <f t="shared" ref="EB7:EB18" si="9">SUM(DP7:EA7)</f>
        <v>0</v>
      </c>
      <c r="EC7" s="83">
        <v>0</v>
      </c>
      <c r="ED7" s="83">
        <v>0</v>
      </c>
      <c r="EE7" s="83">
        <v>0</v>
      </c>
      <c r="EF7" s="83">
        <v>0</v>
      </c>
      <c r="EG7" s="83">
        <v>0</v>
      </c>
      <c r="EH7" s="83">
        <v>0</v>
      </c>
      <c r="EI7" s="83">
        <v>0</v>
      </c>
      <c r="EJ7" s="83">
        <v>0</v>
      </c>
      <c r="EK7" s="83">
        <v>0</v>
      </c>
      <c r="EL7" s="83">
        <v>0</v>
      </c>
      <c r="EM7" s="83">
        <v>1.4356884057971013</v>
      </c>
      <c r="EN7" s="83">
        <v>1.00227498487319</v>
      </c>
      <c r="EO7" s="4">
        <f t="shared" ref="EO7:EO18" si="10">SUM(EC7:EN7)</f>
        <v>2.4379633906702916</v>
      </c>
      <c r="EP7" s="8">
        <f t="shared" ref="EP7:EP18" si="11">SUM(EO7,EB7,DO7,DB7,CO7)</f>
        <v>6.6964518958449002</v>
      </c>
      <c r="EQ7" s="181">
        <f>IFERROR(VLOOKUP(I7,CEI_012018!$A$1:$U$509,9,FALSE),0)</f>
        <v>0</v>
      </c>
      <c r="ER7" s="181">
        <f>IFERROR(VLOOKUP(I7,CEI_022018!$A$1:$U$509,9,FALSE),0)</f>
        <v>0</v>
      </c>
      <c r="ES7" s="181">
        <f>IFERROR(VLOOKUP(I7,CEI_032018!$A$1:$U$509,9,FALSE),0)</f>
        <v>0</v>
      </c>
      <c r="ET7" s="181">
        <f>IFERROR(VLOOKUP(I7,CEI_042018!$A$1:$U$491,9,FALSE),0)</f>
        <v>0</v>
      </c>
      <c r="EU7" s="181">
        <f>IFERROR(VLOOKUP(I7,CEI_052018!$A$1:$U$489,9,FALSE),0)</f>
        <v>0</v>
      </c>
      <c r="EV7" s="181">
        <f>IFERROR(VLOOKUP(I7,CEI_062018!$A$1:$U$489,9,FALSE),0)</f>
        <v>0</v>
      </c>
      <c r="EW7" s="181">
        <f>IFERROR(VLOOKUP(I7,CEI_072018!$A$1:$U$489,9,FALSE),0)</f>
        <v>0</v>
      </c>
      <c r="EX7" s="181">
        <f>IFERROR(VLOOKUP(I7,CEI_082018!$A$1:$U$489,9,FALSE),0)</f>
        <v>0</v>
      </c>
      <c r="EY7" s="181">
        <f>IFERROR(VLOOKUP(I7,CEI_092018!$A$1:$U$489,9,FALSE),0)</f>
        <v>0</v>
      </c>
      <c r="EZ7" s="181"/>
      <c r="FA7" s="181"/>
      <c r="FB7" s="181"/>
      <c r="FC7" s="181">
        <f>IFERROR(VLOOKUP(I7,CEI_092018!$A$1:$U$489,12,FALSE),0)</f>
        <v>0</v>
      </c>
      <c r="FD7" s="181">
        <f t="shared" ref="FD7:FD18" si="12">EW7+FC7</f>
        <v>0</v>
      </c>
      <c r="FE7" s="181">
        <f t="shared" ref="FE7:FE18" si="13">SUM(T7-FD7)</f>
        <v>0</v>
      </c>
      <c r="FF7"/>
      <c r="FG7"/>
      <c r="FH7"/>
      <c r="FI7"/>
      <c r="FJ7"/>
      <c r="FK7"/>
      <c r="FL7"/>
      <c r="FM7"/>
      <c r="FN7"/>
      <c r="FO7"/>
      <c r="FP7"/>
      <c r="FQ7"/>
      <c r="FR7"/>
      <c r="FS7"/>
      <c r="FT7"/>
      <c r="FU7"/>
      <c r="FV7"/>
      <c r="FW7"/>
      <c r="FX7"/>
      <c r="FY7"/>
      <c r="FZ7"/>
      <c r="GA7"/>
      <c r="GB7"/>
      <c r="GC7"/>
    </row>
    <row r="8" spans="1:185" ht="12.95" customHeight="1" x14ac:dyDescent="0.25">
      <c r="A8" s="202"/>
      <c r="B8" s="22" t="s">
        <v>54</v>
      </c>
      <c r="C8" s="34" t="s">
        <v>29</v>
      </c>
      <c r="D8" s="22" t="s">
        <v>58</v>
      </c>
      <c r="E8" s="25" t="s">
        <v>292</v>
      </c>
      <c r="F8" s="25" t="s">
        <v>58</v>
      </c>
      <c r="G8" s="25" t="s">
        <v>292</v>
      </c>
      <c r="H8" s="22" t="s">
        <v>56</v>
      </c>
      <c r="I8" s="423" t="s">
        <v>565</v>
      </c>
      <c r="J8" s="37"/>
      <c r="K8" s="23" t="s">
        <v>300</v>
      </c>
      <c r="L8" s="23" t="s">
        <v>645</v>
      </c>
      <c r="M8" s="23" t="s">
        <v>646</v>
      </c>
      <c r="N8" s="23" t="s">
        <v>1769</v>
      </c>
      <c r="O8" s="2"/>
      <c r="P8" s="2"/>
      <c r="Q8" s="2"/>
      <c r="R8" s="2"/>
      <c r="S8" s="2"/>
      <c r="T8" s="116">
        <f t="shared" si="0"/>
        <v>0</v>
      </c>
      <c r="U8" s="324"/>
      <c r="V8" s="324"/>
      <c r="W8" s="324"/>
      <c r="X8" s="324"/>
      <c r="Y8" s="324"/>
      <c r="Z8" s="324"/>
      <c r="AA8" s="324"/>
      <c r="AB8" s="324"/>
      <c r="AC8" s="324">
        <v>140</v>
      </c>
      <c r="AD8" s="324"/>
      <c r="AE8" s="324"/>
      <c r="AF8" s="324"/>
      <c r="AG8" s="140">
        <f t="shared" si="1"/>
        <v>140</v>
      </c>
      <c r="AH8" s="324"/>
      <c r="AI8" s="324"/>
      <c r="AJ8" s="324"/>
      <c r="AK8" s="324"/>
      <c r="AL8" s="324"/>
      <c r="AM8" s="324"/>
      <c r="AN8" s="324"/>
      <c r="AO8" s="324"/>
      <c r="AP8" s="324">
        <v>140</v>
      </c>
      <c r="AQ8" s="324"/>
      <c r="AR8" s="324"/>
      <c r="AS8" s="324"/>
      <c r="AT8" s="140">
        <f t="shared" si="2"/>
        <v>140</v>
      </c>
      <c r="AU8" s="324"/>
      <c r="AV8" s="324"/>
      <c r="AW8" s="324"/>
      <c r="AX8" s="324"/>
      <c r="AY8" s="324"/>
      <c r="AZ8" s="324"/>
      <c r="BA8" s="324"/>
      <c r="BB8" s="324"/>
      <c r="BC8" s="324">
        <v>140</v>
      </c>
      <c r="BD8" s="324"/>
      <c r="BE8" s="324"/>
      <c r="BF8" s="324"/>
      <c r="BG8" s="140">
        <f t="shared" si="3"/>
        <v>140</v>
      </c>
      <c r="BH8" s="324"/>
      <c r="BI8" s="324"/>
      <c r="BJ8" s="324"/>
      <c r="BK8" s="324"/>
      <c r="BL8" s="324"/>
      <c r="BM8" s="324"/>
      <c r="BN8" s="324"/>
      <c r="BO8" s="324"/>
      <c r="BP8" s="324">
        <f>139.748841669999-0.0244848651091161</f>
        <v>139.72435680488988</v>
      </c>
      <c r="BQ8" s="324"/>
      <c r="BR8" s="324"/>
      <c r="BS8" s="324"/>
      <c r="BT8" s="140">
        <f t="shared" si="4"/>
        <v>139.72435680488988</v>
      </c>
      <c r="BU8" s="114">
        <f t="shared" si="5"/>
        <v>559.72435680488991</v>
      </c>
      <c r="BV8" s="432"/>
      <c r="BW8" s="432"/>
      <c r="BX8" s="432"/>
      <c r="BY8" s="432"/>
      <c r="BZ8" s="433"/>
      <c r="CA8" s="434"/>
      <c r="CB8" s="7" t="s">
        <v>73</v>
      </c>
      <c r="CC8" s="3"/>
      <c r="CD8" s="3"/>
      <c r="CE8" s="3"/>
      <c r="CF8" s="3"/>
      <c r="CG8" s="3"/>
      <c r="CH8" s="3"/>
      <c r="CI8" s="3"/>
      <c r="CJ8" s="3"/>
      <c r="CK8" s="3"/>
      <c r="CL8" s="3"/>
      <c r="CM8" s="3"/>
      <c r="CN8" s="3"/>
      <c r="CO8" s="4">
        <f t="shared" si="6"/>
        <v>0</v>
      </c>
      <c r="CP8" s="3"/>
      <c r="CQ8" s="3"/>
      <c r="CR8" s="3"/>
      <c r="CS8" s="3"/>
      <c r="CT8" s="3"/>
      <c r="CU8" s="3"/>
      <c r="CV8" s="3"/>
      <c r="CW8" s="3"/>
      <c r="CX8" s="3"/>
      <c r="CY8" s="3"/>
      <c r="CZ8" s="3"/>
      <c r="DA8" s="3"/>
      <c r="DB8" s="4">
        <f t="shared" si="7"/>
        <v>0</v>
      </c>
      <c r="DC8" s="3"/>
      <c r="DD8" s="3"/>
      <c r="DE8" s="3"/>
      <c r="DF8" s="3"/>
      <c r="DG8" s="3"/>
      <c r="DH8" s="3"/>
      <c r="DI8" s="3"/>
      <c r="DJ8" s="3">
        <v>3</v>
      </c>
      <c r="DK8" s="3"/>
      <c r="DL8" s="3"/>
      <c r="DM8" s="3"/>
      <c r="DN8" s="3"/>
      <c r="DO8" s="4">
        <f t="shared" si="8"/>
        <v>3</v>
      </c>
      <c r="DP8" s="3"/>
      <c r="DQ8" s="3"/>
      <c r="DR8" s="3"/>
      <c r="DS8" s="3"/>
      <c r="DT8" s="3"/>
      <c r="DU8" s="3"/>
      <c r="DV8" s="3"/>
      <c r="DW8" s="3">
        <v>5</v>
      </c>
      <c r="DX8" s="3"/>
      <c r="DY8" s="3"/>
      <c r="DZ8" s="3"/>
      <c r="EA8" s="3"/>
      <c r="EB8" s="4">
        <f t="shared" si="9"/>
        <v>5</v>
      </c>
      <c r="EC8" s="3"/>
      <c r="ED8" s="3"/>
      <c r="EE8" s="3"/>
      <c r="EF8" s="3"/>
      <c r="EG8" s="3"/>
      <c r="EH8" s="3"/>
      <c r="EI8" s="3"/>
      <c r="EJ8" s="3">
        <v>0</v>
      </c>
      <c r="EK8" s="3"/>
      <c r="EL8" s="3"/>
      <c r="EM8" s="3"/>
      <c r="EN8" s="3"/>
      <c r="EO8" s="4">
        <f t="shared" si="10"/>
        <v>0</v>
      </c>
      <c r="EP8" s="8">
        <f t="shared" si="11"/>
        <v>8</v>
      </c>
      <c r="EQ8" s="181">
        <f>IFERROR(VLOOKUP(I8,CEI_012018!$A$1:$U$509,9,FALSE),0)</f>
        <v>0</v>
      </c>
      <c r="ER8" s="181">
        <f>IFERROR(VLOOKUP(I8,CEI_022018!$A$1:$U$509,9,FALSE),0)</f>
        <v>0</v>
      </c>
      <c r="ES8" s="181">
        <f>IFERROR(VLOOKUP(I8,CEI_032018!$A$1:$U$509,9,FALSE),0)</f>
        <v>0</v>
      </c>
      <c r="ET8" s="181">
        <f>IFERROR(VLOOKUP(I8,CEI_042018!$A$1:$U$491,9,FALSE),0)</f>
        <v>0</v>
      </c>
      <c r="EU8" s="181">
        <f>IFERROR(VLOOKUP(I8,CEI_052018!$A$1:$U$489,9,FALSE),0)</f>
        <v>0</v>
      </c>
      <c r="EV8" s="181">
        <f>IFERROR(VLOOKUP(I8,CEI_062018!$A$1:$U$489,9,FALSE),0)</f>
        <v>0</v>
      </c>
      <c r="EW8" s="181">
        <f>IFERROR(VLOOKUP(I8,CEI_072018!$A$1:$U$489,9,FALSE),0)</f>
        <v>0</v>
      </c>
      <c r="EX8" s="181">
        <f>IFERROR(VLOOKUP(I8,CEI_082018!$A$1:$U$489,9,FALSE),0)</f>
        <v>0</v>
      </c>
      <c r="EY8" s="181">
        <f>IFERROR(VLOOKUP(I8,CEI_092018!$A$1:$U$489,9,FALSE),0)</f>
        <v>0</v>
      </c>
      <c r="EZ8" s="181"/>
      <c r="FA8" s="181"/>
      <c r="FB8" s="181"/>
      <c r="FC8" s="181">
        <f>IFERROR(VLOOKUP(I8,CEI_092018!$A$1:$U$489,12,FALSE),0)</f>
        <v>0</v>
      </c>
      <c r="FD8" s="181">
        <f t="shared" si="12"/>
        <v>0</v>
      </c>
      <c r="FE8" s="181">
        <f t="shared" si="13"/>
        <v>0</v>
      </c>
      <c r="FF8"/>
      <c r="FG8"/>
      <c r="FH8"/>
      <c r="FI8"/>
      <c r="FJ8"/>
      <c r="FK8"/>
      <c r="FL8"/>
      <c r="FM8"/>
      <c r="FN8"/>
      <c r="FO8"/>
      <c r="FP8"/>
      <c r="FQ8"/>
      <c r="FR8"/>
      <c r="FS8"/>
      <c r="FT8"/>
      <c r="FU8"/>
      <c r="FV8"/>
      <c r="FW8"/>
      <c r="FX8"/>
      <c r="FY8"/>
      <c r="FZ8"/>
      <c r="GA8"/>
      <c r="GB8"/>
      <c r="GC8"/>
    </row>
    <row r="9" spans="1:185" ht="12.95" customHeight="1" x14ac:dyDescent="0.25">
      <c r="A9" s="202"/>
      <c r="B9" s="22" t="s">
        <v>54</v>
      </c>
      <c r="C9" s="34" t="s">
        <v>29</v>
      </c>
      <c r="D9" s="22" t="s">
        <v>58</v>
      </c>
      <c r="E9" s="25" t="s">
        <v>292</v>
      </c>
      <c r="F9" s="25" t="s">
        <v>58</v>
      </c>
      <c r="G9" s="25" t="s">
        <v>292</v>
      </c>
      <c r="H9" s="22" t="s">
        <v>56</v>
      </c>
      <c r="I9" s="423" t="s">
        <v>565</v>
      </c>
      <c r="J9" s="37"/>
      <c r="K9" s="23" t="s">
        <v>1527</v>
      </c>
      <c r="L9" s="23" t="s">
        <v>1528</v>
      </c>
      <c r="M9" s="23" t="s">
        <v>1529</v>
      </c>
      <c r="N9" s="23"/>
      <c r="O9" s="2"/>
      <c r="P9" s="2"/>
      <c r="Q9" s="2"/>
      <c r="R9" s="2"/>
      <c r="S9" s="2"/>
      <c r="T9" s="116">
        <f t="shared" si="0"/>
        <v>0</v>
      </c>
      <c r="U9" s="324"/>
      <c r="V9" s="324"/>
      <c r="W9" s="324"/>
      <c r="X9" s="324"/>
      <c r="Y9" s="324"/>
      <c r="Z9" s="324"/>
      <c r="AA9" s="324"/>
      <c r="AB9" s="324">
        <v>55</v>
      </c>
      <c r="AC9" s="324"/>
      <c r="AD9" s="324"/>
      <c r="AE9" s="324"/>
      <c r="AF9" s="324"/>
      <c r="AG9" s="140">
        <f t="shared" si="1"/>
        <v>55</v>
      </c>
      <c r="AH9" s="324"/>
      <c r="AI9" s="324"/>
      <c r="AJ9" s="324"/>
      <c r="AK9" s="324"/>
      <c r="AL9" s="324">
        <v>60</v>
      </c>
      <c r="AM9" s="324"/>
      <c r="AN9" s="324"/>
      <c r="AO9" s="324"/>
      <c r="AP9" s="324"/>
      <c r="AQ9" s="324"/>
      <c r="AR9" s="324"/>
      <c r="AS9" s="324"/>
      <c r="AT9" s="140">
        <f t="shared" si="2"/>
        <v>60</v>
      </c>
      <c r="AU9" s="324"/>
      <c r="AV9" s="324"/>
      <c r="AW9" s="324"/>
      <c r="AX9" s="324"/>
      <c r="AY9" s="324">
        <v>55</v>
      </c>
      <c r="AZ9" s="324"/>
      <c r="BA9" s="324"/>
      <c r="BB9" s="324"/>
      <c r="BC9" s="324"/>
      <c r="BD9" s="324"/>
      <c r="BE9" s="324"/>
      <c r="BF9" s="324"/>
      <c r="BG9" s="140">
        <f t="shared" si="3"/>
        <v>55</v>
      </c>
      <c r="BH9" s="324"/>
      <c r="BI9" s="324"/>
      <c r="BJ9" s="324"/>
      <c r="BK9" s="324"/>
      <c r="BL9" s="324">
        <v>55</v>
      </c>
      <c r="BM9" s="324"/>
      <c r="BN9" s="324"/>
      <c r="BO9" s="324"/>
      <c r="BP9" s="324"/>
      <c r="BQ9" s="324"/>
      <c r="BR9" s="324"/>
      <c r="BS9" s="324"/>
      <c r="BT9" s="140">
        <f t="shared" si="4"/>
        <v>55</v>
      </c>
      <c r="BU9" s="114">
        <f t="shared" si="5"/>
        <v>225</v>
      </c>
      <c r="BV9" s="432"/>
      <c r="BW9" s="432"/>
      <c r="BX9" s="432"/>
      <c r="BY9" s="432"/>
      <c r="BZ9" s="433"/>
      <c r="CA9" s="434"/>
      <c r="CB9" s="7" t="s">
        <v>73</v>
      </c>
      <c r="CC9" s="3"/>
      <c r="CD9" s="3"/>
      <c r="CE9" s="3"/>
      <c r="CF9" s="3"/>
      <c r="CG9" s="3"/>
      <c r="CH9" s="3"/>
      <c r="CI9" s="3"/>
      <c r="CJ9" s="3"/>
      <c r="CK9" s="3"/>
      <c r="CL9" s="3"/>
      <c r="CM9" s="3"/>
      <c r="CN9" s="3"/>
      <c r="CO9" s="4">
        <f t="shared" si="6"/>
        <v>0</v>
      </c>
      <c r="CP9" s="3"/>
      <c r="CQ9" s="3"/>
      <c r="CR9" s="3"/>
      <c r="CS9" s="3"/>
      <c r="CT9" s="3"/>
      <c r="CU9" s="3"/>
      <c r="CV9" s="3"/>
      <c r="CW9" s="3"/>
      <c r="CX9" s="3"/>
      <c r="CY9" s="3"/>
      <c r="CZ9" s="3"/>
      <c r="DA9" s="3"/>
      <c r="DB9" s="4">
        <f t="shared" si="7"/>
        <v>0</v>
      </c>
      <c r="DC9" s="3"/>
      <c r="DD9" s="3"/>
      <c r="DE9" s="3"/>
      <c r="DF9" s="3"/>
      <c r="DG9" s="3"/>
      <c r="DH9" s="3"/>
      <c r="DI9" s="3"/>
      <c r="DJ9" s="3">
        <v>18</v>
      </c>
      <c r="DK9" s="3"/>
      <c r="DL9" s="3"/>
      <c r="DM9" s="3"/>
      <c r="DN9" s="3"/>
      <c r="DO9" s="4">
        <f t="shared" si="8"/>
        <v>18</v>
      </c>
      <c r="DP9" s="3"/>
      <c r="DQ9" s="3"/>
      <c r="DR9" s="3"/>
      <c r="DS9" s="3"/>
      <c r="DT9" s="3"/>
      <c r="DU9" s="3"/>
      <c r="DV9" s="3"/>
      <c r="DW9" s="3">
        <v>2</v>
      </c>
      <c r="DX9" s="3"/>
      <c r="DY9" s="3"/>
      <c r="DZ9" s="3"/>
      <c r="EA9" s="3"/>
      <c r="EB9" s="4">
        <f t="shared" si="9"/>
        <v>2</v>
      </c>
      <c r="EC9" s="3"/>
      <c r="ED9" s="3"/>
      <c r="EE9" s="3"/>
      <c r="EF9" s="3"/>
      <c r="EG9" s="3"/>
      <c r="EH9" s="3"/>
      <c r="EI9" s="3"/>
      <c r="EJ9" s="3">
        <v>28</v>
      </c>
      <c r="EK9" s="3"/>
      <c r="EL9" s="3"/>
      <c r="EM9" s="3"/>
      <c r="EN9" s="3"/>
      <c r="EO9" s="4">
        <f t="shared" si="10"/>
        <v>28</v>
      </c>
      <c r="EP9" s="8">
        <f t="shared" si="11"/>
        <v>48</v>
      </c>
      <c r="EQ9" s="181">
        <f>IFERROR(VLOOKUP(I9,CEI_012018!$A$1:$U$509,9,FALSE),0)</f>
        <v>0</v>
      </c>
      <c r="ER9" s="181">
        <f>IFERROR(VLOOKUP(I9,CEI_022018!$A$1:$U$509,9,FALSE),0)</f>
        <v>0</v>
      </c>
      <c r="ES9" s="181">
        <f>IFERROR(VLOOKUP(I9,CEI_032018!$A$1:$U$509,9,FALSE),0)</f>
        <v>0</v>
      </c>
      <c r="ET9" s="181">
        <f>IFERROR(VLOOKUP(I9,CEI_042018!$A$1:$U$491,9,FALSE),0)</f>
        <v>0</v>
      </c>
      <c r="EU9" s="181">
        <f>IFERROR(VLOOKUP(I9,CEI_052018!$A$1:$U$489,9,FALSE),0)</f>
        <v>0</v>
      </c>
      <c r="EV9" s="181">
        <f>IFERROR(VLOOKUP(I9,CEI_062018!$A$1:$U$489,9,FALSE),0)</f>
        <v>0</v>
      </c>
      <c r="EW9" s="181">
        <f>IFERROR(VLOOKUP(I9,CEI_072018!$A$1:$U$489,9,FALSE),0)</f>
        <v>0</v>
      </c>
      <c r="EX9" s="181">
        <f>IFERROR(VLOOKUP(I9,CEI_082018!$A$1:$U$489,9,FALSE),0)</f>
        <v>0</v>
      </c>
      <c r="EY9" s="181">
        <f>IFERROR(VLOOKUP(I9,CEI_092018!$A$1:$U$489,9,FALSE),0)</f>
        <v>0</v>
      </c>
      <c r="EZ9" s="181"/>
      <c r="FA9" s="181"/>
      <c r="FB9" s="181"/>
      <c r="FC9" s="181">
        <f>IFERROR(VLOOKUP(I9,CEI_092018!$A$1:$U$489,12,FALSE),0)</f>
        <v>0</v>
      </c>
      <c r="FD9" s="181">
        <f t="shared" si="12"/>
        <v>0</v>
      </c>
      <c r="FE9" s="181">
        <f t="shared" si="13"/>
        <v>0</v>
      </c>
      <c r="FF9"/>
      <c r="FG9"/>
      <c r="FH9"/>
      <c r="FI9"/>
      <c r="FJ9"/>
      <c r="FK9"/>
      <c r="FL9"/>
      <c r="FM9"/>
      <c r="FN9"/>
      <c r="FO9"/>
      <c r="FP9"/>
      <c r="FQ9"/>
      <c r="FR9"/>
      <c r="FS9"/>
      <c r="FT9"/>
      <c r="FU9"/>
      <c r="FV9"/>
      <c r="FW9"/>
      <c r="FX9"/>
      <c r="FY9"/>
      <c r="FZ9"/>
      <c r="GA9"/>
      <c r="GB9"/>
      <c r="GC9"/>
    </row>
    <row r="10" spans="1:185" ht="12.95" customHeight="1" x14ac:dyDescent="0.25">
      <c r="A10" s="202"/>
      <c r="B10" s="22" t="s">
        <v>54</v>
      </c>
      <c r="C10" s="34" t="s">
        <v>29</v>
      </c>
      <c r="D10" s="22" t="s">
        <v>58</v>
      </c>
      <c r="E10" s="25" t="s">
        <v>1034</v>
      </c>
      <c r="F10" s="25" t="s">
        <v>58</v>
      </c>
      <c r="G10" s="25" t="s">
        <v>1034</v>
      </c>
      <c r="H10" s="22" t="s">
        <v>56</v>
      </c>
      <c r="I10" s="423" t="s">
        <v>565</v>
      </c>
      <c r="J10" s="37"/>
      <c r="K10" s="23" t="s">
        <v>1081</v>
      </c>
      <c r="L10" s="23" t="s">
        <v>882</v>
      </c>
      <c r="M10" s="23" t="s">
        <v>450</v>
      </c>
      <c r="N10" s="23"/>
      <c r="O10" s="2"/>
      <c r="P10" s="2"/>
      <c r="Q10" s="2"/>
      <c r="R10" s="2"/>
      <c r="S10" s="2"/>
      <c r="T10" s="116">
        <f t="shared" si="0"/>
        <v>0</v>
      </c>
      <c r="U10" s="324"/>
      <c r="V10" s="324"/>
      <c r="W10" s="324"/>
      <c r="X10" s="324"/>
      <c r="Y10" s="324"/>
      <c r="Z10" s="324"/>
      <c r="AA10" s="324"/>
      <c r="AB10" s="324"/>
      <c r="AC10" s="324"/>
      <c r="AD10" s="324"/>
      <c r="AE10" s="324"/>
      <c r="AF10" s="324"/>
      <c r="AG10" s="140">
        <f t="shared" si="1"/>
        <v>0</v>
      </c>
      <c r="AH10" s="324"/>
      <c r="AI10" s="324"/>
      <c r="AJ10" s="324"/>
      <c r="AK10" s="324"/>
      <c r="AL10" s="324"/>
      <c r="AM10" s="324"/>
      <c r="AN10" s="324"/>
      <c r="AO10" s="324"/>
      <c r="AP10" s="324"/>
      <c r="AQ10" s="324"/>
      <c r="AR10" s="324"/>
      <c r="AS10" s="324"/>
      <c r="AT10" s="140">
        <f t="shared" si="2"/>
        <v>0</v>
      </c>
      <c r="AU10" s="324"/>
      <c r="AV10" s="324"/>
      <c r="AW10" s="324"/>
      <c r="AX10" s="324"/>
      <c r="AY10" s="324"/>
      <c r="AZ10" s="324"/>
      <c r="BA10" s="324"/>
      <c r="BB10" s="324"/>
      <c r="BC10" s="324"/>
      <c r="BD10" s="324"/>
      <c r="BE10" s="324">
        <v>108</v>
      </c>
      <c r="BF10" s="324"/>
      <c r="BG10" s="140">
        <f t="shared" si="3"/>
        <v>108</v>
      </c>
      <c r="BH10" s="324"/>
      <c r="BI10" s="324"/>
      <c r="BJ10" s="324"/>
      <c r="BK10" s="324"/>
      <c r="BL10" s="324"/>
      <c r="BM10" s="324"/>
      <c r="BN10" s="324"/>
      <c r="BO10" s="324"/>
      <c r="BP10" s="324"/>
      <c r="BQ10" s="324"/>
      <c r="BR10" s="324">
        <v>92</v>
      </c>
      <c r="BS10" s="324"/>
      <c r="BT10" s="140">
        <f t="shared" si="4"/>
        <v>92</v>
      </c>
      <c r="BU10" s="114">
        <f t="shared" si="5"/>
        <v>200</v>
      </c>
      <c r="BV10" s="432"/>
      <c r="BW10" s="432"/>
      <c r="BX10" s="432"/>
      <c r="BY10" s="432"/>
      <c r="BZ10" s="433"/>
      <c r="CA10" s="434"/>
      <c r="CB10" s="7" t="s">
        <v>291</v>
      </c>
      <c r="CC10" s="3"/>
      <c r="CD10" s="3"/>
      <c r="CE10" s="3"/>
      <c r="CF10" s="3"/>
      <c r="CG10" s="3"/>
      <c r="CH10" s="3"/>
      <c r="CI10" s="3"/>
      <c r="CJ10" s="3"/>
      <c r="CK10" s="3"/>
      <c r="CL10" s="3"/>
      <c r="CM10" s="3"/>
      <c r="CN10" s="3"/>
      <c r="CO10" s="4">
        <f t="shared" si="6"/>
        <v>0</v>
      </c>
      <c r="CP10" s="3"/>
      <c r="CQ10" s="3"/>
      <c r="CR10" s="3"/>
      <c r="CS10" s="3"/>
      <c r="CT10" s="3"/>
      <c r="CU10" s="3"/>
      <c r="CV10" s="3"/>
      <c r="CW10" s="3"/>
      <c r="CX10" s="3"/>
      <c r="CY10" s="3"/>
      <c r="CZ10" s="3"/>
      <c r="DA10" s="3"/>
      <c r="DB10" s="4">
        <f t="shared" si="7"/>
        <v>0</v>
      </c>
      <c r="DC10" s="3"/>
      <c r="DD10" s="3"/>
      <c r="DE10" s="3"/>
      <c r="DF10" s="3"/>
      <c r="DG10" s="3"/>
      <c r="DH10" s="3"/>
      <c r="DI10" s="3"/>
      <c r="DJ10" s="3"/>
      <c r="DK10" s="3"/>
      <c r="DL10" s="3"/>
      <c r="DM10" s="3"/>
      <c r="DN10" s="3"/>
      <c r="DO10" s="4">
        <f t="shared" si="8"/>
        <v>0</v>
      </c>
      <c r="DP10" s="3"/>
      <c r="DQ10" s="3"/>
      <c r="DR10" s="3"/>
      <c r="DS10" s="3"/>
      <c r="DT10" s="3"/>
      <c r="DU10" s="3"/>
      <c r="DV10" s="3"/>
      <c r="DW10" s="3"/>
      <c r="DX10" s="3"/>
      <c r="DY10" s="3"/>
      <c r="DZ10" s="3">
        <v>54</v>
      </c>
      <c r="EA10" s="3"/>
      <c r="EB10" s="4">
        <f t="shared" si="9"/>
        <v>54</v>
      </c>
      <c r="EC10" s="3"/>
      <c r="ED10" s="3"/>
      <c r="EE10" s="3"/>
      <c r="EF10" s="3"/>
      <c r="EG10" s="3"/>
      <c r="EH10" s="3"/>
      <c r="EI10" s="3"/>
      <c r="EJ10" s="3"/>
      <c r="EK10" s="3"/>
      <c r="EL10" s="3"/>
      <c r="EM10" s="3">
        <v>46</v>
      </c>
      <c r="EN10" s="3"/>
      <c r="EO10" s="4">
        <f t="shared" si="10"/>
        <v>46</v>
      </c>
      <c r="EP10" s="8">
        <f t="shared" si="11"/>
        <v>100</v>
      </c>
      <c r="EQ10" s="181">
        <f>IFERROR(VLOOKUP(I10,CEI_012018!$A$1:$U$509,9,FALSE),0)</f>
        <v>0</v>
      </c>
      <c r="ER10" s="181">
        <f>IFERROR(VLOOKUP(I10,CEI_022018!$A$1:$U$509,9,FALSE),0)</f>
        <v>0</v>
      </c>
      <c r="ES10" s="181">
        <f>IFERROR(VLOOKUP(I10,CEI_032018!$A$1:$U$509,9,FALSE),0)</f>
        <v>0</v>
      </c>
      <c r="ET10" s="181">
        <f>IFERROR(VLOOKUP(I10,CEI_042018!$A$1:$U$491,9,FALSE),0)</f>
        <v>0</v>
      </c>
      <c r="EU10" s="181">
        <f>IFERROR(VLOOKUP(I10,CEI_052018!$A$1:$U$489,9,FALSE),0)</f>
        <v>0</v>
      </c>
      <c r="EV10" s="181">
        <f>IFERROR(VLOOKUP(I10,CEI_062018!$A$1:$U$489,9,FALSE),0)</f>
        <v>0</v>
      </c>
      <c r="EW10" s="181">
        <f>IFERROR(VLOOKUP(I10,CEI_072018!$A$1:$U$489,9,FALSE),0)</f>
        <v>0</v>
      </c>
      <c r="EX10" s="181">
        <f>IFERROR(VLOOKUP(I10,CEI_082018!$A$1:$U$489,9,FALSE),0)</f>
        <v>0</v>
      </c>
      <c r="EY10" s="181">
        <f>IFERROR(VLOOKUP(I10,CEI_092018!$A$1:$U$489,9,FALSE),0)</f>
        <v>0</v>
      </c>
      <c r="EZ10" s="181"/>
      <c r="FA10" s="181"/>
      <c r="FB10" s="181"/>
      <c r="FC10" s="181">
        <f>IFERROR(VLOOKUP(I10,CEI_092018!$A$1:$U$489,12,FALSE),0)</f>
        <v>0</v>
      </c>
      <c r="FD10" s="181">
        <f t="shared" si="12"/>
        <v>0</v>
      </c>
      <c r="FE10" s="181">
        <f t="shared" si="13"/>
        <v>0</v>
      </c>
      <c r="FF10"/>
      <c r="FG10"/>
      <c r="FH10"/>
      <c r="FI10"/>
      <c r="FJ10"/>
      <c r="FK10"/>
      <c r="FL10"/>
      <c r="FM10"/>
      <c r="FN10"/>
      <c r="FO10"/>
      <c r="FP10"/>
      <c r="FQ10"/>
      <c r="FR10"/>
      <c r="FS10"/>
      <c r="FT10"/>
      <c r="FU10"/>
      <c r="FV10"/>
      <c r="FW10"/>
      <c r="FX10"/>
      <c r="FY10"/>
      <c r="FZ10"/>
      <c r="GA10"/>
      <c r="GB10"/>
      <c r="GC10"/>
    </row>
    <row r="11" spans="1:185" ht="12.75" customHeight="1" x14ac:dyDescent="0.25">
      <c r="A11" s="202"/>
      <c r="B11" s="22" t="s">
        <v>54</v>
      </c>
      <c r="C11" s="34" t="s">
        <v>29</v>
      </c>
      <c r="D11" s="22" t="s">
        <v>58</v>
      </c>
      <c r="E11" s="25" t="s">
        <v>292</v>
      </c>
      <c r="F11" s="25" t="s">
        <v>58</v>
      </c>
      <c r="G11" s="25" t="s">
        <v>292</v>
      </c>
      <c r="H11" s="22" t="s">
        <v>56</v>
      </c>
      <c r="I11" s="423" t="s">
        <v>1957</v>
      </c>
      <c r="J11" s="37" t="s">
        <v>1941</v>
      </c>
      <c r="K11" s="23" t="s">
        <v>678</v>
      </c>
      <c r="L11" s="23" t="s">
        <v>469</v>
      </c>
      <c r="M11" s="23" t="s">
        <v>470</v>
      </c>
      <c r="N11" s="23"/>
      <c r="O11" s="2"/>
      <c r="P11" s="2"/>
      <c r="Q11" s="2"/>
      <c r="R11" s="2"/>
      <c r="S11" s="2"/>
      <c r="T11" s="116">
        <f t="shared" si="0"/>
        <v>0</v>
      </c>
      <c r="U11" s="324"/>
      <c r="V11" s="324"/>
      <c r="W11" s="324"/>
      <c r="X11" s="324"/>
      <c r="Y11" s="324"/>
      <c r="Z11" s="324"/>
      <c r="AA11" s="324"/>
      <c r="AB11" s="324"/>
      <c r="AC11" s="324"/>
      <c r="AD11" s="324"/>
      <c r="AE11" s="324"/>
      <c r="AF11" s="324"/>
      <c r="AG11" s="140">
        <f t="shared" si="1"/>
        <v>0</v>
      </c>
      <c r="AH11" s="324"/>
      <c r="AI11" s="324"/>
      <c r="AJ11" s="324"/>
      <c r="AK11" s="324"/>
      <c r="AL11" s="324"/>
      <c r="AM11" s="324"/>
      <c r="AN11" s="324"/>
      <c r="AO11" s="324">
        <f>30+94</f>
        <v>124</v>
      </c>
      <c r="AP11" s="324"/>
      <c r="AQ11" s="324"/>
      <c r="AR11" s="324"/>
      <c r="AS11" s="324"/>
      <c r="AT11" s="140">
        <f t="shared" si="2"/>
        <v>124</v>
      </c>
      <c r="AU11" s="324"/>
      <c r="AV11" s="324"/>
      <c r="AW11" s="324"/>
      <c r="AX11" s="324"/>
      <c r="AY11" s="324"/>
      <c r="AZ11" s="324"/>
      <c r="BA11" s="324"/>
      <c r="BB11" s="324"/>
      <c r="BC11" s="324"/>
      <c r="BD11" s="324"/>
      <c r="BE11" s="324"/>
      <c r="BF11" s="324"/>
      <c r="BG11" s="140">
        <f t="shared" si="3"/>
        <v>0</v>
      </c>
      <c r="BH11" s="324"/>
      <c r="BI11" s="324"/>
      <c r="BJ11" s="324"/>
      <c r="BK11" s="324"/>
      <c r="BL11" s="324"/>
      <c r="BM11" s="324"/>
      <c r="BN11" s="324"/>
      <c r="BO11" s="324">
        <v>30</v>
      </c>
      <c r="BP11" s="324"/>
      <c r="BQ11" s="324"/>
      <c r="BR11" s="324"/>
      <c r="BS11" s="324"/>
      <c r="BT11" s="140">
        <f t="shared" si="4"/>
        <v>30</v>
      </c>
      <c r="BU11" s="114">
        <f t="shared" si="5"/>
        <v>154</v>
      </c>
      <c r="BV11" s="372">
        <v>1</v>
      </c>
      <c r="BW11" s="372">
        <v>0</v>
      </c>
      <c r="BX11" s="372">
        <v>-1</v>
      </c>
      <c r="BY11" s="372">
        <v>-1</v>
      </c>
      <c r="BZ11" s="436">
        <f>IFERROR((EX11/T11%),0)</f>
        <v>0</v>
      </c>
      <c r="CA11" s="436">
        <f>IFERROR((FD11/T11%),0)</f>
        <v>0</v>
      </c>
      <c r="CB11" s="7" t="s">
        <v>73</v>
      </c>
      <c r="CC11" s="3"/>
      <c r="CD11" s="3"/>
      <c r="CE11" s="3"/>
      <c r="CF11" s="3"/>
      <c r="CG11" s="3"/>
      <c r="CH11" s="3"/>
      <c r="CI11" s="3"/>
      <c r="CJ11" s="3"/>
      <c r="CK11" s="3"/>
      <c r="CL11" s="3"/>
      <c r="CM11" s="3"/>
      <c r="CN11" s="3">
        <v>60</v>
      </c>
      <c r="CO11" s="4">
        <f t="shared" si="6"/>
        <v>60</v>
      </c>
      <c r="CP11" s="3"/>
      <c r="CQ11" s="3"/>
      <c r="CR11" s="3"/>
      <c r="CS11" s="3"/>
      <c r="CT11" s="3"/>
      <c r="CU11" s="3"/>
      <c r="CV11" s="3"/>
      <c r="CW11" s="3"/>
      <c r="CX11" s="3"/>
      <c r="CY11" s="3"/>
      <c r="CZ11" s="3"/>
      <c r="DA11" s="3"/>
      <c r="DB11" s="4">
        <f t="shared" si="7"/>
        <v>0</v>
      </c>
      <c r="DC11" s="3"/>
      <c r="DD11" s="3"/>
      <c r="DE11" s="3"/>
      <c r="DF11" s="3"/>
      <c r="DG11" s="3"/>
      <c r="DH11" s="3"/>
      <c r="DI11" s="3">
        <v>10</v>
      </c>
      <c r="DJ11" s="3"/>
      <c r="DK11" s="3"/>
      <c r="DL11" s="3"/>
      <c r="DM11" s="3"/>
      <c r="DN11" s="3"/>
      <c r="DO11" s="4">
        <f t="shared" si="8"/>
        <v>10</v>
      </c>
      <c r="DP11" s="3"/>
      <c r="DQ11" s="3"/>
      <c r="DR11" s="3"/>
      <c r="DS11" s="3"/>
      <c r="DT11" s="3"/>
      <c r="DU11" s="3"/>
      <c r="DV11" s="3"/>
      <c r="DW11" s="3"/>
      <c r="DX11" s="3"/>
      <c r="DY11" s="3"/>
      <c r="DZ11" s="3"/>
      <c r="EA11" s="3"/>
      <c r="EB11" s="4">
        <f t="shared" si="9"/>
        <v>0</v>
      </c>
      <c r="EC11" s="3"/>
      <c r="ED11" s="3"/>
      <c r="EE11" s="3"/>
      <c r="EF11" s="3"/>
      <c r="EG11" s="3"/>
      <c r="EH11" s="3"/>
      <c r="EI11" s="3">
        <v>10</v>
      </c>
      <c r="EJ11" s="3"/>
      <c r="EK11" s="3"/>
      <c r="EL11" s="3"/>
      <c r="EM11" s="3"/>
      <c r="EN11" s="3"/>
      <c r="EO11" s="4">
        <f t="shared" si="10"/>
        <v>10</v>
      </c>
      <c r="EP11" s="8">
        <f t="shared" si="11"/>
        <v>80</v>
      </c>
      <c r="EQ11" s="181">
        <f>IFERROR(VLOOKUP(I11,CEI_012018!$A$1:$U$509,9,FALSE),0)</f>
        <v>0</v>
      </c>
      <c r="ER11" s="181">
        <f>IFERROR(VLOOKUP(I11,CEI_022018!$A$1:$U$509,9,FALSE),0)</f>
        <v>0</v>
      </c>
      <c r="ES11" s="181">
        <f>IFERROR(VLOOKUP(I11,CEI_032018!$A$1:$U$509,9,FALSE),0)</f>
        <v>0</v>
      </c>
      <c r="ET11" s="181">
        <f>IFERROR(VLOOKUP(I11,CEI_042018!$A$1:$U$491,9,FALSE),0)</f>
        <v>0</v>
      </c>
      <c r="EU11" s="181">
        <f>IFERROR(VLOOKUP(I11,CEI_052018!$A$1:$U$489,9,FALSE),0)</f>
        <v>0</v>
      </c>
      <c r="EV11" s="181">
        <f>IFERROR(VLOOKUP(I11,CEI_062018!$A$1:$U$489,9,FALSE),0)</f>
        <v>0</v>
      </c>
      <c r="EW11" s="181">
        <f>IFERROR(VLOOKUP(I11,CEI_072018!$A$1:$U$489,9,FALSE),0)</f>
        <v>0</v>
      </c>
      <c r="EX11" s="181">
        <f>IFERROR(VLOOKUP(I11,CEI_082018!$A$1:$U$489,9,FALSE),0)</f>
        <v>0</v>
      </c>
      <c r="EY11" s="181">
        <f>IFERROR(VLOOKUP(I11,CEI_092018!$A$1:$U$489,9,FALSE),0)</f>
        <v>0</v>
      </c>
      <c r="EZ11" s="181"/>
      <c r="FA11" s="181"/>
      <c r="FB11" s="181"/>
      <c r="FC11" s="181">
        <f>IFERROR(VLOOKUP(I11,CEI_092018!$A$1:$U$489,12,FALSE),0)</f>
        <v>0</v>
      </c>
      <c r="FD11" s="181">
        <f t="shared" si="12"/>
        <v>0</v>
      </c>
      <c r="FE11" s="181">
        <f t="shared" si="13"/>
        <v>0</v>
      </c>
      <c r="FF11"/>
      <c r="FG11"/>
      <c r="FH11"/>
      <c r="FI11"/>
      <c r="FJ11"/>
      <c r="FK11"/>
      <c r="FL11"/>
      <c r="FM11"/>
      <c r="FN11"/>
      <c r="FO11"/>
      <c r="FP11"/>
      <c r="FQ11"/>
      <c r="FR11"/>
      <c r="FS11"/>
      <c r="FT11"/>
      <c r="FU11"/>
      <c r="FV11"/>
      <c r="FW11"/>
      <c r="FX11"/>
      <c r="FY11"/>
      <c r="FZ11"/>
      <c r="GA11"/>
      <c r="GB11"/>
      <c r="GC11"/>
    </row>
    <row r="12" spans="1:185" ht="12.95" customHeight="1" x14ac:dyDescent="0.25">
      <c r="A12" s="202"/>
      <c r="B12" s="22" t="s">
        <v>54</v>
      </c>
      <c r="C12" s="34" t="s">
        <v>29</v>
      </c>
      <c r="D12" s="22" t="s">
        <v>58</v>
      </c>
      <c r="E12" s="25" t="s">
        <v>292</v>
      </c>
      <c r="F12" s="25" t="s">
        <v>58</v>
      </c>
      <c r="G12" s="25" t="s">
        <v>292</v>
      </c>
      <c r="H12" s="22" t="s">
        <v>56</v>
      </c>
      <c r="I12" s="423" t="s">
        <v>1530</v>
      </c>
      <c r="J12" s="37" t="s">
        <v>1531</v>
      </c>
      <c r="K12" s="417" t="s">
        <v>1540</v>
      </c>
      <c r="L12" s="23" t="s">
        <v>1528</v>
      </c>
      <c r="M12" s="23" t="s">
        <v>1529</v>
      </c>
      <c r="N12" s="23"/>
      <c r="O12" s="2">
        <v>28.784600853919983</v>
      </c>
      <c r="P12" s="2">
        <v>91</v>
      </c>
      <c r="Q12" s="2"/>
      <c r="R12" s="2"/>
      <c r="S12" s="2">
        <v>12.2153991460799</v>
      </c>
      <c r="T12" s="116">
        <f t="shared" si="0"/>
        <v>131.99999999999989</v>
      </c>
      <c r="U12" s="324"/>
      <c r="V12" s="324"/>
      <c r="W12" s="324"/>
      <c r="X12" s="324"/>
      <c r="Y12" s="324"/>
      <c r="Z12" s="324"/>
      <c r="AA12" s="324"/>
      <c r="AB12" s="324"/>
      <c r="AC12" s="324"/>
      <c r="AD12" s="324"/>
      <c r="AE12" s="324"/>
      <c r="AF12" s="324"/>
      <c r="AG12" s="140">
        <f t="shared" si="1"/>
        <v>0</v>
      </c>
      <c r="AH12" s="324"/>
      <c r="AI12" s="324"/>
      <c r="AJ12" s="324"/>
      <c r="AK12" s="324"/>
      <c r="AL12" s="324"/>
      <c r="AM12" s="324"/>
      <c r="AN12" s="324"/>
      <c r="AO12" s="324"/>
      <c r="AP12" s="324"/>
      <c r="AQ12" s="324"/>
      <c r="AR12" s="324"/>
      <c r="AS12" s="324"/>
      <c r="AT12" s="140">
        <f t="shared" si="2"/>
        <v>0</v>
      </c>
      <c r="AU12" s="324"/>
      <c r="AV12" s="324"/>
      <c r="AW12" s="324"/>
      <c r="AX12" s="324"/>
      <c r="AY12" s="324"/>
      <c r="AZ12" s="324"/>
      <c r="BA12" s="324"/>
      <c r="BB12" s="324"/>
      <c r="BC12" s="324"/>
      <c r="BD12" s="324"/>
      <c r="BE12" s="324"/>
      <c r="BF12" s="324"/>
      <c r="BG12" s="140">
        <f t="shared" si="3"/>
        <v>0</v>
      </c>
      <c r="BH12" s="324"/>
      <c r="BI12" s="324"/>
      <c r="BJ12" s="324"/>
      <c r="BK12" s="324"/>
      <c r="BL12" s="324"/>
      <c r="BM12" s="324"/>
      <c r="BN12" s="324"/>
      <c r="BO12" s="324"/>
      <c r="BP12" s="324"/>
      <c r="BQ12" s="324"/>
      <c r="BR12" s="324"/>
      <c r="BS12" s="324"/>
      <c r="BT12" s="140">
        <f t="shared" si="4"/>
        <v>0</v>
      </c>
      <c r="BU12" s="114">
        <f t="shared" si="5"/>
        <v>131.99999999999989</v>
      </c>
      <c r="BV12" s="372">
        <v>1</v>
      </c>
      <c r="BW12" s="372">
        <v>1</v>
      </c>
      <c r="BX12" s="372">
        <v>1</v>
      </c>
      <c r="BY12" s="372">
        <v>1</v>
      </c>
      <c r="BZ12" s="436">
        <f>IFERROR((EX12/T12%),0)</f>
        <v>21.806515798424247</v>
      </c>
      <c r="CA12" s="436">
        <f>IFERROR((FD12/T12%),0)</f>
        <v>64.934471610820708</v>
      </c>
      <c r="CB12" s="7" t="s">
        <v>73</v>
      </c>
      <c r="CC12" s="3"/>
      <c r="CD12" s="3"/>
      <c r="CE12" s="3"/>
      <c r="CF12" s="3"/>
      <c r="CG12" s="3"/>
      <c r="CH12" s="3"/>
      <c r="CI12" s="3"/>
      <c r="CJ12" s="3">
        <v>44</v>
      </c>
      <c r="CK12" s="3"/>
      <c r="CL12" s="3"/>
      <c r="CM12" s="3"/>
      <c r="CN12" s="3"/>
      <c r="CO12" s="4">
        <f t="shared" si="6"/>
        <v>44</v>
      </c>
      <c r="CP12" s="3"/>
      <c r="CQ12" s="3"/>
      <c r="CR12" s="3"/>
      <c r="CS12" s="3"/>
      <c r="CT12" s="3"/>
      <c r="CU12" s="3"/>
      <c r="CV12" s="3"/>
      <c r="CW12" s="3"/>
      <c r="CX12" s="3"/>
      <c r="CY12" s="3"/>
      <c r="CZ12" s="3"/>
      <c r="DA12" s="3"/>
      <c r="DB12" s="4">
        <f t="shared" si="7"/>
        <v>0</v>
      </c>
      <c r="DC12" s="3"/>
      <c r="DD12" s="3"/>
      <c r="DE12" s="3"/>
      <c r="DF12" s="3"/>
      <c r="DG12" s="3"/>
      <c r="DH12" s="3"/>
      <c r="DI12" s="3"/>
      <c r="DJ12" s="3"/>
      <c r="DK12" s="3"/>
      <c r="DL12" s="3"/>
      <c r="DM12" s="3"/>
      <c r="DN12" s="3"/>
      <c r="DO12" s="4">
        <f t="shared" si="8"/>
        <v>0</v>
      </c>
      <c r="DP12" s="3"/>
      <c r="DQ12" s="3"/>
      <c r="DR12" s="3"/>
      <c r="DS12" s="3"/>
      <c r="DT12" s="3"/>
      <c r="DU12" s="3"/>
      <c r="DV12" s="3"/>
      <c r="DW12" s="3"/>
      <c r="DX12" s="3"/>
      <c r="DY12" s="3"/>
      <c r="DZ12" s="3"/>
      <c r="EA12" s="3"/>
      <c r="EB12" s="4">
        <f t="shared" si="9"/>
        <v>0</v>
      </c>
      <c r="EC12" s="3"/>
      <c r="ED12" s="3"/>
      <c r="EE12" s="3"/>
      <c r="EF12" s="3"/>
      <c r="EG12" s="3"/>
      <c r="EH12" s="3"/>
      <c r="EI12" s="3"/>
      <c r="EJ12" s="3"/>
      <c r="EK12" s="3"/>
      <c r="EL12" s="3"/>
      <c r="EM12" s="3"/>
      <c r="EN12" s="3"/>
      <c r="EO12" s="4">
        <f t="shared" si="10"/>
        <v>0</v>
      </c>
      <c r="EP12" s="8">
        <f t="shared" si="11"/>
        <v>44</v>
      </c>
      <c r="EQ12" s="181">
        <f>IFERROR(VLOOKUP(I12,CEI_012018!$A$1:$U$509,9,FALSE),0)</f>
        <v>0</v>
      </c>
      <c r="ER12" s="181">
        <f>IFERROR(VLOOKUP(I12,CEI_022018!$A$1:$U$509,9,FALSE),0)</f>
        <v>0</v>
      </c>
      <c r="ES12" s="181">
        <f>IFERROR(VLOOKUP(I12,CEI_032018!$A$1:$U$509,9,FALSE),0)</f>
        <v>0</v>
      </c>
      <c r="ET12" s="181">
        <f>IFERROR(VLOOKUP(I12,CEI_042018!$A$1:$U$491,9,FALSE),0)</f>
        <v>0</v>
      </c>
      <c r="EU12" s="181">
        <f>IFERROR(VLOOKUP(I12,CEI_052018!$A$1:$U$489,9,FALSE),0)</f>
        <v>0</v>
      </c>
      <c r="EV12" s="181">
        <f>IFERROR(VLOOKUP(I12,CEI_062018!$A$1:$U$489,9,FALSE),0)</f>
        <v>1.6000000238418579</v>
      </c>
      <c r="EW12" s="181">
        <f>IFERROR(VLOOKUP(I12,CEI_072018!$A$1:$U$489,9,FALSE),0)</f>
        <v>1.6000000238418579</v>
      </c>
      <c r="EX12" s="181">
        <f>IFERROR(VLOOKUP(I12,CEI_082018!$A$1:$U$489,9,FALSE),0)</f>
        <v>28.784600853919983</v>
      </c>
      <c r="EY12" s="181">
        <f>IFERROR(VLOOKUP(I12,CEI_092018!$A$1:$U$489,9,FALSE),0)</f>
        <v>35.398851037025452</v>
      </c>
      <c r="EZ12" s="181"/>
      <c r="FA12" s="181"/>
      <c r="FB12" s="181"/>
      <c r="FC12" s="181">
        <f>IFERROR(VLOOKUP(I12,CEI_092018!$A$1:$U$489,12,FALSE),0)</f>
        <v>84.113502502441406</v>
      </c>
      <c r="FD12" s="181">
        <f t="shared" si="12"/>
        <v>85.713502526283264</v>
      </c>
      <c r="FE12" s="181">
        <f t="shared" si="13"/>
        <v>46.286497473716622</v>
      </c>
      <c r="FF12"/>
      <c r="FG12"/>
      <c r="FH12"/>
      <c r="FI12"/>
      <c r="FJ12"/>
      <c r="FK12"/>
      <c r="FL12"/>
      <c r="FM12"/>
      <c r="FN12"/>
      <c r="FO12"/>
      <c r="FP12"/>
      <c r="FQ12"/>
      <c r="FR12"/>
      <c r="FS12"/>
      <c r="FT12"/>
      <c r="FU12"/>
      <c r="FV12"/>
      <c r="FW12"/>
      <c r="FX12"/>
      <c r="FY12"/>
      <c r="FZ12"/>
      <c r="GA12"/>
      <c r="GB12"/>
      <c r="GC12"/>
    </row>
    <row r="13" spans="1:185" ht="12.95" customHeight="1" x14ac:dyDescent="0.25">
      <c r="A13" s="202"/>
      <c r="B13" s="23" t="s">
        <v>54</v>
      </c>
      <c r="C13" s="34" t="s">
        <v>29</v>
      </c>
      <c r="D13" s="34" t="s">
        <v>1985</v>
      </c>
      <c r="E13" s="34" t="s">
        <v>1966</v>
      </c>
      <c r="F13" s="34" t="s">
        <v>1985</v>
      </c>
      <c r="G13" s="34" t="s">
        <v>1966</v>
      </c>
      <c r="H13" s="23" t="s">
        <v>226</v>
      </c>
      <c r="I13" s="423" t="s">
        <v>2054</v>
      </c>
      <c r="J13" s="373" t="s">
        <v>2055</v>
      </c>
      <c r="K13" s="23" t="s">
        <v>2016</v>
      </c>
      <c r="L13" s="23"/>
      <c r="M13" s="23"/>
      <c r="N13" s="23"/>
      <c r="O13" s="2"/>
      <c r="P13" s="2"/>
      <c r="Q13" s="2"/>
      <c r="R13" s="2"/>
      <c r="S13" s="2">
        <v>40</v>
      </c>
      <c r="T13" s="116">
        <f t="shared" si="0"/>
        <v>40</v>
      </c>
      <c r="U13" s="324"/>
      <c r="V13" s="324"/>
      <c r="W13" s="324"/>
      <c r="X13" s="324"/>
      <c r="Y13" s="324"/>
      <c r="Z13" s="324"/>
      <c r="AA13" s="324"/>
      <c r="AB13" s="324"/>
      <c r="AC13" s="324"/>
      <c r="AD13" s="324"/>
      <c r="AE13" s="324"/>
      <c r="AF13" s="324"/>
      <c r="AG13" s="140">
        <f t="shared" si="1"/>
        <v>0</v>
      </c>
      <c r="AH13" s="324"/>
      <c r="AI13" s="324"/>
      <c r="AJ13" s="324"/>
      <c r="AK13" s="324"/>
      <c r="AL13" s="324"/>
      <c r="AM13" s="324"/>
      <c r="AN13" s="324"/>
      <c r="AO13" s="324"/>
      <c r="AP13" s="324"/>
      <c r="AQ13" s="324"/>
      <c r="AR13" s="324"/>
      <c r="AS13" s="324"/>
      <c r="AT13" s="140">
        <f t="shared" si="2"/>
        <v>0</v>
      </c>
      <c r="AU13" s="324"/>
      <c r="AV13" s="324"/>
      <c r="AW13" s="324"/>
      <c r="AX13" s="324"/>
      <c r="AY13" s="324"/>
      <c r="AZ13" s="324"/>
      <c r="BA13" s="324"/>
      <c r="BB13" s="324"/>
      <c r="BC13" s="324"/>
      <c r="BD13" s="324"/>
      <c r="BE13" s="324"/>
      <c r="BF13" s="324"/>
      <c r="BG13" s="140">
        <f t="shared" si="3"/>
        <v>0</v>
      </c>
      <c r="BH13" s="324"/>
      <c r="BI13" s="324"/>
      <c r="BJ13" s="324"/>
      <c r="BK13" s="324"/>
      <c r="BL13" s="324"/>
      <c r="BM13" s="324"/>
      <c r="BN13" s="324"/>
      <c r="BO13" s="324"/>
      <c r="BP13" s="324"/>
      <c r="BQ13" s="324"/>
      <c r="BR13" s="324"/>
      <c r="BS13" s="324"/>
      <c r="BT13" s="140">
        <f t="shared" si="4"/>
        <v>0</v>
      </c>
      <c r="BU13" s="114">
        <f t="shared" si="5"/>
        <v>40</v>
      </c>
      <c r="BV13" s="372">
        <v>-1</v>
      </c>
      <c r="BW13" s="372">
        <v>-1</v>
      </c>
      <c r="BX13" s="372">
        <v>-1</v>
      </c>
      <c r="BY13" s="372">
        <v>-1</v>
      </c>
      <c r="BZ13" s="436">
        <f>IFERROR((EX13/T13%),0)</f>
        <v>0</v>
      </c>
      <c r="CA13" s="436">
        <f>IFERROR((FD13/T13%),0)</f>
        <v>0</v>
      </c>
      <c r="CB13" s="7" t="s">
        <v>73</v>
      </c>
      <c r="CC13" s="3"/>
      <c r="CD13" s="3"/>
      <c r="CE13" s="3"/>
      <c r="CF13" s="3"/>
      <c r="CG13" s="3"/>
      <c r="CH13" s="3"/>
      <c r="CI13" s="3"/>
      <c r="CJ13" s="3"/>
      <c r="CK13" s="3"/>
      <c r="CL13" s="3"/>
      <c r="CM13" s="3"/>
      <c r="CN13" s="3"/>
      <c r="CO13" s="4">
        <f t="shared" si="6"/>
        <v>0</v>
      </c>
      <c r="CP13" s="3"/>
      <c r="CQ13" s="3"/>
      <c r="CR13" s="3"/>
      <c r="CS13" s="3"/>
      <c r="CT13" s="3"/>
      <c r="CU13" s="3"/>
      <c r="CV13" s="3"/>
      <c r="CW13" s="3"/>
      <c r="CX13" s="3"/>
      <c r="CY13" s="3"/>
      <c r="CZ13" s="3"/>
      <c r="DA13" s="3"/>
      <c r="DB13" s="4">
        <f t="shared" si="7"/>
        <v>0</v>
      </c>
      <c r="DC13" s="3"/>
      <c r="DD13" s="3"/>
      <c r="DE13" s="3"/>
      <c r="DF13" s="3"/>
      <c r="DG13" s="3"/>
      <c r="DH13" s="3"/>
      <c r="DI13" s="3"/>
      <c r="DJ13" s="3"/>
      <c r="DK13" s="3"/>
      <c r="DL13" s="3"/>
      <c r="DM13" s="3"/>
      <c r="DN13" s="3"/>
      <c r="DO13" s="4">
        <f t="shared" si="8"/>
        <v>0</v>
      </c>
      <c r="DP13" s="3"/>
      <c r="DQ13" s="3"/>
      <c r="DR13" s="3"/>
      <c r="DS13" s="3"/>
      <c r="DT13" s="3"/>
      <c r="DU13" s="3"/>
      <c r="DV13" s="3"/>
      <c r="DW13" s="3"/>
      <c r="DX13" s="3"/>
      <c r="DY13" s="3"/>
      <c r="DZ13" s="3"/>
      <c r="EA13" s="3"/>
      <c r="EB13" s="4">
        <f t="shared" si="9"/>
        <v>0</v>
      </c>
      <c r="EC13" s="3"/>
      <c r="ED13" s="3"/>
      <c r="EE13" s="3"/>
      <c r="EF13" s="3"/>
      <c r="EG13" s="3"/>
      <c r="EH13" s="3"/>
      <c r="EI13" s="3"/>
      <c r="EJ13" s="3"/>
      <c r="EK13" s="3"/>
      <c r="EL13" s="3"/>
      <c r="EM13" s="3"/>
      <c r="EN13" s="3"/>
      <c r="EO13" s="4">
        <f t="shared" si="10"/>
        <v>0</v>
      </c>
      <c r="EP13" s="8">
        <f t="shared" si="11"/>
        <v>0</v>
      </c>
      <c r="EQ13" s="181">
        <f>IFERROR(VLOOKUP(I13,CEI_012018!$A$1:$U$509,9,FALSE),0)</f>
        <v>0</v>
      </c>
      <c r="ER13" s="181">
        <f>IFERROR(VLOOKUP(I13,CEI_022018!$A$1:$U$509,9,FALSE),0)</f>
        <v>0</v>
      </c>
      <c r="ES13" s="181">
        <f>IFERROR(VLOOKUP(I13,CEI_032018!$A$1:$U$509,9,FALSE),0)</f>
        <v>0</v>
      </c>
      <c r="ET13" s="181">
        <f>IFERROR(VLOOKUP(I13,CEI_042018!$A$1:$U$491,9,FALSE),0)</f>
        <v>0</v>
      </c>
      <c r="EU13" s="181">
        <f>IFERROR(VLOOKUP(I13,CEI_052018!$A$1:$U$489,9,FALSE),0)</f>
        <v>0</v>
      </c>
      <c r="EV13" s="181">
        <f>IFERROR(VLOOKUP(I13,CEI_062018!$A$1:$U$489,9,FALSE),0)</f>
        <v>0</v>
      </c>
      <c r="EW13" s="181">
        <f>IFERROR(VLOOKUP(I13,CEI_072018!$A$1:$U$489,9,FALSE),0)</f>
        <v>0</v>
      </c>
      <c r="EX13" s="181">
        <f>IFERROR(VLOOKUP(I13,CEI_082018!$A$1:$U$489,9,FALSE),0)</f>
        <v>0</v>
      </c>
      <c r="EY13" s="181">
        <f>IFERROR(VLOOKUP(I13,CEI_092018!$A$1:$U$489,9,FALSE),0)</f>
        <v>0</v>
      </c>
      <c r="EZ13" s="181"/>
      <c r="FA13" s="181"/>
      <c r="FB13" s="181"/>
      <c r="FC13" s="181">
        <f>IFERROR(VLOOKUP(I13,CEI_092018!$A$1:$U$489,12,FALSE),0)</f>
        <v>0</v>
      </c>
      <c r="FD13" s="181">
        <f t="shared" si="12"/>
        <v>0</v>
      </c>
      <c r="FE13" s="181">
        <f t="shared" si="13"/>
        <v>40</v>
      </c>
      <c r="FF13"/>
      <c r="FG13"/>
      <c r="FH13"/>
      <c r="FI13"/>
      <c r="FJ13"/>
      <c r="FK13"/>
      <c r="FL13"/>
      <c r="FM13"/>
      <c r="FN13"/>
      <c r="FO13"/>
      <c r="FP13"/>
      <c r="FQ13"/>
      <c r="FR13"/>
      <c r="FS13"/>
      <c r="FT13"/>
      <c r="FU13"/>
      <c r="FV13"/>
      <c r="FW13"/>
      <c r="FX13"/>
      <c r="FY13"/>
      <c r="FZ13"/>
      <c r="GA13"/>
      <c r="GB13"/>
      <c r="GC13"/>
    </row>
    <row r="14" spans="1:185" ht="12.95" customHeight="1" x14ac:dyDescent="0.25">
      <c r="A14" s="202"/>
      <c r="B14" s="22" t="s">
        <v>54</v>
      </c>
      <c r="C14" s="34" t="s">
        <v>29</v>
      </c>
      <c r="D14" s="22" t="s">
        <v>58</v>
      </c>
      <c r="E14" s="25" t="s">
        <v>1040</v>
      </c>
      <c r="F14" s="25" t="s">
        <v>58</v>
      </c>
      <c r="G14" s="25" t="s">
        <v>1040</v>
      </c>
      <c r="H14" s="22" t="s">
        <v>56</v>
      </c>
      <c r="I14" s="423" t="s">
        <v>565</v>
      </c>
      <c r="J14" s="37"/>
      <c r="K14" s="23" t="s">
        <v>850</v>
      </c>
      <c r="L14" s="23" t="s">
        <v>851</v>
      </c>
      <c r="M14" s="23" t="s">
        <v>852</v>
      </c>
      <c r="N14" s="23"/>
      <c r="O14" s="2"/>
      <c r="P14" s="2"/>
      <c r="Q14" s="2"/>
      <c r="R14" s="2"/>
      <c r="S14" s="2"/>
      <c r="T14" s="116">
        <f t="shared" si="0"/>
        <v>0</v>
      </c>
      <c r="U14" s="324"/>
      <c r="V14" s="324"/>
      <c r="W14" s="324"/>
      <c r="X14" s="324"/>
      <c r="Y14" s="324"/>
      <c r="Z14" s="324"/>
      <c r="AA14" s="324"/>
      <c r="AB14" s="324"/>
      <c r="AC14" s="324"/>
      <c r="AD14" s="324"/>
      <c r="AE14" s="324"/>
      <c r="AF14" s="324"/>
      <c r="AG14" s="140">
        <f t="shared" si="1"/>
        <v>0</v>
      </c>
      <c r="AH14" s="324"/>
      <c r="AI14" s="324"/>
      <c r="AJ14" s="324"/>
      <c r="AK14" s="324"/>
      <c r="AL14" s="324"/>
      <c r="AM14" s="324"/>
      <c r="AN14" s="324">
        <v>45.710839976157331</v>
      </c>
      <c r="AO14" s="324"/>
      <c r="AP14" s="324"/>
      <c r="AQ14" s="324"/>
      <c r="AR14" s="324"/>
      <c r="AS14" s="324"/>
      <c r="AT14" s="140">
        <f t="shared" si="2"/>
        <v>45.710839976157331</v>
      </c>
      <c r="AU14" s="324"/>
      <c r="AV14" s="324"/>
      <c r="AW14" s="324"/>
      <c r="AX14" s="324"/>
      <c r="AY14" s="324"/>
      <c r="AZ14" s="324"/>
      <c r="BA14" s="324"/>
      <c r="BB14" s="324"/>
      <c r="BC14" s="324"/>
      <c r="BD14" s="324"/>
      <c r="BE14" s="324"/>
      <c r="BF14" s="324"/>
      <c r="BG14" s="140">
        <f t="shared" si="3"/>
        <v>0</v>
      </c>
      <c r="BH14" s="324"/>
      <c r="BI14" s="324"/>
      <c r="BJ14" s="324"/>
      <c r="BK14" s="324"/>
      <c r="BL14" s="324"/>
      <c r="BM14" s="324"/>
      <c r="BN14" s="324">
        <v>60</v>
      </c>
      <c r="BO14" s="324"/>
      <c r="BP14" s="324"/>
      <c r="BQ14" s="324"/>
      <c r="BR14" s="324"/>
      <c r="BS14" s="324"/>
      <c r="BT14" s="140">
        <f t="shared" si="4"/>
        <v>60</v>
      </c>
      <c r="BU14" s="114">
        <f t="shared" si="5"/>
        <v>105.71083997615733</v>
      </c>
      <c r="BV14" s="432"/>
      <c r="BW14" s="432"/>
      <c r="BX14" s="432"/>
      <c r="BY14" s="432"/>
      <c r="BZ14" s="433"/>
      <c r="CA14" s="434"/>
      <c r="CB14" s="7" t="s">
        <v>73</v>
      </c>
      <c r="CC14" s="3"/>
      <c r="CD14" s="3"/>
      <c r="CE14" s="3"/>
      <c r="CF14" s="3"/>
      <c r="CG14" s="3"/>
      <c r="CH14" s="3"/>
      <c r="CI14" s="3"/>
      <c r="CJ14" s="3"/>
      <c r="CK14" s="3"/>
      <c r="CL14" s="3"/>
      <c r="CM14" s="3"/>
      <c r="CN14" s="3"/>
      <c r="CO14" s="4">
        <f t="shared" si="6"/>
        <v>0</v>
      </c>
      <c r="CP14" s="3"/>
      <c r="CQ14" s="3"/>
      <c r="CR14" s="3"/>
      <c r="CS14" s="3"/>
      <c r="CT14" s="3"/>
      <c r="CU14" s="3"/>
      <c r="CV14" s="3"/>
      <c r="CW14" s="3"/>
      <c r="CX14" s="3"/>
      <c r="CY14" s="3"/>
      <c r="CZ14" s="3"/>
      <c r="DA14" s="3"/>
      <c r="DB14" s="4">
        <f t="shared" si="7"/>
        <v>0</v>
      </c>
      <c r="DC14" s="3"/>
      <c r="DD14" s="3"/>
      <c r="DE14" s="3"/>
      <c r="DF14" s="3"/>
      <c r="DG14" s="3"/>
      <c r="DH14" s="3"/>
      <c r="DI14" s="3">
        <v>72</v>
      </c>
      <c r="DJ14" s="3"/>
      <c r="DK14" s="3"/>
      <c r="DL14" s="3"/>
      <c r="DM14" s="3"/>
      <c r="DN14" s="3"/>
      <c r="DO14" s="4">
        <f t="shared" si="8"/>
        <v>72</v>
      </c>
      <c r="DP14" s="3"/>
      <c r="DQ14" s="3"/>
      <c r="DR14" s="3"/>
      <c r="DS14" s="3"/>
      <c r="DT14" s="3"/>
      <c r="DU14" s="3"/>
      <c r="DV14" s="3">
        <v>72</v>
      </c>
      <c r="DW14" s="3"/>
      <c r="DX14" s="3"/>
      <c r="DY14" s="3"/>
      <c r="DZ14" s="3"/>
      <c r="EA14" s="3"/>
      <c r="EB14" s="4">
        <f t="shared" si="9"/>
        <v>72</v>
      </c>
      <c r="EC14" s="3"/>
      <c r="ED14" s="3"/>
      <c r="EE14" s="3"/>
      <c r="EF14" s="3"/>
      <c r="EG14" s="3"/>
      <c r="EH14" s="3"/>
      <c r="EI14" s="3"/>
      <c r="EJ14" s="3"/>
      <c r="EK14" s="3"/>
      <c r="EL14" s="3"/>
      <c r="EM14" s="3"/>
      <c r="EN14" s="3"/>
      <c r="EO14" s="4">
        <f t="shared" si="10"/>
        <v>0</v>
      </c>
      <c r="EP14" s="8">
        <f t="shared" si="11"/>
        <v>144</v>
      </c>
      <c r="EQ14" s="181">
        <f>IFERROR(VLOOKUP(I14,CEI_012018!$A$1:$U$509,9,FALSE),0)</f>
        <v>0</v>
      </c>
      <c r="ER14" s="181">
        <f>IFERROR(VLOOKUP(I14,CEI_022018!$A$1:$U$509,9,FALSE),0)</f>
        <v>0</v>
      </c>
      <c r="ES14" s="181">
        <f>IFERROR(VLOOKUP(I14,CEI_032018!$A$1:$U$509,9,FALSE),0)</f>
        <v>0</v>
      </c>
      <c r="ET14" s="181">
        <f>IFERROR(VLOOKUP(I14,CEI_042018!$A$1:$U$491,9,FALSE),0)</f>
        <v>0</v>
      </c>
      <c r="EU14" s="181">
        <f>IFERROR(VLOOKUP(I14,CEI_052018!$A$1:$U$489,9,FALSE),0)</f>
        <v>0</v>
      </c>
      <c r="EV14" s="181">
        <f>IFERROR(VLOOKUP(I14,CEI_062018!$A$1:$U$489,9,FALSE),0)</f>
        <v>0</v>
      </c>
      <c r="EW14" s="181">
        <f>IFERROR(VLOOKUP(I14,CEI_072018!$A$1:$U$489,9,FALSE),0)</f>
        <v>0</v>
      </c>
      <c r="EX14" s="181">
        <f>IFERROR(VLOOKUP(I14,CEI_082018!$A$1:$U$489,9,FALSE),0)</f>
        <v>0</v>
      </c>
      <c r="EY14" s="181">
        <f>IFERROR(VLOOKUP(I14,CEI_092018!$A$1:$U$489,9,FALSE),0)</f>
        <v>0</v>
      </c>
      <c r="EZ14" s="181"/>
      <c r="FA14" s="181"/>
      <c r="FB14" s="181"/>
      <c r="FC14" s="181">
        <f>IFERROR(VLOOKUP(I14,CEI_092018!$A$1:$U$489,12,FALSE),0)</f>
        <v>0</v>
      </c>
      <c r="FD14" s="181">
        <f t="shared" si="12"/>
        <v>0</v>
      </c>
      <c r="FE14" s="181">
        <f t="shared" si="13"/>
        <v>0</v>
      </c>
      <c r="FF14"/>
      <c r="FG14"/>
      <c r="FH14"/>
      <c r="FI14"/>
      <c r="FJ14"/>
      <c r="FK14"/>
      <c r="FL14"/>
      <c r="FM14"/>
      <c r="FN14"/>
      <c r="FO14"/>
      <c r="FP14"/>
      <c r="FQ14"/>
      <c r="FR14"/>
      <c r="FS14"/>
      <c r="FT14"/>
      <c r="FU14"/>
      <c r="FV14"/>
      <c r="FW14"/>
      <c r="FX14"/>
      <c r="FY14"/>
      <c r="FZ14"/>
      <c r="GA14"/>
      <c r="GB14"/>
      <c r="GC14"/>
    </row>
    <row r="15" spans="1:185" ht="12.95" customHeight="1" x14ac:dyDescent="0.25">
      <c r="A15" s="202"/>
      <c r="B15" s="22" t="s">
        <v>54</v>
      </c>
      <c r="C15" s="34" t="s">
        <v>29</v>
      </c>
      <c r="D15" s="22" t="s">
        <v>58</v>
      </c>
      <c r="E15" s="25" t="s">
        <v>292</v>
      </c>
      <c r="F15" s="25" t="s">
        <v>58</v>
      </c>
      <c r="G15" s="25" t="s">
        <v>292</v>
      </c>
      <c r="H15" s="22" t="s">
        <v>56</v>
      </c>
      <c r="I15" s="423" t="s">
        <v>1944</v>
      </c>
      <c r="J15" s="37" t="s">
        <v>1968</v>
      </c>
      <c r="K15" s="23" t="s">
        <v>300</v>
      </c>
      <c r="L15" s="23" t="s">
        <v>645</v>
      </c>
      <c r="M15" s="23" t="s">
        <v>646</v>
      </c>
      <c r="N15" s="23" t="s">
        <v>1769</v>
      </c>
      <c r="O15" s="2"/>
      <c r="P15" s="2"/>
      <c r="Q15" s="2"/>
      <c r="R15" s="2"/>
      <c r="S15" s="2">
        <v>60</v>
      </c>
      <c r="T15" s="116">
        <f t="shared" si="0"/>
        <v>60</v>
      </c>
      <c r="U15" s="324"/>
      <c r="V15" s="324"/>
      <c r="W15" s="324"/>
      <c r="X15" s="324"/>
      <c r="Y15" s="324"/>
      <c r="Z15" s="324"/>
      <c r="AA15" s="324"/>
      <c r="AB15" s="324"/>
      <c r="AC15" s="324"/>
      <c r="AD15" s="324"/>
      <c r="AE15" s="324"/>
      <c r="AF15" s="324"/>
      <c r="AG15" s="140">
        <f t="shared" si="1"/>
        <v>0</v>
      </c>
      <c r="AH15" s="324"/>
      <c r="AI15" s="324"/>
      <c r="AJ15" s="324"/>
      <c r="AK15" s="324"/>
      <c r="AL15" s="324"/>
      <c r="AM15" s="324"/>
      <c r="AN15" s="324"/>
      <c r="AO15" s="324"/>
      <c r="AP15" s="324"/>
      <c r="AQ15" s="324"/>
      <c r="AR15" s="324"/>
      <c r="AS15" s="324"/>
      <c r="AT15" s="140">
        <f t="shared" si="2"/>
        <v>0</v>
      </c>
      <c r="AU15" s="324"/>
      <c r="AV15" s="324"/>
      <c r="AW15" s="324"/>
      <c r="AX15" s="324"/>
      <c r="AY15" s="324"/>
      <c r="AZ15" s="324"/>
      <c r="BA15" s="324"/>
      <c r="BB15" s="324"/>
      <c r="BC15" s="324"/>
      <c r="BD15" s="324"/>
      <c r="BE15" s="324"/>
      <c r="BF15" s="324"/>
      <c r="BG15" s="140">
        <f t="shared" si="3"/>
        <v>0</v>
      </c>
      <c r="BH15" s="324"/>
      <c r="BI15" s="324"/>
      <c r="BJ15" s="324"/>
      <c r="BK15" s="324"/>
      <c r="BL15" s="324"/>
      <c r="BM15" s="324"/>
      <c r="BN15" s="324"/>
      <c r="BO15" s="324"/>
      <c r="BP15" s="324"/>
      <c r="BQ15" s="324"/>
      <c r="BR15" s="324"/>
      <c r="BS15" s="324"/>
      <c r="BT15" s="140">
        <f t="shared" si="4"/>
        <v>0</v>
      </c>
      <c r="BU15" s="114">
        <f t="shared" si="5"/>
        <v>60</v>
      </c>
      <c r="BV15" s="372">
        <v>1</v>
      </c>
      <c r="BW15" s="372">
        <v>1</v>
      </c>
      <c r="BX15" s="372">
        <v>-1</v>
      </c>
      <c r="BY15" s="372">
        <v>-1</v>
      </c>
      <c r="BZ15" s="436">
        <f>IFERROR((EX15/T15%),0)</f>
        <v>0</v>
      </c>
      <c r="CA15" s="436">
        <f>IFERROR((FD15/T15%),0)</f>
        <v>0</v>
      </c>
      <c r="CB15" s="7" t="s">
        <v>73</v>
      </c>
      <c r="CC15" s="3"/>
      <c r="CD15" s="3"/>
      <c r="CE15" s="3"/>
      <c r="CF15" s="3"/>
      <c r="CG15" s="3"/>
      <c r="CH15" s="3"/>
      <c r="CI15" s="3"/>
      <c r="CJ15" s="3"/>
      <c r="CK15" s="3"/>
      <c r="CL15" s="3"/>
      <c r="CM15" s="3"/>
      <c r="CN15" s="3">
        <v>3</v>
      </c>
      <c r="CO15" s="4">
        <f t="shared" si="6"/>
        <v>3</v>
      </c>
      <c r="CP15" s="3"/>
      <c r="CQ15" s="3"/>
      <c r="CR15" s="3"/>
      <c r="CS15" s="3"/>
      <c r="CT15" s="3"/>
      <c r="CU15" s="3"/>
      <c r="CV15" s="3"/>
      <c r="CW15" s="3"/>
      <c r="CX15" s="3"/>
      <c r="CY15" s="3"/>
      <c r="CZ15" s="3"/>
      <c r="DA15" s="3"/>
      <c r="DB15" s="4">
        <f t="shared" si="7"/>
        <v>0</v>
      </c>
      <c r="DC15" s="3"/>
      <c r="DD15" s="3"/>
      <c r="DE15" s="3"/>
      <c r="DF15" s="3"/>
      <c r="DG15" s="3"/>
      <c r="DH15" s="3"/>
      <c r="DI15" s="3"/>
      <c r="DJ15" s="3"/>
      <c r="DK15" s="3"/>
      <c r="DL15" s="3"/>
      <c r="DM15" s="3"/>
      <c r="DN15" s="3"/>
      <c r="DO15" s="4">
        <f t="shared" si="8"/>
        <v>0</v>
      </c>
      <c r="DP15" s="3"/>
      <c r="DQ15" s="3"/>
      <c r="DR15" s="3"/>
      <c r="DS15" s="3"/>
      <c r="DT15" s="3"/>
      <c r="DU15" s="3"/>
      <c r="DV15" s="3"/>
      <c r="DW15" s="3"/>
      <c r="DX15" s="3"/>
      <c r="DY15" s="3"/>
      <c r="DZ15" s="3"/>
      <c r="EA15" s="3"/>
      <c r="EB15" s="4">
        <f t="shared" si="9"/>
        <v>0</v>
      </c>
      <c r="EC15" s="3"/>
      <c r="ED15" s="3"/>
      <c r="EE15" s="3"/>
      <c r="EF15" s="3"/>
      <c r="EG15" s="3"/>
      <c r="EH15" s="3"/>
      <c r="EI15" s="3"/>
      <c r="EJ15" s="3">
        <v>0</v>
      </c>
      <c r="EK15" s="3"/>
      <c r="EL15" s="3"/>
      <c r="EM15" s="3"/>
      <c r="EN15" s="3"/>
      <c r="EO15" s="4">
        <f t="shared" si="10"/>
        <v>0</v>
      </c>
      <c r="EP15" s="8">
        <f t="shared" si="11"/>
        <v>3</v>
      </c>
      <c r="EQ15" s="181">
        <f>IFERROR(VLOOKUP(I15,CEI_012018!$A$1:$U$509,9,FALSE),0)</f>
        <v>0</v>
      </c>
      <c r="ER15" s="181">
        <f>IFERROR(VLOOKUP(I15,CEI_022018!$A$1:$U$509,9,FALSE),0)</f>
        <v>0</v>
      </c>
      <c r="ES15" s="181">
        <f>IFERROR(VLOOKUP(I15,CEI_032018!$A$1:$U$509,9,FALSE),0)</f>
        <v>0</v>
      </c>
      <c r="ET15" s="181">
        <f>IFERROR(VLOOKUP(I15,CEI_042018!$A$1:$U$491,9,FALSE),0)</f>
        <v>0</v>
      </c>
      <c r="EU15" s="181">
        <f>IFERROR(VLOOKUP(I15,CEI_052018!$A$1:$U$489,9,FALSE),0)</f>
        <v>0</v>
      </c>
      <c r="EV15" s="181">
        <f>IFERROR(VLOOKUP(I15,CEI_062018!$A$1:$U$489,9,FALSE),0)</f>
        <v>0</v>
      </c>
      <c r="EW15" s="181">
        <f>IFERROR(VLOOKUP(I15,CEI_072018!$A$1:$U$489,9,FALSE),0)</f>
        <v>0</v>
      </c>
      <c r="EX15" s="181">
        <f>IFERROR(VLOOKUP(I15,CEI_082018!$A$1:$U$489,9,FALSE),0)</f>
        <v>0</v>
      </c>
      <c r="EY15" s="181">
        <f>IFERROR(VLOOKUP(I15,CEI_092018!$A$1:$U$489,9,FALSE),0)</f>
        <v>0</v>
      </c>
      <c r="EZ15" s="181"/>
      <c r="FA15" s="181"/>
      <c r="FB15" s="181"/>
      <c r="FC15" s="181">
        <f>IFERROR(VLOOKUP(I15,CEI_092018!$A$1:$U$489,12,FALSE),0)</f>
        <v>0</v>
      </c>
      <c r="FD15" s="181">
        <f t="shared" si="12"/>
        <v>0</v>
      </c>
      <c r="FE15" s="181">
        <f t="shared" si="13"/>
        <v>60</v>
      </c>
      <c r="FF15"/>
      <c r="FG15"/>
      <c r="FH15"/>
      <c r="FI15"/>
      <c r="FJ15"/>
      <c r="FK15"/>
      <c r="FL15"/>
      <c r="FM15"/>
      <c r="FN15"/>
      <c r="FO15"/>
      <c r="FP15"/>
      <c r="FQ15"/>
      <c r="FR15"/>
      <c r="FS15"/>
      <c r="FT15"/>
      <c r="FU15"/>
      <c r="FV15"/>
      <c r="FW15"/>
      <c r="FX15"/>
      <c r="FY15"/>
      <c r="FZ15"/>
      <c r="GA15"/>
      <c r="GB15"/>
      <c r="GC15"/>
    </row>
    <row r="16" spans="1:185" ht="12.95" customHeight="1" x14ac:dyDescent="0.25">
      <c r="A16" s="202"/>
      <c r="B16" s="22" t="s">
        <v>54</v>
      </c>
      <c r="C16" s="34" t="s">
        <v>29</v>
      </c>
      <c r="D16" s="22" t="s">
        <v>1634</v>
      </c>
      <c r="E16" s="22" t="s">
        <v>1635</v>
      </c>
      <c r="F16" s="25" t="s">
        <v>1634</v>
      </c>
      <c r="G16" s="22" t="s">
        <v>1635</v>
      </c>
      <c r="H16" s="22" t="s">
        <v>65</v>
      </c>
      <c r="I16" s="423" t="s">
        <v>1636</v>
      </c>
      <c r="J16" s="37" t="s">
        <v>1637</v>
      </c>
      <c r="K16" s="23" t="s">
        <v>1638</v>
      </c>
      <c r="L16" s="23" t="s">
        <v>112</v>
      </c>
      <c r="M16" s="23" t="s">
        <v>113</v>
      </c>
      <c r="N16" s="23"/>
      <c r="O16" s="2">
        <v>0</v>
      </c>
      <c r="P16" s="2">
        <v>0</v>
      </c>
      <c r="Q16" s="2">
        <v>32</v>
      </c>
      <c r="R16" s="2">
        <v>11</v>
      </c>
      <c r="S16" s="2">
        <v>8.3999999999999986</v>
      </c>
      <c r="T16" s="116">
        <f t="shared" si="0"/>
        <v>51.4</v>
      </c>
      <c r="U16" s="324">
        <v>0</v>
      </c>
      <c r="V16" s="324">
        <v>0</v>
      </c>
      <c r="W16" s="324">
        <v>0</v>
      </c>
      <c r="X16" s="324">
        <v>0</v>
      </c>
      <c r="Y16" s="324">
        <v>0</v>
      </c>
      <c r="Z16" s="324">
        <v>0</v>
      </c>
      <c r="AA16" s="324">
        <v>0</v>
      </c>
      <c r="AB16" s="324"/>
      <c r="AC16" s="324">
        <v>0</v>
      </c>
      <c r="AD16" s="324">
        <v>0</v>
      </c>
      <c r="AE16" s="324">
        <v>0</v>
      </c>
      <c r="AF16" s="324">
        <v>0</v>
      </c>
      <c r="AG16" s="140">
        <f t="shared" si="1"/>
        <v>0</v>
      </c>
      <c r="AH16" s="324">
        <v>0</v>
      </c>
      <c r="AI16" s="324">
        <v>0</v>
      </c>
      <c r="AJ16" s="324">
        <v>0</v>
      </c>
      <c r="AK16" s="324">
        <v>0</v>
      </c>
      <c r="AL16" s="324">
        <v>0</v>
      </c>
      <c r="AM16" s="324">
        <v>0</v>
      </c>
      <c r="AN16" s="324">
        <v>0</v>
      </c>
      <c r="AO16" s="324">
        <v>0</v>
      </c>
      <c r="AP16" s="324">
        <v>0</v>
      </c>
      <c r="AQ16" s="324">
        <v>0</v>
      </c>
      <c r="AR16" s="324">
        <v>0</v>
      </c>
      <c r="AS16" s="324">
        <v>0</v>
      </c>
      <c r="AT16" s="140">
        <f t="shared" si="2"/>
        <v>0</v>
      </c>
      <c r="AU16" s="324">
        <v>0</v>
      </c>
      <c r="AV16" s="324">
        <v>0</v>
      </c>
      <c r="AW16" s="324">
        <v>0</v>
      </c>
      <c r="AX16" s="324">
        <v>0</v>
      </c>
      <c r="AY16" s="324">
        <v>0</v>
      </c>
      <c r="AZ16" s="324">
        <v>0</v>
      </c>
      <c r="BA16" s="324">
        <v>0</v>
      </c>
      <c r="BB16" s="324">
        <v>0</v>
      </c>
      <c r="BC16" s="324">
        <v>0</v>
      </c>
      <c r="BD16" s="324">
        <v>0</v>
      </c>
      <c r="BE16" s="324">
        <v>0</v>
      </c>
      <c r="BF16" s="324">
        <v>0</v>
      </c>
      <c r="BG16" s="140">
        <f t="shared" si="3"/>
        <v>0</v>
      </c>
      <c r="BH16" s="324">
        <v>0</v>
      </c>
      <c r="BI16" s="324">
        <v>0</v>
      </c>
      <c r="BJ16" s="324">
        <v>0</v>
      </c>
      <c r="BK16" s="324">
        <v>0</v>
      </c>
      <c r="BL16" s="324">
        <v>0</v>
      </c>
      <c r="BM16" s="324">
        <v>0</v>
      </c>
      <c r="BN16" s="324">
        <v>0</v>
      </c>
      <c r="BO16" s="324">
        <v>0</v>
      </c>
      <c r="BP16" s="324">
        <v>0</v>
      </c>
      <c r="BQ16" s="324">
        <v>0</v>
      </c>
      <c r="BR16" s="324">
        <v>0</v>
      </c>
      <c r="BS16" s="324">
        <v>0</v>
      </c>
      <c r="BT16" s="140">
        <f t="shared" si="4"/>
        <v>0</v>
      </c>
      <c r="BU16" s="114">
        <f t="shared" si="5"/>
        <v>51.4</v>
      </c>
      <c r="BV16" s="372">
        <v>1</v>
      </c>
      <c r="BW16" s="372">
        <v>1</v>
      </c>
      <c r="BX16" s="372">
        <v>1</v>
      </c>
      <c r="BY16" s="372">
        <v>1</v>
      </c>
      <c r="BZ16" s="436">
        <f>IFERROR((EX16/T16%),0)</f>
        <v>0</v>
      </c>
      <c r="CA16" s="428">
        <f>IFERROR((FD16/T16%),0)</f>
        <v>92.009260960590055</v>
      </c>
      <c r="CB16" s="7" t="s">
        <v>73</v>
      </c>
      <c r="CC16" s="3"/>
      <c r="CD16" s="3"/>
      <c r="CE16" s="3"/>
      <c r="CF16" s="3"/>
      <c r="CG16" s="3"/>
      <c r="CH16" s="3"/>
      <c r="CI16" s="3"/>
      <c r="CJ16" s="3"/>
      <c r="CK16" s="3"/>
      <c r="CL16" s="3"/>
      <c r="CM16" s="3"/>
      <c r="CN16" s="3">
        <v>14</v>
      </c>
      <c r="CO16" s="4">
        <f t="shared" si="6"/>
        <v>14</v>
      </c>
      <c r="CP16" s="3"/>
      <c r="CQ16" s="3"/>
      <c r="CR16" s="3"/>
      <c r="CS16" s="3"/>
      <c r="CT16" s="3"/>
      <c r="CU16" s="3"/>
      <c r="CV16" s="3"/>
      <c r="CW16" s="3"/>
      <c r="CX16" s="3"/>
      <c r="CY16" s="3"/>
      <c r="CZ16" s="3"/>
      <c r="DA16" s="3"/>
      <c r="DB16" s="4">
        <f t="shared" si="7"/>
        <v>0</v>
      </c>
      <c r="DC16" s="3"/>
      <c r="DD16" s="3"/>
      <c r="DE16" s="3"/>
      <c r="DF16" s="3"/>
      <c r="DG16" s="3"/>
      <c r="DH16" s="3"/>
      <c r="DI16" s="3"/>
      <c r="DJ16" s="3"/>
      <c r="DK16" s="3"/>
      <c r="DL16" s="3"/>
      <c r="DM16" s="3"/>
      <c r="DN16" s="3"/>
      <c r="DO16" s="4">
        <f t="shared" si="8"/>
        <v>0</v>
      </c>
      <c r="DP16" s="3"/>
      <c r="DQ16" s="3"/>
      <c r="DR16" s="3"/>
      <c r="DS16" s="3"/>
      <c r="DT16" s="3"/>
      <c r="DU16" s="3"/>
      <c r="DV16" s="3"/>
      <c r="DW16" s="3"/>
      <c r="DX16" s="3"/>
      <c r="DY16" s="3"/>
      <c r="DZ16" s="3"/>
      <c r="EA16" s="3"/>
      <c r="EB16" s="4">
        <f t="shared" si="9"/>
        <v>0</v>
      </c>
      <c r="EC16" s="3"/>
      <c r="ED16" s="3"/>
      <c r="EE16" s="3"/>
      <c r="EF16" s="3"/>
      <c r="EG16" s="3"/>
      <c r="EH16" s="3"/>
      <c r="EI16" s="3"/>
      <c r="EJ16" s="3"/>
      <c r="EK16" s="3"/>
      <c r="EL16" s="3"/>
      <c r="EM16" s="3"/>
      <c r="EN16" s="3"/>
      <c r="EO16" s="4">
        <f t="shared" si="10"/>
        <v>0</v>
      </c>
      <c r="EP16" s="8">
        <f t="shared" si="11"/>
        <v>14</v>
      </c>
      <c r="EQ16" s="181">
        <f>IFERROR(VLOOKUP(I16,CEI_012018!$A$1:$U$509,9,FALSE),0)</f>
        <v>0</v>
      </c>
      <c r="ER16" s="181">
        <f>IFERROR(VLOOKUP(I16,CEI_022018!$A$1:$U$509,9,FALSE),0)</f>
        <v>0</v>
      </c>
      <c r="ES16" s="181">
        <f>IFERROR(VLOOKUP(I16,CEI_032018!$A$1:$U$509,9,FALSE),0)</f>
        <v>0</v>
      </c>
      <c r="ET16" s="181">
        <f>IFERROR(VLOOKUP(I16,CEI_042018!$A$1:$U$491,9,FALSE),0)</f>
        <v>0</v>
      </c>
      <c r="EU16" s="181">
        <f>IFERROR(VLOOKUP(I16,CEI_052018!$A$1:$U$489,9,FALSE),0)</f>
        <v>0</v>
      </c>
      <c r="EV16" s="181">
        <f>IFERROR(VLOOKUP(I16,CEI_062018!$A$1:$U$489,9,FALSE),0)</f>
        <v>0</v>
      </c>
      <c r="EW16" s="181">
        <f>IFERROR(VLOOKUP(I16,CEI_072018!$A$1:$U$489,9,FALSE),0)</f>
        <v>0</v>
      </c>
      <c r="EX16" s="181">
        <f>IFERROR(VLOOKUP(I16,CEI_082018!$A$1:$U$489,9,FALSE),0)</f>
        <v>0</v>
      </c>
      <c r="EY16" s="181">
        <f>IFERROR(VLOOKUP(I16,CEI_092018!$A$1:$U$489,9,FALSE),0)</f>
        <v>0</v>
      </c>
      <c r="EZ16" s="181"/>
      <c r="FA16" s="181"/>
      <c r="FB16" s="181"/>
      <c r="FC16" s="181">
        <f>IFERROR(VLOOKUP(I16,CEI_092018!$A$1:$U$489,12,FALSE),0)</f>
        <v>47.292760133743286</v>
      </c>
      <c r="FD16" s="181">
        <f t="shared" si="12"/>
        <v>47.292760133743286</v>
      </c>
      <c r="FE16" s="181">
        <f t="shared" si="13"/>
        <v>4.1072398662567124</v>
      </c>
      <c r="FF16"/>
      <c r="FG16"/>
      <c r="FH16"/>
      <c r="FI16"/>
      <c r="FJ16"/>
      <c r="FK16"/>
      <c r="FL16"/>
      <c r="FM16"/>
      <c r="FN16"/>
      <c r="FO16"/>
      <c r="FP16"/>
      <c r="FQ16"/>
      <c r="FR16"/>
      <c r="FS16"/>
      <c r="FT16"/>
      <c r="FU16"/>
      <c r="FV16"/>
      <c r="FW16"/>
      <c r="FX16"/>
      <c r="FY16"/>
      <c r="FZ16"/>
      <c r="GA16"/>
      <c r="GB16"/>
      <c r="GC16"/>
    </row>
    <row r="17" spans="1:185" ht="12.95" customHeight="1" x14ac:dyDescent="0.25">
      <c r="A17" s="202"/>
      <c r="B17" s="22" t="s">
        <v>54</v>
      </c>
      <c r="C17" s="34" t="s">
        <v>29</v>
      </c>
      <c r="D17" s="22" t="s">
        <v>1677</v>
      </c>
      <c r="E17" s="25" t="s">
        <v>158</v>
      </c>
      <c r="F17" s="25" t="s">
        <v>1677</v>
      </c>
      <c r="G17" s="25" t="s">
        <v>158</v>
      </c>
      <c r="H17" s="22" t="s">
        <v>65</v>
      </c>
      <c r="I17" s="423" t="s">
        <v>565</v>
      </c>
      <c r="J17" s="37"/>
      <c r="K17" s="23" t="s">
        <v>167</v>
      </c>
      <c r="L17" s="23" t="s">
        <v>168</v>
      </c>
      <c r="M17" s="23" t="s">
        <v>166</v>
      </c>
      <c r="N17" s="23"/>
      <c r="O17" s="2"/>
      <c r="P17" s="2"/>
      <c r="Q17" s="2"/>
      <c r="R17" s="2"/>
      <c r="S17" s="2"/>
      <c r="T17" s="116">
        <f t="shared" si="0"/>
        <v>0</v>
      </c>
      <c r="U17" s="324">
        <v>0</v>
      </c>
      <c r="V17" s="324">
        <v>0</v>
      </c>
      <c r="W17" s="324">
        <v>0</v>
      </c>
      <c r="X17" s="324">
        <v>0</v>
      </c>
      <c r="Y17" s="324">
        <v>0</v>
      </c>
      <c r="Z17" s="324">
        <v>0</v>
      </c>
      <c r="AA17" s="324">
        <v>0</v>
      </c>
      <c r="AB17" s="324">
        <v>0</v>
      </c>
      <c r="AC17" s="324">
        <v>0</v>
      </c>
      <c r="AD17" s="324">
        <v>0</v>
      </c>
      <c r="AE17" s="324">
        <v>0</v>
      </c>
      <c r="AF17" s="324"/>
      <c r="AG17" s="140">
        <f t="shared" si="1"/>
        <v>0</v>
      </c>
      <c r="AH17" s="324">
        <v>0</v>
      </c>
      <c r="AI17" s="324">
        <v>0</v>
      </c>
      <c r="AJ17" s="324">
        <v>0</v>
      </c>
      <c r="AK17" s="324">
        <v>0</v>
      </c>
      <c r="AL17" s="324">
        <v>0</v>
      </c>
      <c r="AM17" s="324">
        <v>0</v>
      </c>
      <c r="AN17" s="324">
        <v>0</v>
      </c>
      <c r="AO17" s="324">
        <v>0</v>
      </c>
      <c r="AP17" s="324">
        <v>0</v>
      </c>
      <c r="AQ17" s="324">
        <v>50</v>
      </c>
      <c r="AR17" s="324">
        <v>0</v>
      </c>
      <c r="AS17" s="324">
        <v>0</v>
      </c>
      <c r="AT17" s="140">
        <f t="shared" si="2"/>
        <v>50</v>
      </c>
      <c r="AU17" s="324">
        <v>0</v>
      </c>
      <c r="AV17" s="324">
        <v>0</v>
      </c>
      <c r="AW17" s="324">
        <v>0</v>
      </c>
      <c r="AX17" s="324">
        <v>0</v>
      </c>
      <c r="AY17" s="324">
        <v>0</v>
      </c>
      <c r="AZ17" s="324">
        <v>0</v>
      </c>
      <c r="BA17" s="324">
        <v>0</v>
      </c>
      <c r="BB17" s="324">
        <v>0</v>
      </c>
      <c r="BC17" s="324">
        <v>0</v>
      </c>
      <c r="BD17" s="324">
        <v>0</v>
      </c>
      <c r="BE17" s="324">
        <v>0</v>
      </c>
      <c r="BF17" s="324">
        <v>0</v>
      </c>
      <c r="BG17" s="140">
        <f t="shared" si="3"/>
        <v>0</v>
      </c>
      <c r="BH17" s="324">
        <v>0</v>
      </c>
      <c r="BI17" s="324">
        <v>0</v>
      </c>
      <c r="BJ17" s="324">
        <v>0</v>
      </c>
      <c r="BK17" s="324">
        <v>0</v>
      </c>
      <c r="BL17" s="324">
        <v>0</v>
      </c>
      <c r="BM17" s="324">
        <v>0</v>
      </c>
      <c r="BN17" s="324">
        <v>0</v>
      </c>
      <c r="BO17" s="324">
        <v>0</v>
      </c>
      <c r="BP17" s="324">
        <v>0</v>
      </c>
      <c r="BQ17" s="324">
        <v>0</v>
      </c>
      <c r="BR17" s="324">
        <v>0</v>
      </c>
      <c r="BS17" s="324">
        <v>0</v>
      </c>
      <c r="BT17" s="140">
        <f t="shared" si="4"/>
        <v>0</v>
      </c>
      <c r="BU17" s="114">
        <f t="shared" si="5"/>
        <v>50</v>
      </c>
      <c r="BV17" s="432"/>
      <c r="BW17" s="432"/>
      <c r="BX17" s="432"/>
      <c r="BY17" s="432"/>
      <c r="BZ17" s="433"/>
      <c r="CA17" s="434"/>
      <c r="CB17" s="7" t="s">
        <v>313</v>
      </c>
      <c r="CC17" s="3"/>
      <c r="CD17" s="3"/>
      <c r="CE17" s="3"/>
      <c r="CF17" s="3"/>
      <c r="CG17" s="3"/>
      <c r="CH17" s="3"/>
      <c r="CI17" s="3"/>
      <c r="CJ17" s="3"/>
      <c r="CK17" s="3"/>
      <c r="CL17" s="3"/>
      <c r="CM17" s="3"/>
      <c r="CN17" s="3"/>
      <c r="CO17" s="4">
        <f t="shared" si="6"/>
        <v>0</v>
      </c>
      <c r="CP17" s="3"/>
      <c r="CQ17" s="3"/>
      <c r="CR17" s="3"/>
      <c r="CS17" s="3"/>
      <c r="CT17" s="3"/>
      <c r="CU17" s="3"/>
      <c r="CV17" s="3"/>
      <c r="CW17" s="3"/>
      <c r="CX17" s="3"/>
      <c r="CY17" s="3"/>
      <c r="CZ17" s="3"/>
      <c r="DA17" s="3">
        <v>1</v>
      </c>
      <c r="DB17" s="4">
        <f t="shared" si="7"/>
        <v>1</v>
      </c>
      <c r="DC17" s="3"/>
      <c r="DD17" s="3"/>
      <c r="DE17" s="3"/>
      <c r="DF17" s="3"/>
      <c r="DG17" s="3"/>
      <c r="DH17" s="3"/>
      <c r="DI17" s="3"/>
      <c r="DJ17" s="3"/>
      <c r="DK17" s="3"/>
      <c r="DL17" s="3"/>
      <c r="DM17" s="3"/>
      <c r="DN17" s="3"/>
      <c r="DO17" s="4">
        <f t="shared" si="8"/>
        <v>0</v>
      </c>
      <c r="DP17" s="3"/>
      <c r="DQ17" s="3"/>
      <c r="DR17" s="3"/>
      <c r="DS17" s="3"/>
      <c r="DT17" s="3"/>
      <c r="DU17" s="3"/>
      <c r="DV17" s="3"/>
      <c r="DW17" s="3"/>
      <c r="DX17" s="3"/>
      <c r="DY17" s="3"/>
      <c r="DZ17" s="3"/>
      <c r="EA17" s="3"/>
      <c r="EB17" s="4">
        <f t="shared" si="9"/>
        <v>0</v>
      </c>
      <c r="EC17" s="3"/>
      <c r="ED17" s="3"/>
      <c r="EE17" s="3"/>
      <c r="EF17" s="3"/>
      <c r="EG17" s="3"/>
      <c r="EH17" s="3"/>
      <c r="EI17" s="3"/>
      <c r="EJ17" s="3"/>
      <c r="EK17" s="3"/>
      <c r="EL17" s="3"/>
      <c r="EM17" s="3"/>
      <c r="EN17" s="3"/>
      <c r="EO17" s="4">
        <f t="shared" si="10"/>
        <v>0</v>
      </c>
      <c r="EP17" s="8">
        <f t="shared" si="11"/>
        <v>1</v>
      </c>
      <c r="EQ17" s="181">
        <f>IFERROR(VLOOKUP(I17,CEI_012018!$A$1:$U$509,9,FALSE),0)</f>
        <v>0</v>
      </c>
      <c r="ER17" s="181">
        <f>IFERROR(VLOOKUP(I17,CEI_022018!$A$1:$U$509,9,FALSE),0)</f>
        <v>0</v>
      </c>
      <c r="ES17" s="181">
        <f>IFERROR(VLOOKUP(I17,CEI_032018!$A$1:$U$509,9,FALSE),0)</f>
        <v>0</v>
      </c>
      <c r="ET17" s="181">
        <f>IFERROR(VLOOKUP(I17,CEI_042018!$A$1:$U$491,9,FALSE),0)</f>
        <v>0</v>
      </c>
      <c r="EU17" s="181">
        <f>IFERROR(VLOOKUP(I17,CEI_052018!$A$1:$U$489,9,FALSE),0)</f>
        <v>0</v>
      </c>
      <c r="EV17" s="181">
        <f>IFERROR(VLOOKUP(I17,CEI_062018!$A$1:$U$489,9,FALSE),0)</f>
        <v>0</v>
      </c>
      <c r="EW17" s="181">
        <f>IFERROR(VLOOKUP(I17,CEI_072018!$A$1:$U$489,9,FALSE),0)</f>
        <v>0</v>
      </c>
      <c r="EX17" s="181">
        <f>IFERROR(VLOOKUP(I17,CEI_082018!$A$1:$U$489,9,FALSE),0)</f>
        <v>0</v>
      </c>
      <c r="EY17" s="181">
        <f>IFERROR(VLOOKUP(I17,CEI_092018!$A$1:$U$489,9,FALSE),0)</f>
        <v>0</v>
      </c>
      <c r="EZ17" s="181"/>
      <c r="FA17" s="181"/>
      <c r="FB17" s="181"/>
      <c r="FC17" s="181">
        <f>IFERROR(VLOOKUP(I17,CEI_092018!$A$1:$U$489,12,FALSE),0)</f>
        <v>0</v>
      </c>
      <c r="FD17" s="181">
        <f t="shared" si="12"/>
        <v>0</v>
      </c>
      <c r="FE17" s="181">
        <f t="shared" si="13"/>
        <v>0</v>
      </c>
      <c r="FF17"/>
      <c r="FG17"/>
      <c r="FH17"/>
      <c r="FI17"/>
      <c r="FJ17"/>
      <c r="FK17"/>
      <c r="FL17"/>
      <c r="FM17"/>
      <c r="FN17"/>
      <c r="FO17"/>
      <c r="FP17"/>
      <c r="FQ17"/>
      <c r="FR17"/>
      <c r="FS17"/>
      <c r="FT17"/>
      <c r="FU17"/>
      <c r="FV17"/>
      <c r="FW17"/>
      <c r="FX17"/>
      <c r="FY17"/>
      <c r="FZ17"/>
      <c r="GA17"/>
      <c r="GB17"/>
      <c r="GC17"/>
    </row>
    <row r="18" spans="1:185" ht="12.95" customHeight="1" x14ac:dyDescent="0.25">
      <c r="A18" s="202"/>
      <c r="B18" s="22" t="s">
        <v>54</v>
      </c>
      <c r="C18" s="34" t="s">
        <v>29</v>
      </c>
      <c r="D18" s="22" t="s">
        <v>1677</v>
      </c>
      <c r="E18" s="25" t="s">
        <v>158</v>
      </c>
      <c r="F18" s="25" t="s">
        <v>1677</v>
      </c>
      <c r="G18" s="25" t="s">
        <v>158</v>
      </c>
      <c r="H18" s="22" t="s">
        <v>65</v>
      </c>
      <c r="I18" s="423" t="s">
        <v>565</v>
      </c>
      <c r="J18" s="37"/>
      <c r="K18" s="23" t="s">
        <v>677</v>
      </c>
      <c r="L18" s="23" t="s">
        <v>164</v>
      </c>
      <c r="M18" s="23" t="s">
        <v>165</v>
      </c>
      <c r="N18" s="23"/>
      <c r="O18" s="2"/>
      <c r="P18" s="2"/>
      <c r="Q18" s="2"/>
      <c r="R18" s="2"/>
      <c r="S18" s="2"/>
      <c r="T18" s="116">
        <f t="shared" si="0"/>
        <v>0</v>
      </c>
      <c r="U18" s="324">
        <v>0</v>
      </c>
      <c r="V18" s="324">
        <v>0</v>
      </c>
      <c r="W18" s="324">
        <v>0</v>
      </c>
      <c r="X18" s="324">
        <v>0</v>
      </c>
      <c r="Y18" s="324">
        <v>0</v>
      </c>
      <c r="Z18" s="324">
        <v>0</v>
      </c>
      <c r="AA18" s="324">
        <v>0</v>
      </c>
      <c r="AB18" s="324">
        <v>0</v>
      </c>
      <c r="AC18" s="324">
        <v>0</v>
      </c>
      <c r="AD18" s="324">
        <v>0</v>
      </c>
      <c r="AE18" s="324">
        <v>0</v>
      </c>
      <c r="AF18" s="324">
        <v>0</v>
      </c>
      <c r="AG18" s="140">
        <f t="shared" si="1"/>
        <v>0</v>
      </c>
      <c r="AH18" s="324">
        <v>0</v>
      </c>
      <c r="AI18" s="324">
        <v>0</v>
      </c>
      <c r="AJ18" s="324">
        <v>0</v>
      </c>
      <c r="AK18" s="324">
        <v>0</v>
      </c>
      <c r="AL18" s="324">
        <v>0</v>
      </c>
      <c r="AM18" s="324">
        <v>0</v>
      </c>
      <c r="AN18" s="324">
        <v>0</v>
      </c>
      <c r="AO18" s="324">
        <v>0</v>
      </c>
      <c r="AP18" s="324">
        <v>0</v>
      </c>
      <c r="AQ18" s="324">
        <v>0</v>
      </c>
      <c r="AR18" s="324">
        <v>24.189</v>
      </c>
      <c r="AS18" s="324">
        <v>0</v>
      </c>
      <c r="AT18" s="140">
        <f t="shared" si="2"/>
        <v>24.189</v>
      </c>
      <c r="AU18" s="324">
        <v>0</v>
      </c>
      <c r="AV18" s="324">
        <v>0</v>
      </c>
      <c r="AW18" s="324">
        <v>0</v>
      </c>
      <c r="AX18" s="324">
        <v>0</v>
      </c>
      <c r="AY18" s="324">
        <v>0</v>
      </c>
      <c r="AZ18" s="324">
        <v>0</v>
      </c>
      <c r="BA18" s="324">
        <v>0</v>
      </c>
      <c r="BB18" s="324">
        <v>0</v>
      </c>
      <c r="BC18" s="324">
        <v>0</v>
      </c>
      <c r="BD18" s="324">
        <v>0</v>
      </c>
      <c r="BE18" s="324">
        <v>0</v>
      </c>
      <c r="BF18" s="324">
        <v>0</v>
      </c>
      <c r="BG18" s="140">
        <f t="shared" si="3"/>
        <v>0</v>
      </c>
      <c r="BH18" s="324">
        <v>0</v>
      </c>
      <c r="BI18" s="324">
        <v>0</v>
      </c>
      <c r="BJ18" s="324">
        <v>0</v>
      </c>
      <c r="BK18" s="324">
        <v>0</v>
      </c>
      <c r="BL18" s="324">
        <v>0</v>
      </c>
      <c r="BM18" s="324">
        <v>0</v>
      </c>
      <c r="BN18" s="324">
        <v>0</v>
      </c>
      <c r="BO18" s="324">
        <v>0</v>
      </c>
      <c r="BP18" s="324">
        <v>0</v>
      </c>
      <c r="BQ18" s="324">
        <v>0</v>
      </c>
      <c r="BR18" s="324">
        <v>0</v>
      </c>
      <c r="BS18" s="324">
        <v>0</v>
      </c>
      <c r="BT18" s="140">
        <f t="shared" si="4"/>
        <v>0</v>
      </c>
      <c r="BU18" s="114">
        <f t="shared" si="5"/>
        <v>24.189</v>
      </c>
      <c r="BV18" s="432"/>
      <c r="BW18" s="432"/>
      <c r="BX18" s="432"/>
      <c r="BY18" s="432"/>
      <c r="BZ18" s="433"/>
      <c r="CA18" s="434"/>
      <c r="CB18" s="7" t="s">
        <v>73</v>
      </c>
      <c r="CC18" s="3"/>
      <c r="CD18" s="3"/>
      <c r="CE18" s="3"/>
      <c r="CF18" s="3"/>
      <c r="CG18" s="3"/>
      <c r="CH18" s="3"/>
      <c r="CI18" s="3"/>
      <c r="CJ18" s="3"/>
      <c r="CK18" s="3"/>
      <c r="CL18" s="3"/>
      <c r="CM18" s="3"/>
      <c r="CN18" s="3"/>
      <c r="CO18" s="4">
        <f t="shared" si="6"/>
        <v>0</v>
      </c>
      <c r="CP18" s="3"/>
      <c r="CQ18" s="3"/>
      <c r="CR18" s="3"/>
      <c r="CS18" s="3"/>
      <c r="CT18" s="3"/>
      <c r="CU18" s="3"/>
      <c r="CV18" s="3"/>
      <c r="CW18" s="3"/>
      <c r="CX18" s="3"/>
      <c r="CY18" s="3"/>
      <c r="CZ18" s="3"/>
      <c r="DA18" s="3"/>
      <c r="DB18" s="4">
        <f t="shared" si="7"/>
        <v>0</v>
      </c>
      <c r="DC18" s="3"/>
      <c r="DD18" s="3"/>
      <c r="DE18" s="3"/>
      <c r="DF18" s="3"/>
      <c r="DG18" s="3"/>
      <c r="DH18" s="3"/>
      <c r="DI18" s="3"/>
      <c r="DJ18" s="3"/>
      <c r="DK18" s="3"/>
      <c r="DL18" s="3"/>
      <c r="DM18" s="3">
        <v>2</v>
      </c>
      <c r="DN18" s="3"/>
      <c r="DO18" s="4">
        <f t="shared" si="8"/>
        <v>2</v>
      </c>
      <c r="DP18" s="3"/>
      <c r="DQ18" s="3"/>
      <c r="DR18" s="3"/>
      <c r="DS18" s="3"/>
      <c r="DT18" s="3"/>
      <c r="DU18" s="3"/>
      <c r="DV18" s="3"/>
      <c r="DW18" s="3"/>
      <c r="DX18" s="3"/>
      <c r="DY18" s="3"/>
      <c r="DZ18" s="3"/>
      <c r="EA18" s="3"/>
      <c r="EB18" s="4">
        <f t="shared" si="9"/>
        <v>0</v>
      </c>
      <c r="EC18" s="3"/>
      <c r="ED18" s="3"/>
      <c r="EE18" s="3"/>
      <c r="EF18" s="3"/>
      <c r="EG18" s="3"/>
      <c r="EH18" s="3"/>
      <c r="EI18" s="3"/>
      <c r="EJ18" s="3"/>
      <c r="EK18" s="3"/>
      <c r="EL18" s="3"/>
      <c r="EM18" s="3"/>
      <c r="EN18" s="3"/>
      <c r="EO18" s="4">
        <f t="shared" si="10"/>
        <v>0</v>
      </c>
      <c r="EP18" s="8">
        <f t="shared" si="11"/>
        <v>2</v>
      </c>
      <c r="EQ18" s="181">
        <f>IFERROR(VLOOKUP(I18,CEI_012018!$A$1:$U$509,9,FALSE),0)</f>
        <v>0</v>
      </c>
      <c r="ER18" s="181">
        <f>IFERROR(VLOOKUP(I18,CEI_022018!$A$1:$U$509,9,FALSE),0)</f>
        <v>0</v>
      </c>
      <c r="ES18" s="181">
        <f>IFERROR(VLOOKUP(I18,CEI_032018!$A$1:$U$509,9,FALSE),0)</f>
        <v>0</v>
      </c>
      <c r="ET18" s="181">
        <f>IFERROR(VLOOKUP(I18,CEI_042018!$A$1:$U$491,9,FALSE),0)</f>
        <v>0</v>
      </c>
      <c r="EU18" s="181">
        <f>IFERROR(VLOOKUP(I18,CEI_052018!$A$1:$U$489,9,FALSE),0)</f>
        <v>0</v>
      </c>
      <c r="EV18" s="181">
        <f>IFERROR(VLOOKUP(I18,CEI_062018!$A$1:$U$489,9,FALSE),0)</f>
        <v>0</v>
      </c>
      <c r="EW18" s="181">
        <f>IFERROR(VLOOKUP(I18,CEI_072018!$A$1:$U$489,9,FALSE),0)</f>
        <v>0</v>
      </c>
      <c r="EX18" s="181">
        <f>IFERROR(VLOOKUP(I18,CEI_082018!$A$1:$U$489,9,FALSE),0)</f>
        <v>0</v>
      </c>
      <c r="EY18" s="181">
        <f>IFERROR(VLOOKUP(I18,CEI_092018!$A$1:$U$489,9,FALSE),0)</f>
        <v>0</v>
      </c>
      <c r="EZ18" s="181"/>
      <c r="FA18" s="181"/>
      <c r="FB18" s="181"/>
      <c r="FC18" s="181">
        <f>IFERROR(VLOOKUP(I18,CEI_092018!$A$1:$U$489,12,FALSE),0)</f>
        <v>0</v>
      </c>
      <c r="FD18" s="181">
        <f t="shared" si="12"/>
        <v>0</v>
      </c>
      <c r="FE18" s="181">
        <f t="shared" si="13"/>
        <v>0</v>
      </c>
      <c r="FF18"/>
      <c r="FG18"/>
      <c r="FH18"/>
      <c r="FI18"/>
      <c r="FJ18"/>
      <c r="FK18"/>
      <c r="FL18"/>
      <c r="FM18"/>
      <c r="FN18"/>
      <c r="FO18"/>
      <c r="FP18"/>
      <c r="FQ18"/>
      <c r="FR18"/>
      <c r="FS18"/>
      <c r="FT18"/>
      <c r="FU18"/>
      <c r="FV18"/>
      <c r="FW18"/>
      <c r="FX18"/>
      <c r="FY18"/>
      <c r="FZ18"/>
      <c r="GA18"/>
      <c r="GB18"/>
      <c r="GC18"/>
    </row>
    <row r="19" spans="1:185" ht="12.95" customHeight="1" x14ac:dyDescent="0.25">
      <c r="A19" s="202"/>
      <c r="B19" s="22" t="s">
        <v>54</v>
      </c>
      <c r="C19" s="34" t="s">
        <v>29</v>
      </c>
      <c r="D19" s="22" t="s">
        <v>1963</v>
      </c>
      <c r="E19" s="25" t="s">
        <v>1964</v>
      </c>
      <c r="F19" s="22" t="s">
        <v>1963</v>
      </c>
      <c r="G19" s="25" t="s">
        <v>1964</v>
      </c>
      <c r="H19" s="22" t="s">
        <v>56</v>
      </c>
      <c r="I19" s="423" t="s">
        <v>565</v>
      </c>
      <c r="J19" s="37"/>
      <c r="K19" s="23" t="s">
        <v>1991</v>
      </c>
      <c r="L19" s="23"/>
      <c r="M19" s="23"/>
      <c r="N19" s="23"/>
      <c r="O19" s="2"/>
      <c r="P19" s="2"/>
      <c r="Q19" s="2"/>
      <c r="R19" s="2"/>
      <c r="S19" s="2"/>
      <c r="T19" s="116">
        <f t="shared" si="0"/>
        <v>0</v>
      </c>
      <c r="U19" s="324"/>
      <c r="V19" s="324"/>
      <c r="W19" s="324"/>
      <c r="X19" s="324"/>
      <c r="Y19" s="324"/>
      <c r="Z19" s="324"/>
      <c r="AA19" s="324">
        <v>1.054160023843</v>
      </c>
      <c r="AB19" s="324"/>
      <c r="AC19" s="324"/>
      <c r="AD19" s="324"/>
      <c r="AE19" s="324"/>
      <c r="AF19" s="324">
        <v>87</v>
      </c>
      <c r="AG19" s="140">
        <f t="shared" si="1"/>
        <v>88.054160023842996</v>
      </c>
      <c r="AH19" s="324"/>
      <c r="AI19" s="324"/>
      <c r="AJ19" s="324"/>
      <c r="AK19" s="324"/>
      <c r="AL19" s="324"/>
      <c r="AM19" s="324"/>
      <c r="AN19" s="324"/>
      <c r="AO19" s="324"/>
      <c r="AP19" s="324"/>
      <c r="AQ19" s="324"/>
      <c r="AR19" s="324"/>
      <c r="AS19" s="324"/>
      <c r="AT19" s="140">
        <f t="shared" si="2"/>
        <v>0</v>
      </c>
      <c r="AU19" s="324"/>
      <c r="AV19" s="324"/>
      <c r="AW19" s="324"/>
      <c r="AX19" s="324"/>
      <c r="AY19" s="324"/>
      <c r="AZ19" s="324"/>
      <c r="BA19" s="324"/>
      <c r="BB19" s="324"/>
      <c r="BC19" s="324"/>
      <c r="BD19" s="324"/>
      <c r="BE19" s="324"/>
      <c r="BF19" s="324"/>
      <c r="BG19" s="140">
        <f t="shared" si="3"/>
        <v>0</v>
      </c>
      <c r="BH19" s="324"/>
      <c r="BI19" s="324"/>
      <c r="BJ19" s="324"/>
      <c r="BK19" s="324"/>
      <c r="BL19" s="324"/>
      <c r="BM19" s="324"/>
      <c r="BN19" s="324"/>
      <c r="BO19" s="324"/>
      <c r="BP19" s="324"/>
      <c r="BQ19" s="324"/>
      <c r="BR19" s="324"/>
      <c r="BS19" s="324"/>
      <c r="BT19" s="140">
        <f t="shared" si="4"/>
        <v>0</v>
      </c>
      <c r="BU19" s="114">
        <f t="shared" si="5"/>
        <v>88.054160023842996</v>
      </c>
      <c r="BV19" s="432"/>
      <c r="BW19" s="432"/>
      <c r="BX19" s="432"/>
      <c r="BY19" s="432"/>
      <c r="BZ19" s="433"/>
      <c r="CA19" s="434"/>
      <c r="CB19" s="7"/>
      <c r="CC19" s="3"/>
      <c r="CD19" s="3"/>
      <c r="CE19" s="3"/>
      <c r="CF19" s="3"/>
      <c r="CG19" s="3"/>
      <c r="CH19" s="3"/>
      <c r="CI19" s="3"/>
      <c r="CJ19" s="3"/>
      <c r="CK19" s="3"/>
      <c r="CL19" s="3"/>
      <c r="CM19" s="3"/>
      <c r="CN19" s="3"/>
      <c r="CO19" s="4"/>
      <c r="CP19" s="3"/>
      <c r="CQ19" s="3"/>
      <c r="CR19" s="3"/>
      <c r="CS19" s="3"/>
      <c r="CT19" s="3"/>
      <c r="CU19" s="3"/>
      <c r="CV19" s="3"/>
      <c r="CW19" s="3"/>
      <c r="CX19" s="3"/>
      <c r="CY19" s="3"/>
      <c r="CZ19" s="3"/>
      <c r="DA19" s="3"/>
      <c r="DB19" s="4"/>
      <c r="DC19" s="3"/>
      <c r="DD19" s="3"/>
      <c r="DE19" s="3"/>
      <c r="DF19" s="3"/>
      <c r="DG19" s="3"/>
      <c r="DH19" s="3"/>
      <c r="DI19" s="3"/>
      <c r="DJ19" s="3"/>
      <c r="DK19" s="3"/>
      <c r="DL19" s="3"/>
      <c r="DM19" s="3"/>
      <c r="DN19" s="3"/>
      <c r="DO19" s="4"/>
      <c r="DP19" s="3"/>
      <c r="DQ19" s="3"/>
      <c r="DR19" s="3"/>
      <c r="DS19" s="3"/>
      <c r="DT19" s="3"/>
      <c r="DU19" s="3"/>
      <c r="DV19" s="3"/>
      <c r="DW19" s="3"/>
      <c r="DX19" s="3"/>
      <c r="DY19" s="3"/>
      <c r="DZ19" s="3"/>
      <c r="EA19" s="3"/>
      <c r="EB19" s="4"/>
      <c r="EC19" s="3"/>
      <c r="ED19" s="3"/>
      <c r="EE19" s="3"/>
      <c r="EF19" s="3"/>
      <c r="EG19" s="3"/>
      <c r="EH19" s="3"/>
      <c r="EI19" s="3"/>
      <c r="EJ19" s="3"/>
      <c r="EK19" s="3"/>
      <c r="EL19" s="3"/>
      <c r="EM19" s="3"/>
      <c r="EN19" s="3"/>
      <c r="EO19" s="4"/>
      <c r="EP19" s="8"/>
      <c r="EQ19" s="181"/>
      <c r="ER19" s="181"/>
      <c r="ES19" s="181"/>
      <c r="ET19" s="181"/>
      <c r="EU19" s="181"/>
      <c r="EV19" s="181"/>
      <c r="EW19" s="181">
        <f>IFERROR(VLOOKUP(I19,CEI_072018!$A$1:$U$489,9,FALSE),0)</f>
        <v>0</v>
      </c>
      <c r="EX19" s="181">
        <f>IFERROR(VLOOKUP(I19,CEI_082018!$A$1:$U$489,9,FALSE),0)</f>
        <v>0</v>
      </c>
      <c r="EY19" s="181">
        <f>IFERROR(VLOOKUP(I19,CEI_092018!$A$1:$U$489,9,FALSE),0)</f>
        <v>0</v>
      </c>
      <c r="EZ19" s="181"/>
      <c r="FA19" s="181"/>
      <c r="FB19" s="181"/>
      <c r="FC19" s="181">
        <f>IFERROR(VLOOKUP(I19,CEI_092018!$A$1:$U$489,12,FALSE),0)</f>
        <v>0</v>
      </c>
      <c r="FD19" s="181"/>
      <c r="FE19" s="181"/>
      <c r="FF19"/>
      <c r="FG19"/>
      <c r="FH19"/>
      <c r="FI19"/>
      <c r="FJ19"/>
      <c r="FK19"/>
      <c r="FL19"/>
      <c r="FM19"/>
      <c r="FN19"/>
      <c r="FO19"/>
      <c r="FP19"/>
      <c r="FQ19"/>
      <c r="FR19"/>
      <c r="FS19"/>
      <c r="FT19"/>
      <c r="FU19"/>
      <c r="FV19"/>
      <c r="FW19"/>
      <c r="FX19"/>
      <c r="FY19"/>
      <c r="FZ19"/>
      <c r="GA19"/>
      <c r="GB19"/>
      <c r="GC19"/>
    </row>
    <row r="20" spans="1:185" ht="12.95" customHeight="1" x14ac:dyDescent="0.25">
      <c r="A20" s="202"/>
      <c r="B20" s="22" t="s">
        <v>54</v>
      </c>
      <c r="C20" s="34" t="s">
        <v>30</v>
      </c>
      <c r="D20" s="22" t="s">
        <v>318</v>
      </c>
      <c r="E20" s="25" t="s">
        <v>1061</v>
      </c>
      <c r="F20" s="25" t="s">
        <v>318</v>
      </c>
      <c r="G20" s="25" t="s">
        <v>1061</v>
      </c>
      <c r="H20" s="22" t="s">
        <v>56</v>
      </c>
      <c r="I20" s="423" t="s">
        <v>565</v>
      </c>
      <c r="J20" s="37" t="s">
        <v>59</v>
      </c>
      <c r="K20" s="23" t="s">
        <v>750</v>
      </c>
      <c r="L20" s="23" t="s">
        <v>748</v>
      </c>
      <c r="M20" s="23" t="s">
        <v>749</v>
      </c>
      <c r="N20" s="23" t="s">
        <v>1864</v>
      </c>
      <c r="O20" s="2">
        <v>0</v>
      </c>
      <c r="P20" s="2"/>
      <c r="Q20" s="2">
        <v>0</v>
      </c>
      <c r="R20" s="2">
        <v>0</v>
      </c>
      <c r="S20" s="2">
        <v>0</v>
      </c>
      <c r="T20" s="116">
        <f t="shared" si="0"/>
        <v>0</v>
      </c>
      <c r="U20" s="324">
        <v>0</v>
      </c>
      <c r="V20" s="324">
        <v>0</v>
      </c>
      <c r="W20" s="324">
        <v>0</v>
      </c>
      <c r="X20" s="324">
        <v>0</v>
      </c>
      <c r="Y20" s="324">
        <v>0</v>
      </c>
      <c r="Z20" s="324">
        <v>0</v>
      </c>
      <c r="AA20" s="324">
        <v>0</v>
      </c>
      <c r="AB20" s="324">
        <v>0</v>
      </c>
      <c r="AC20" s="324">
        <v>0</v>
      </c>
      <c r="AD20" s="324">
        <v>157</v>
      </c>
      <c r="AE20" s="324">
        <v>0</v>
      </c>
      <c r="AF20" s="324">
        <v>0</v>
      </c>
      <c r="AG20" s="140">
        <f t="shared" si="1"/>
        <v>157</v>
      </c>
      <c r="AH20" s="324">
        <v>0</v>
      </c>
      <c r="AI20" s="324">
        <v>0</v>
      </c>
      <c r="AJ20" s="324">
        <v>0</v>
      </c>
      <c r="AK20" s="324">
        <v>0</v>
      </c>
      <c r="AL20" s="324">
        <v>0</v>
      </c>
      <c r="AM20" s="324">
        <v>0</v>
      </c>
      <c r="AN20" s="324">
        <v>0</v>
      </c>
      <c r="AO20" s="324">
        <v>0</v>
      </c>
      <c r="AP20" s="324">
        <v>0</v>
      </c>
      <c r="AQ20" s="324">
        <v>0</v>
      </c>
      <c r="AR20" s="324">
        <v>0</v>
      </c>
      <c r="AS20" s="324">
        <v>0</v>
      </c>
      <c r="AT20" s="140">
        <f t="shared" si="2"/>
        <v>0</v>
      </c>
      <c r="AU20" s="324">
        <v>0</v>
      </c>
      <c r="AV20" s="324">
        <v>0</v>
      </c>
      <c r="AW20" s="324">
        <v>0</v>
      </c>
      <c r="AX20" s="324">
        <v>0</v>
      </c>
      <c r="AY20" s="324">
        <v>0</v>
      </c>
      <c r="AZ20" s="324">
        <v>0</v>
      </c>
      <c r="BA20" s="324">
        <v>0</v>
      </c>
      <c r="BB20" s="324">
        <v>0</v>
      </c>
      <c r="BC20" s="324">
        <v>0</v>
      </c>
      <c r="BD20" s="324">
        <v>0</v>
      </c>
      <c r="BE20" s="324">
        <v>0</v>
      </c>
      <c r="BF20" s="324">
        <v>0</v>
      </c>
      <c r="BG20" s="140">
        <f t="shared" si="3"/>
        <v>0</v>
      </c>
      <c r="BH20" s="324">
        <v>0</v>
      </c>
      <c r="BI20" s="324">
        <v>0</v>
      </c>
      <c r="BJ20" s="324">
        <v>0</v>
      </c>
      <c r="BK20" s="324">
        <v>0</v>
      </c>
      <c r="BL20" s="324">
        <v>0</v>
      </c>
      <c r="BM20" s="324">
        <v>0</v>
      </c>
      <c r="BN20" s="324">
        <v>0</v>
      </c>
      <c r="BO20" s="324">
        <v>0</v>
      </c>
      <c r="BP20" s="324">
        <v>0</v>
      </c>
      <c r="BQ20" s="324">
        <v>0</v>
      </c>
      <c r="BR20" s="324">
        <v>0</v>
      </c>
      <c r="BS20" s="324">
        <v>0</v>
      </c>
      <c r="BT20" s="140">
        <f t="shared" si="4"/>
        <v>0</v>
      </c>
      <c r="BU20" s="114">
        <f t="shared" si="5"/>
        <v>157</v>
      </c>
      <c r="BV20" s="432"/>
      <c r="BW20" s="432"/>
      <c r="BX20" s="432"/>
      <c r="BY20" s="432"/>
      <c r="BZ20" s="433"/>
      <c r="CA20" s="434"/>
      <c r="CB20" s="7" t="s">
        <v>1681</v>
      </c>
      <c r="CC20" s="3">
        <v>0</v>
      </c>
      <c r="CD20" s="3">
        <v>0</v>
      </c>
      <c r="CE20" s="3">
        <v>0</v>
      </c>
      <c r="CF20" s="3">
        <v>0</v>
      </c>
      <c r="CG20" s="3">
        <v>0</v>
      </c>
      <c r="CH20" s="3">
        <v>0</v>
      </c>
      <c r="CI20" s="3">
        <v>0</v>
      </c>
      <c r="CJ20" s="3">
        <v>0</v>
      </c>
      <c r="CK20" s="3">
        <v>0</v>
      </c>
      <c r="CL20" s="3">
        <v>0</v>
      </c>
      <c r="CM20" s="3">
        <v>0</v>
      </c>
      <c r="CN20" s="3">
        <v>0</v>
      </c>
      <c r="CO20" s="4">
        <f>SUM(CC20:CN20)</f>
        <v>0</v>
      </c>
      <c r="CP20" s="3">
        <v>0</v>
      </c>
      <c r="CQ20" s="3">
        <v>0</v>
      </c>
      <c r="CR20" s="3">
        <v>0</v>
      </c>
      <c r="CS20" s="3">
        <v>0</v>
      </c>
      <c r="CT20" s="3">
        <v>0</v>
      </c>
      <c r="CU20" s="3">
        <v>0</v>
      </c>
      <c r="CV20" s="3">
        <v>0</v>
      </c>
      <c r="CW20" s="3">
        <v>0</v>
      </c>
      <c r="CX20" s="3">
        <v>0</v>
      </c>
      <c r="CY20" s="3">
        <v>2</v>
      </c>
      <c r="CZ20" s="3">
        <v>0</v>
      </c>
      <c r="DA20" s="3">
        <v>0</v>
      </c>
      <c r="DB20" s="4">
        <f>SUM(CP20:DA20)</f>
        <v>2</v>
      </c>
      <c r="DC20" s="3">
        <v>0</v>
      </c>
      <c r="DD20" s="3">
        <v>0</v>
      </c>
      <c r="DE20" s="3">
        <v>0</v>
      </c>
      <c r="DF20" s="3">
        <v>0</v>
      </c>
      <c r="DG20" s="3">
        <v>0</v>
      </c>
      <c r="DH20" s="3">
        <v>0</v>
      </c>
      <c r="DI20" s="3">
        <v>0</v>
      </c>
      <c r="DJ20" s="3">
        <v>0</v>
      </c>
      <c r="DK20" s="3">
        <v>0</v>
      </c>
      <c r="DL20" s="3">
        <v>0</v>
      </c>
      <c r="DM20" s="3">
        <v>0</v>
      </c>
      <c r="DN20" s="3">
        <v>0</v>
      </c>
      <c r="DO20" s="4">
        <f>SUM(DC20:DN20)</f>
        <v>0</v>
      </c>
      <c r="DP20" s="3">
        <v>0</v>
      </c>
      <c r="DQ20" s="3">
        <v>0</v>
      </c>
      <c r="DR20" s="3">
        <v>0</v>
      </c>
      <c r="DS20" s="3">
        <v>0</v>
      </c>
      <c r="DT20" s="3">
        <v>0</v>
      </c>
      <c r="DU20" s="3">
        <v>0</v>
      </c>
      <c r="DV20" s="3">
        <v>0</v>
      </c>
      <c r="DW20" s="3">
        <v>0</v>
      </c>
      <c r="DX20" s="3">
        <v>0</v>
      </c>
      <c r="DY20" s="3">
        <v>0</v>
      </c>
      <c r="DZ20" s="3">
        <v>0</v>
      </c>
      <c r="EA20" s="3">
        <v>0</v>
      </c>
      <c r="EB20" s="4">
        <f>SUM(DP20:EA20)</f>
        <v>0</v>
      </c>
      <c r="EC20" s="3">
        <v>0</v>
      </c>
      <c r="ED20" s="3">
        <v>0</v>
      </c>
      <c r="EE20" s="3">
        <v>0</v>
      </c>
      <c r="EF20" s="3">
        <v>0</v>
      </c>
      <c r="EG20" s="3">
        <v>0</v>
      </c>
      <c r="EH20" s="3">
        <v>0</v>
      </c>
      <c r="EI20" s="3">
        <v>0</v>
      </c>
      <c r="EJ20" s="3">
        <v>0</v>
      </c>
      <c r="EK20" s="3">
        <v>0</v>
      </c>
      <c r="EL20" s="3">
        <v>0</v>
      </c>
      <c r="EM20" s="3">
        <v>0</v>
      </c>
      <c r="EN20" s="3">
        <v>0</v>
      </c>
      <c r="EO20" s="4">
        <f>SUM(EC20:EN20)</f>
        <v>0</v>
      </c>
      <c r="EP20" s="8">
        <f>SUM(EO20,EB20,DO20,DB20,CO20)</f>
        <v>2</v>
      </c>
      <c r="EQ20" s="181">
        <f>IFERROR(VLOOKUP(I20,CEI_012018!$A$1:$U$509,9,FALSE),0)</f>
        <v>0</v>
      </c>
      <c r="ER20" s="181">
        <f>IFERROR(VLOOKUP(I20,CEI_022018!$A$1:$U$509,9,FALSE),0)</f>
        <v>0</v>
      </c>
      <c r="ES20" s="181">
        <f>IFERROR(VLOOKUP(I20,CEI_032018!$A$1:$U$509,9,FALSE),0)</f>
        <v>0</v>
      </c>
      <c r="ET20" s="181">
        <f>IFERROR(VLOOKUP(I20,CEI_042018!$A$1:$U$491,9,FALSE),0)</f>
        <v>0</v>
      </c>
      <c r="EU20" s="181">
        <f>IFERROR(VLOOKUP(I20,CEI_052018!$A$1:$U$489,9,FALSE),0)</f>
        <v>0</v>
      </c>
      <c r="EV20" s="181">
        <f>IFERROR(VLOOKUP(I20,CEI_062018!$A$1:$U$489,9,FALSE),0)</f>
        <v>0</v>
      </c>
      <c r="EW20" s="181">
        <f>IFERROR(VLOOKUP(I20,CEI_072018!$A$1:$U$489,9,FALSE),0)</f>
        <v>0</v>
      </c>
      <c r="EX20" s="181">
        <f>IFERROR(VLOOKUP(I20,CEI_082018!$A$1:$U$489,9,FALSE),0)</f>
        <v>0</v>
      </c>
      <c r="EY20" s="181">
        <f>IFERROR(VLOOKUP(I20,CEI_092018!$A$1:$U$489,9,FALSE),0)</f>
        <v>0</v>
      </c>
      <c r="EZ20" s="181"/>
      <c r="FA20" s="181"/>
      <c r="FB20" s="181"/>
      <c r="FC20" s="181">
        <f>IFERROR(VLOOKUP(I20,CEI_092018!$A$1:$U$489,12,FALSE),0)</f>
        <v>0</v>
      </c>
      <c r="FD20" s="181">
        <f t="shared" ref="FD20:FD51" si="14">EW20+FC20</f>
        <v>0</v>
      </c>
      <c r="FE20" s="181">
        <f t="shared" ref="FE20:FE51" si="15">SUM(T20-FD20)</f>
        <v>0</v>
      </c>
      <c r="FF20"/>
      <c r="FG20"/>
      <c r="FH20"/>
      <c r="FI20"/>
      <c r="FJ20"/>
      <c r="FK20"/>
      <c r="FL20"/>
      <c r="FM20"/>
      <c r="FN20"/>
      <c r="FO20"/>
      <c r="FP20"/>
      <c r="FQ20"/>
      <c r="FR20"/>
      <c r="FS20"/>
      <c r="FT20"/>
      <c r="FU20"/>
      <c r="FV20"/>
      <c r="FW20"/>
      <c r="FX20"/>
      <c r="FY20"/>
      <c r="FZ20"/>
      <c r="GA20"/>
      <c r="GB20"/>
      <c r="GC20"/>
    </row>
    <row r="21" spans="1:185" ht="12.95" customHeight="1" x14ac:dyDescent="0.25">
      <c r="A21" s="202"/>
      <c r="B21" s="22" t="s">
        <v>54</v>
      </c>
      <c r="C21" s="34" t="s">
        <v>30</v>
      </c>
      <c r="D21" s="22" t="s">
        <v>318</v>
      </c>
      <c r="E21" s="25" t="s">
        <v>1061</v>
      </c>
      <c r="F21" s="22" t="s">
        <v>318</v>
      </c>
      <c r="G21" s="25" t="s">
        <v>1061</v>
      </c>
      <c r="H21" s="22" t="s">
        <v>56</v>
      </c>
      <c r="I21" s="423" t="s">
        <v>1933</v>
      </c>
      <c r="J21" s="37"/>
      <c r="K21" s="23" t="s">
        <v>1934</v>
      </c>
      <c r="L21" s="23"/>
      <c r="M21" s="23"/>
      <c r="N21" s="23"/>
      <c r="O21" s="2">
        <v>2.2655799686908722</v>
      </c>
      <c r="P21" s="2"/>
      <c r="Q21" s="2">
        <v>0</v>
      </c>
      <c r="R21" s="2">
        <v>0</v>
      </c>
      <c r="S21" s="2">
        <v>7.7344200313091296</v>
      </c>
      <c r="T21" s="116">
        <f t="shared" si="0"/>
        <v>10.000000000000002</v>
      </c>
      <c r="U21" s="324">
        <v>0</v>
      </c>
      <c r="V21" s="324">
        <v>0</v>
      </c>
      <c r="W21" s="324">
        <v>0</v>
      </c>
      <c r="X21" s="324">
        <v>0</v>
      </c>
      <c r="Y21" s="324">
        <v>0</v>
      </c>
      <c r="Z21" s="324">
        <v>0</v>
      </c>
      <c r="AA21" s="324">
        <v>0</v>
      </c>
      <c r="AB21" s="324">
        <v>0</v>
      </c>
      <c r="AC21" s="324">
        <v>0</v>
      </c>
      <c r="AD21" s="324">
        <v>0</v>
      </c>
      <c r="AE21" s="324">
        <v>0</v>
      </c>
      <c r="AF21" s="324">
        <v>0</v>
      </c>
      <c r="AG21" s="140">
        <f t="shared" si="1"/>
        <v>0</v>
      </c>
      <c r="AH21" s="324">
        <v>0</v>
      </c>
      <c r="AI21" s="324">
        <v>0</v>
      </c>
      <c r="AJ21" s="324">
        <v>0</v>
      </c>
      <c r="AK21" s="324">
        <v>0</v>
      </c>
      <c r="AL21" s="324">
        <v>0</v>
      </c>
      <c r="AM21" s="324">
        <v>0</v>
      </c>
      <c r="AN21" s="324">
        <v>0</v>
      </c>
      <c r="AO21" s="324">
        <v>0</v>
      </c>
      <c r="AP21" s="324">
        <v>0</v>
      </c>
      <c r="AQ21" s="324">
        <v>0</v>
      </c>
      <c r="AR21" s="324">
        <v>0</v>
      </c>
      <c r="AS21" s="324">
        <v>0</v>
      </c>
      <c r="AT21" s="140">
        <f t="shared" si="2"/>
        <v>0</v>
      </c>
      <c r="AU21" s="324">
        <v>0</v>
      </c>
      <c r="AV21" s="324">
        <v>0</v>
      </c>
      <c r="AW21" s="324">
        <v>0</v>
      </c>
      <c r="AX21" s="324">
        <v>0</v>
      </c>
      <c r="AY21" s="324">
        <v>0</v>
      </c>
      <c r="AZ21" s="324">
        <v>0</v>
      </c>
      <c r="BA21" s="324">
        <v>0</v>
      </c>
      <c r="BB21" s="324">
        <v>0</v>
      </c>
      <c r="BC21" s="324">
        <v>0</v>
      </c>
      <c r="BD21" s="324">
        <v>0</v>
      </c>
      <c r="BE21" s="324">
        <v>0</v>
      </c>
      <c r="BF21" s="324">
        <v>0</v>
      </c>
      <c r="BG21" s="140">
        <f t="shared" si="3"/>
        <v>0</v>
      </c>
      <c r="BH21" s="324">
        <v>0</v>
      </c>
      <c r="BI21" s="324">
        <v>0</v>
      </c>
      <c r="BJ21" s="324">
        <v>0</v>
      </c>
      <c r="BK21" s="324">
        <v>0</v>
      </c>
      <c r="BL21" s="324">
        <v>0</v>
      </c>
      <c r="BM21" s="324">
        <v>0</v>
      </c>
      <c r="BN21" s="324">
        <v>0</v>
      </c>
      <c r="BO21" s="324">
        <v>0</v>
      </c>
      <c r="BP21" s="324">
        <v>0</v>
      </c>
      <c r="BQ21" s="324">
        <v>0</v>
      </c>
      <c r="BR21" s="324">
        <v>0</v>
      </c>
      <c r="BS21" s="324">
        <v>0</v>
      </c>
      <c r="BT21" s="140">
        <f t="shared" si="4"/>
        <v>0</v>
      </c>
      <c r="BU21" s="114">
        <f t="shared" si="5"/>
        <v>10.000000000000002</v>
      </c>
      <c r="BV21" s="432"/>
      <c r="BW21" s="432"/>
      <c r="BX21" s="432"/>
      <c r="BY21" s="432"/>
      <c r="BZ21" s="436">
        <f>IFERROR((EX21/T21%),0)</f>
        <v>22.655799686908718</v>
      </c>
      <c r="CA21" s="434"/>
      <c r="CB21" s="7"/>
      <c r="CC21" s="3"/>
      <c r="CD21" s="3"/>
      <c r="CE21" s="3"/>
      <c r="CF21" s="3"/>
      <c r="CG21" s="3"/>
      <c r="CH21" s="3"/>
      <c r="CI21" s="3"/>
      <c r="CJ21" s="3"/>
      <c r="CK21" s="3"/>
      <c r="CL21" s="3"/>
      <c r="CM21" s="3"/>
      <c r="CN21" s="3"/>
      <c r="CO21" s="4"/>
      <c r="CP21" s="3"/>
      <c r="CQ21" s="3"/>
      <c r="CR21" s="3"/>
      <c r="CS21" s="3"/>
      <c r="CT21" s="3"/>
      <c r="CU21" s="3"/>
      <c r="CV21" s="3"/>
      <c r="CW21" s="3"/>
      <c r="CX21" s="3"/>
      <c r="CY21" s="3"/>
      <c r="CZ21" s="3"/>
      <c r="DA21" s="3"/>
      <c r="DB21" s="4"/>
      <c r="DC21" s="3"/>
      <c r="DD21" s="3"/>
      <c r="DE21" s="3"/>
      <c r="DF21" s="3"/>
      <c r="DG21" s="3"/>
      <c r="DH21" s="3"/>
      <c r="DI21" s="3"/>
      <c r="DJ21" s="3"/>
      <c r="DK21" s="3"/>
      <c r="DL21" s="3"/>
      <c r="DM21" s="3"/>
      <c r="DN21" s="3"/>
      <c r="DO21" s="4"/>
      <c r="DP21" s="3"/>
      <c r="DQ21" s="3"/>
      <c r="DR21" s="3"/>
      <c r="DS21" s="3"/>
      <c r="DT21" s="3"/>
      <c r="DU21" s="3"/>
      <c r="DV21" s="3"/>
      <c r="DW21" s="3"/>
      <c r="DX21" s="3"/>
      <c r="DY21" s="3"/>
      <c r="DZ21" s="3"/>
      <c r="EA21" s="3"/>
      <c r="EB21" s="4"/>
      <c r="EC21" s="3"/>
      <c r="ED21" s="3"/>
      <c r="EE21" s="3"/>
      <c r="EF21" s="3"/>
      <c r="EG21" s="3"/>
      <c r="EH21" s="3"/>
      <c r="EI21" s="3"/>
      <c r="EJ21" s="3"/>
      <c r="EK21" s="3"/>
      <c r="EL21" s="3"/>
      <c r="EM21" s="3"/>
      <c r="EN21" s="3"/>
      <c r="EO21" s="4"/>
      <c r="EP21" s="8"/>
      <c r="EQ21" s="181">
        <f>IFERROR(VLOOKUP(I21,CEI_012018!$A$1:$U$509,9,FALSE),0)</f>
        <v>0</v>
      </c>
      <c r="ER21" s="181">
        <f>IFERROR(VLOOKUP(I21,CEI_022018!$A$1:$U$509,9,FALSE),0)</f>
        <v>0</v>
      </c>
      <c r="ES21" s="181">
        <f>IFERROR(VLOOKUP(I21,CEI_032018!$A$1:$U$509,9,FALSE),0)</f>
        <v>0</v>
      </c>
      <c r="ET21" s="181">
        <f>IFERROR(VLOOKUP(I21,CEI_042018!$A$1:$U$491,9,FALSE),0)</f>
        <v>0</v>
      </c>
      <c r="EU21" s="181">
        <f>IFERROR(VLOOKUP(I21,CEI_052018!$A$1:$U$489,9,FALSE),0)</f>
        <v>0</v>
      </c>
      <c r="EV21" s="181">
        <f>IFERROR(VLOOKUP(I21,CEI_062018!$A$1:$U$489,9,FALSE),0)</f>
        <v>0</v>
      </c>
      <c r="EW21" s="181">
        <f>IFERROR(VLOOKUP(I21,CEI_072018!$A$1:$U$489,9,FALSE),0)</f>
        <v>0</v>
      </c>
      <c r="EX21" s="181">
        <f>IFERROR(VLOOKUP(I21,CEI_082018!$A$1:$U$489,9,FALSE),0)</f>
        <v>2.2655799686908722</v>
      </c>
      <c r="EY21" s="181">
        <f>IFERROR(VLOOKUP(I21,CEI_092018!$A$1:$U$489,9,FALSE),0)</f>
        <v>2.2655799686908722</v>
      </c>
      <c r="EZ21" s="181"/>
      <c r="FA21" s="181"/>
      <c r="FB21" s="181"/>
      <c r="FC21" s="181">
        <f>IFERROR(VLOOKUP(I21,CEI_092018!$A$1:$U$489,12,FALSE),0)</f>
        <v>0</v>
      </c>
      <c r="FD21" s="181">
        <f t="shared" si="14"/>
        <v>0</v>
      </c>
      <c r="FE21" s="181">
        <f t="shared" si="15"/>
        <v>10.000000000000002</v>
      </c>
      <c r="FF21"/>
      <c r="FG21"/>
      <c r="FH21"/>
      <c r="FI21"/>
      <c r="FJ21"/>
      <c r="FK21"/>
      <c r="FL21"/>
      <c r="FM21"/>
      <c r="FN21"/>
      <c r="FO21"/>
      <c r="FP21"/>
      <c r="FQ21"/>
      <c r="FR21"/>
      <c r="FS21"/>
      <c r="FT21"/>
      <c r="FU21"/>
      <c r="FV21"/>
      <c r="FW21"/>
      <c r="FX21"/>
      <c r="FY21"/>
      <c r="FZ21"/>
      <c r="GA21"/>
      <c r="GB21"/>
      <c r="GC21"/>
    </row>
    <row r="22" spans="1:185" ht="12.95" customHeight="1" x14ac:dyDescent="0.25">
      <c r="A22" s="202"/>
      <c r="B22" s="22" t="s">
        <v>54</v>
      </c>
      <c r="C22" s="34" t="s">
        <v>31</v>
      </c>
      <c r="D22" s="22" t="s">
        <v>1058</v>
      </c>
      <c r="E22" s="25" t="s">
        <v>1062</v>
      </c>
      <c r="F22" s="25" t="s">
        <v>1058</v>
      </c>
      <c r="G22" s="25" t="s">
        <v>1062</v>
      </c>
      <c r="H22" s="22" t="s">
        <v>56</v>
      </c>
      <c r="I22" s="483" t="s">
        <v>565</v>
      </c>
      <c r="J22" s="255" t="s">
        <v>59</v>
      </c>
      <c r="K22" s="253" t="s">
        <v>1718</v>
      </c>
      <c r="L22" s="23" t="s">
        <v>399</v>
      </c>
      <c r="M22" s="23" t="s">
        <v>59</v>
      </c>
      <c r="N22" s="23" t="s">
        <v>59</v>
      </c>
      <c r="O22" s="2">
        <v>0</v>
      </c>
      <c r="P22" s="2">
        <v>0</v>
      </c>
      <c r="Q22" s="2">
        <v>0</v>
      </c>
      <c r="R22" s="2">
        <v>0</v>
      </c>
      <c r="S22" s="2">
        <v>0</v>
      </c>
      <c r="T22" s="116">
        <f t="shared" si="0"/>
        <v>0</v>
      </c>
      <c r="U22" s="324">
        <v>0</v>
      </c>
      <c r="V22" s="324">
        <v>0</v>
      </c>
      <c r="W22" s="324">
        <v>0</v>
      </c>
      <c r="X22" s="324">
        <v>0</v>
      </c>
      <c r="Y22" s="324">
        <v>0</v>
      </c>
      <c r="Z22" s="324">
        <v>0</v>
      </c>
      <c r="AA22" s="324">
        <v>0</v>
      </c>
      <c r="AB22" s="324">
        <v>0</v>
      </c>
      <c r="AC22" s="324">
        <v>351.9</v>
      </c>
      <c r="AD22" s="324">
        <v>0</v>
      </c>
      <c r="AE22" s="324">
        <v>0</v>
      </c>
      <c r="AF22" s="324">
        <v>0</v>
      </c>
      <c r="AG22" s="140">
        <f t="shared" si="1"/>
        <v>351.9</v>
      </c>
      <c r="AH22" s="324">
        <v>0</v>
      </c>
      <c r="AI22" s="324">
        <v>0</v>
      </c>
      <c r="AJ22" s="324">
        <v>0</v>
      </c>
      <c r="AK22" s="324">
        <v>0</v>
      </c>
      <c r="AL22" s="324">
        <v>0</v>
      </c>
      <c r="AM22" s="324">
        <v>0</v>
      </c>
      <c r="AN22" s="324">
        <v>0</v>
      </c>
      <c r="AO22" s="324">
        <v>214.7</v>
      </c>
      <c r="AP22" s="324">
        <v>0</v>
      </c>
      <c r="AQ22" s="324">
        <v>0</v>
      </c>
      <c r="AR22" s="324">
        <v>0</v>
      </c>
      <c r="AS22" s="324">
        <v>0</v>
      </c>
      <c r="AT22" s="140">
        <f t="shared" si="2"/>
        <v>214.7</v>
      </c>
      <c r="AU22" s="324">
        <v>0</v>
      </c>
      <c r="AV22" s="324">
        <v>0</v>
      </c>
      <c r="AW22" s="324">
        <v>0</v>
      </c>
      <c r="AX22" s="324">
        <v>0</v>
      </c>
      <c r="AY22" s="324">
        <v>0</v>
      </c>
      <c r="AZ22" s="324">
        <v>0</v>
      </c>
      <c r="BA22" s="324">
        <v>0</v>
      </c>
      <c r="BB22" s="324">
        <v>51.5</v>
      </c>
      <c r="BC22" s="324">
        <v>0</v>
      </c>
      <c r="BD22" s="324">
        <v>0</v>
      </c>
      <c r="BE22" s="324">
        <v>0</v>
      </c>
      <c r="BF22" s="324">
        <v>0</v>
      </c>
      <c r="BG22" s="140">
        <f t="shared" si="3"/>
        <v>51.5</v>
      </c>
      <c r="BH22" s="324">
        <v>0</v>
      </c>
      <c r="BI22" s="324">
        <v>0</v>
      </c>
      <c r="BJ22" s="324">
        <v>0</v>
      </c>
      <c r="BK22" s="324">
        <v>0</v>
      </c>
      <c r="BL22" s="324">
        <v>0</v>
      </c>
      <c r="BM22" s="324">
        <v>0</v>
      </c>
      <c r="BN22" s="324">
        <v>0</v>
      </c>
      <c r="BO22" s="324">
        <v>278.5</v>
      </c>
      <c r="BP22" s="324">
        <v>0</v>
      </c>
      <c r="BQ22" s="324">
        <v>0</v>
      </c>
      <c r="BR22" s="324">
        <v>0</v>
      </c>
      <c r="BS22" s="324">
        <v>0</v>
      </c>
      <c r="BT22" s="140">
        <f t="shared" si="4"/>
        <v>278.5</v>
      </c>
      <c r="BU22" s="114">
        <f t="shared" si="5"/>
        <v>896.6</v>
      </c>
      <c r="BV22" s="432"/>
      <c r="BW22" s="432"/>
      <c r="BX22" s="432"/>
      <c r="BY22" s="432"/>
      <c r="BZ22" s="433"/>
      <c r="CA22" s="434"/>
      <c r="CB22" s="7" t="s">
        <v>1681</v>
      </c>
      <c r="CC22" s="3">
        <v>0</v>
      </c>
      <c r="CD22" s="3">
        <v>0</v>
      </c>
      <c r="CE22" s="3">
        <v>0</v>
      </c>
      <c r="CF22" s="3">
        <v>0</v>
      </c>
      <c r="CG22" s="3">
        <v>0</v>
      </c>
      <c r="CH22" s="3">
        <v>0</v>
      </c>
      <c r="CI22" s="3">
        <v>0</v>
      </c>
      <c r="CJ22" s="3">
        <v>0</v>
      </c>
      <c r="CK22" s="3">
        <v>0</v>
      </c>
      <c r="CL22" s="3">
        <v>0</v>
      </c>
      <c r="CM22" s="3">
        <v>0</v>
      </c>
      <c r="CN22" s="3">
        <v>0</v>
      </c>
      <c r="CO22" s="4">
        <f t="shared" ref="CO22:CO51" si="16">SUM(CC22:CN22)</f>
        <v>0</v>
      </c>
      <c r="CP22" s="3">
        <v>0</v>
      </c>
      <c r="CQ22" s="3">
        <v>0</v>
      </c>
      <c r="CR22" s="3">
        <v>0</v>
      </c>
      <c r="CS22" s="3">
        <v>0</v>
      </c>
      <c r="CT22" s="3">
        <v>0</v>
      </c>
      <c r="CU22" s="3">
        <v>0</v>
      </c>
      <c r="CV22" s="3">
        <v>0</v>
      </c>
      <c r="CW22" s="3">
        <v>0</v>
      </c>
      <c r="CX22" s="3">
        <v>70.38</v>
      </c>
      <c r="CY22" s="3">
        <v>0</v>
      </c>
      <c r="CZ22" s="3">
        <v>0</v>
      </c>
      <c r="DA22" s="3">
        <v>0</v>
      </c>
      <c r="DB22" s="4">
        <f t="shared" ref="DB22:DB51" si="17">SUM(CP22:DA22)</f>
        <v>70.38</v>
      </c>
      <c r="DC22" s="3">
        <v>0</v>
      </c>
      <c r="DD22" s="3">
        <v>0</v>
      </c>
      <c r="DE22" s="3">
        <v>0</v>
      </c>
      <c r="DF22" s="3">
        <v>0</v>
      </c>
      <c r="DG22" s="3">
        <v>0</v>
      </c>
      <c r="DH22" s="3">
        <v>0</v>
      </c>
      <c r="DI22" s="3">
        <v>0</v>
      </c>
      <c r="DJ22" s="3">
        <v>42.94</v>
      </c>
      <c r="DK22" s="3">
        <v>0</v>
      </c>
      <c r="DL22" s="3">
        <v>0</v>
      </c>
      <c r="DM22" s="3">
        <v>0</v>
      </c>
      <c r="DN22" s="3">
        <v>0</v>
      </c>
      <c r="DO22" s="4">
        <f t="shared" ref="DO22:DO51" si="18">SUM(DC22:DN22)</f>
        <v>42.94</v>
      </c>
      <c r="DP22" s="3">
        <v>0</v>
      </c>
      <c r="DQ22" s="3">
        <v>0</v>
      </c>
      <c r="DR22" s="3">
        <v>0</v>
      </c>
      <c r="DS22" s="3">
        <v>0</v>
      </c>
      <c r="DT22" s="3">
        <v>0</v>
      </c>
      <c r="DU22" s="3">
        <v>0</v>
      </c>
      <c r="DV22" s="3">
        <v>0</v>
      </c>
      <c r="DW22" s="3">
        <v>10.3</v>
      </c>
      <c r="DX22" s="3">
        <v>0</v>
      </c>
      <c r="DY22" s="3">
        <v>0</v>
      </c>
      <c r="DZ22" s="3">
        <v>0</v>
      </c>
      <c r="EA22" s="3">
        <v>0</v>
      </c>
      <c r="EB22" s="4">
        <f t="shared" ref="EB22:EB51" si="19">SUM(DP22:EA22)</f>
        <v>10.3</v>
      </c>
      <c r="EC22" s="3">
        <v>0</v>
      </c>
      <c r="ED22" s="3">
        <v>0</v>
      </c>
      <c r="EE22" s="3">
        <v>0</v>
      </c>
      <c r="EF22" s="3">
        <v>0</v>
      </c>
      <c r="EG22" s="3">
        <v>0</v>
      </c>
      <c r="EH22" s="3">
        <v>0</v>
      </c>
      <c r="EI22" s="3">
        <v>0</v>
      </c>
      <c r="EJ22" s="3">
        <v>55.7</v>
      </c>
      <c r="EK22" s="3">
        <v>0</v>
      </c>
      <c r="EL22" s="3">
        <v>0</v>
      </c>
      <c r="EM22" s="3">
        <v>0</v>
      </c>
      <c r="EN22" s="3">
        <v>0</v>
      </c>
      <c r="EO22" s="4">
        <f t="shared" ref="EO22:EO51" si="20">SUM(EC22:EN22)</f>
        <v>55.7</v>
      </c>
      <c r="EP22" s="8">
        <f t="shared" ref="EP22:EP51" si="21">SUM(EO22,EB22,DO22,DB22,CO22)</f>
        <v>179.32</v>
      </c>
      <c r="EQ22" s="181">
        <f>IFERROR(VLOOKUP(I22,CEI_012018!$A$1:$U$509,9,FALSE),0)</f>
        <v>0</v>
      </c>
      <c r="ER22" s="181">
        <f>IFERROR(VLOOKUP(I22,CEI_022018!$A$1:$U$509,9,FALSE),0)</f>
        <v>0</v>
      </c>
      <c r="ES22" s="181">
        <f>IFERROR(VLOOKUP(I22,CEI_032018!$A$1:$U$509,9,FALSE),0)</f>
        <v>0</v>
      </c>
      <c r="ET22" s="181">
        <f>IFERROR(VLOOKUP(I22,CEI_042018!$A$1:$U$491,9,FALSE),0)</f>
        <v>0</v>
      </c>
      <c r="EU22" s="181">
        <f>IFERROR(VLOOKUP(I22,CEI_052018!$A$1:$U$489,9,FALSE),0)</f>
        <v>0</v>
      </c>
      <c r="EV22" s="181">
        <f>IFERROR(VLOOKUP(I22,CEI_062018!$A$1:$U$489,9,FALSE),0)</f>
        <v>0</v>
      </c>
      <c r="EW22" s="181">
        <f>IFERROR(VLOOKUP(I22,CEI_072018!$A$1:$U$489,9,FALSE),0)</f>
        <v>0</v>
      </c>
      <c r="EX22" s="181">
        <f>IFERROR(VLOOKUP(I22,CEI_082018!$A$1:$U$489,9,FALSE),0)</f>
        <v>0</v>
      </c>
      <c r="EY22" s="181">
        <f>IFERROR(VLOOKUP(I22,CEI_092018!$A$1:$U$489,9,FALSE),0)</f>
        <v>0</v>
      </c>
      <c r="EZ22" s="181"/>
      <c r="FA22" s="181"/>
      <c r="FB22" s="181"/>
      <c r="FC22" s="181">
        <f>IFERROR(VLOOKUP(I22,CEI_092018!$A$1:$U$489,12,FALSE),0)</f>
        <v>0</v>
      </c>
      <c r="FD22" s="181">
        <f t="shared" si="14"/>
        <v>0</v>
      </c>
      <c r="FE22" s="181">
        <f t="shared" si="15"/>
        <v>0</v>
      </c>
      <c r="FF22"/>
      <c r="FG22"/>
      <c r="FH22"/>
      <c r="FI22"/>
      <c r="FJ22"/>
      <c r="FK22"/>
      <c r="FL22"/>
      <c r="FM22"/>
      <c r="FN22"/>
      <c r="FO22"/>
      <c r="FP22"/>
      <c r="FQ22"/>
      <c r="FR22"/>
      <c r="FS22"/>
      <c r="FT22"/>
      <c r="FU22"/>
      <c r="FV22"/>
      <c r="FW22"/>
      <c r="FX22"/>
      <c r="FY22"/>
      <c r="FZ22"/>
      <c r="GA22"/>
      <c r="GB22"/>
      <c r="GC22"/>
    </row>
    <row r="23" spans="1:185" ht="12.95" customHeight="1" x14ac:dyDescent="0.25">
      <c r="A23" s="202"/>
      <c r="B23" s="22" t="s">
        <v>54</v>
      </c>
      <c r="C23" s="34" t="s">
        <v>31</v>
      </c>
      <c r="D23" s="22" t="s">
        <v>1058</v>
      </c>
      <c r="E23" s="25" t="s">
        <v>1062</v>
      </c>
      <c r="F23" s="25" t="s">
        <v>179</v>
      </c>
      <c r="G23" s="25" t="s">
        <v>1831</v>
      </c>
      <c r="H23" s="22" t="s">
        <v>65</v>
      </c>
      <c r="I23" s="423" t="s">
        <v>1468</v>
      </c>
      <c r="J23" s="37" t="s">
        <v>1470</v>
      </c>
      <c r="K23" s="23" t="s">
        <v>1607</v>
      </c>
      <c r="L23" s="23" t="s">
        <v>1029</v>
      </c>
      <c r="M23" s="23" t="s">
        <v>59</v>
      </c>
      <c r="N23" s="23" t="s">
        <v>59</v>
      </c>
      <c r="O23" s="2">
        <v>0</v>
      </c>
      <c r="P23" s="2">
        <v>58.6</v>
      </c>
      <c r="Q23" s="2"/>
      <c r="R23" s="2">
        <v>0</v>
      </c>
      <c r="S23" s="2"/>
      <c r="T23" s="116">
        <f t="shared" si="0"/>
        <v>58.6</v>
      </c>
      <c r="U23" s="324">
        <v>0</v>
      </c>
      <c r="V23" s="324">
        <v>0</v>
      </c>
      <c r="W23" s="324">
        <v>0</v>
      </c>
      <c r="X23" s="324">
        <v>0</v>
      </c>
      <c r="Y23" s="324">
        <v>0</v>
      </c>
      <c r="Z23" s="324">
        <v>0</v>
      </c>
      <c r="AA23" s="324">
        <v>0</v>
      </c>
      <c r="AB23" s="324">
        <v>0</v>
      </c>
      <c r="AC23" s="324">
        <v>0</v>
      </c>
      <c r="AD23" s="324">
        <v>0</v>
      </c>
      <c r="AE23" s="324">
        <v>0</v>
      </c>
      <c r="AF23" s="324">
        <v>0</v>
      </c>
      <c r="AG23" s="140">
        <f t="shared" si="1"/>
        <v>0</v>
      </c>
      <c r="AH23" s="324">
        <v>0</v>
      </c>
      <c r="AI23" s="324">
        <v>0</v>
      </c>
      <c r="AJ23" s="324">
        <v>0</v>
      </c>
      <c r="AK23" s="324">
        <v>0</v>
      </c>
      <c r="AL23" s="324">
        <v>0</v>
      </c>
      <c r="AM23" s="324">
        <v>0</v>
      </c>
      <c r="AN23" s="324">
        <v>0</v>
      </c>
      <c r="AO23" s="324">
        <v>0</v>
      </c>
      <c r="AP23" s="324">
        <v>0</v>
      </c>
      <c r="AQ23" s="324">
        <v>0</v>
      </c>
      <c r="AR23" s="324">
        <v>0</v>
      </c>
      <c r="AS23" s="324">
        <v>0</v>
      </c>
      <c r="AT23" s="140">
        <f t="shared" si="2"/>
        <v>0</v>
      </c>
      <c r="AU23" s="324">
        <v>0</v>
      </c>
      <c r="AV23" s="324">
        <v>0</v>
      </c>
      <c r="AW23" s="324">
        <v>0</v>
      </c>
      <c r="AX23" s="324">
        <v>0</v>
      </c>
      <c r="AY23" s="324">
        <v>0</v>
      </c>
      <c r="AZ23" s="324">
        <v>0</v>
      </c>
      <c r="BA23" s="324">
        <v>0</v>
      </c>
      <c r="BB23" s="324">
        <v>0</v>
      </c>
      <c r="BC23" s="324">
        <v>0</v>
      </c>
      <c r="BD23" s="324">
        <v>0</v>
      </c>
      <c r="BE23" s="324">
        <v>0</v>
      </c>
      <c r="BF23" s="324">
        <v>0</v>
      </c>
      <c r="BG23" s="140">
        <f t="shared" si="3"/>
        <v>0</v>
      </c>
      <c r="BH23" s="324">
        <v>0</v>
      </c>
      <c r="BI23" s="324">
        <v>0</v>
      </c>
      <c r="BJ23" s="324">
        <v>0</v>
      </c>
      <c r="BK23" s="324">
        <v>0</v>
      </c>
      <c r="BL23" s="324">
        <v>0</v>
      </c>
      <c r="BM23" s="324">
        <v>0</v>
      </c>
      <c r="BN23" s="324">
        <v>0</v>
      </c>
      <c r="BO23" s="324">
        <v>0</v>
      </c>
      <c r="BP23" s="324">
        <v>0</v>
      </c>
      <c r="BQ23" s="324">
        <v>0</v>
      </c>
      <c r="BR23" s="324">
        <v>0</v>
      </c>
      <c r="BS23" s="324">
        <v>0</v>
      </c>
      <c r="BT23" s="140">
        <f t="shared" si="4"/>
        <v>0</v>
      </c>
      <c r="BU23" s="114">
        <f t="shared" si="5"/>
        <v>58.6</v>
      </c>
      <c r="BV23" s="372">
        <v>1</v>
      </c>
      <c r="BW23" s="372">
        <v>1</v>
      </c>
      <c r="BX23" s="372">
        <v>1</v>
      </c>
      <c r="BY23" s="372">
        <v>-1</v>
      </c>
      <c r="BZ23" s="436">
        <f t="shared" ref="BZ23:BZ26" si="22">IFERROR((EX23/T23%),0)</f>
        <v>0</v>
      </c>
      <c r="CA23" s="428">
        <f>IFERROR((FD23/T23%),0)</f>
        <v>81.568259021121079</v>
      </c>
      <c r="CB23" s="7" t="s">
        <v>1681</v>
      </c>
      <c r="CC23" s="3">
        <v>0</v>
      </c>
      <c r="CD23" s="3">
        <v>0</v>
      </c>
      <c r="CE23" s="3">
        <v>0</v>
      </c>
      <c r="CF23" s="3">
        <v>0</v>
      </c>
      <c r="CG23" s="3">
        <v>0</v>
      </c>
      <c r="CH23" s="3">
        <v>0</v>
      </c>
      <c r="CI23" s="3">
        <v>0</v>
      </c>
      <c r="CJ23" s="3">
        <v>0</v>
      </c>
      <c r="CK23" s="3">
        <v>14.65</v>
      </c>
      <c r="CL23" s="3">
        <v>0</v>
      </c>
      <c r="CM23" s="3">
        <v>0</v>
      </c>
      <c r="CN23" s="3">
        <v>0</v>
      </c>
      <c r="CO23" s="4">
        <f t="shared" si="16"/>
        <v>14.65</v>
      </c>
      <c r="CP23" s="3">
        <v>0</v>
      </c>
      <c r="CQ23" s="3">
        <v>0</v>
      </c>
      <c r="CR23" s="3">
        <v>0</v>
      </c>
      <c r="CS23" s="3">
        <v>0</v>
      </c>
      <c r="CT23" s="3">
        <v>0</v>
      </c>
      <c r="CU23" s="3">
        <v>0</v>
      </c>
      <c r="CV23" s="3">
        <v>0</v>
      </c>
      <c r="CW23" s="3">
        <v>0</v>
      </c>
      <c r="CX23" s="3">
        <v>0</v>
      </c>
      <c r="CY23" s="3">
        <v>0</v>
      </c>
      <c r="CZ23" s="3">
        <v>0</v>
      </c>
      <c r="DA23" s="3">
        <v>0</v>
      </c>
      <c r="DB23" s="4">
        <f t="shared" si="17"/>
        <v>0</v>
      </c>
      <c r="DC23" s="3">
        <v>0</v>
      </c>
      <c r="DD23" s="3">
        <v>0</v>
      </c>
      <c r="DE23" s="3">
        <v>0</v>
      </c>
      <c r="DF23" s="3">
        <v>0</v>
      </c>
      <c r="DG23" s="3">
        <v>0</v>
      </c>
      <c r="DH23" s="3">
        <v>0</v>
      </c>
      <c r="DI23" s="3">
        <v>0</v>
      </c>
      <c r="DJ23" s="3">
        <v>0</v>
      </c>
      <c r="DK23" s="3">
        <v>0</v>
      </c>
      <c r="DL23" s="3">
        <v>0</v>
      </c>
      <c r="DM23" s="3">
        <v>0</v>
      </c>
      <c r="DN23" s="3">
        <v>0</v>
      </c>
      <c r="DO23" s="4">
        <f t="shared" si="18"/>
        <v>0</v>
      </c>
      <c r="DP23" s="3">
        <v>0</v>
      </c>
      <c r="DQ23" s="3">
        <v>0</v>
      </c>
      <c r="DR23" s="3">
        <v>0</v>
      </c>
      <c r="DS23" s="3">
        <v>0</v>
      </c>
      <c r="DT23" s="3">
        <v>0</v>
      </c>
      <c r="DU23" s="3">
        <v>0</v>
      </c>
      <c r="DV23" s="3">
        <v>0</v>
      </c>
      <c r="DW23" s="3">
        <v>0</v>
      </c>
      <c r="DX23" s="3">
        <v>0</v>
      </c>
      <c r="DY23" s="3">
        <v>0</v>
      </c>
      <c r="DZ23" s="3">
        <v>0</v>
      </c>
      <c r="EA23" s="3">
        <v>0</v>
      </c>
      <c r="EB23" s="4">
        <f t="shared" si="19"/>
        <v>0</v>
      </c>
      <c r="EC23" s="3">
        <v>0</v>
      </c>
      <c r="ED23" s="3">
        <v>0</v>
      </c>
      <c r="EE23" s="3">
        <v>0</v>
      </c>
      <c r="EF23" s="3">
        <v>0</v>
      </c>
      <c r="EG23" s="3">
        <v>0</v>
      </c>
      <c r="EH23" s="3">
        <v>0</v>
      </c>
      <c r="EI23" s="3">
        <v>0</v>
      </c>
      <c r="EJ23" s="3">
        <v>0</v>
      </c>
      <c r="EK23" s="3">
        <v>0</v>
      </c>
      <c r="EL23" s="3">
        <v>0</v>
      </c>
      <c r="EM23" s="3">
        <v>0</v>
      </c>
      <c r="EN23" s="3">
        <v>0</v>
      </c>
      <c r="EO23" s="4">
        <f t="shared" si="20"/>
        <v>0</v>
      </c>
      <c r="EP23" s="8">
        <f t="shared" si="21"/>
        <v>14.65</v>
      </c>
      <c r="EQ23" s="181">
        <f>IFERROR(VLOOKUP(I23,CEI_012018!$A$1:$U$509,9,FALSE),0)</f>
        <v>0</v>
      </c>
      <c r="ER23" s="181">
        <f>IFERROR(VLOOKUP(I23,CEI_022018!$A$1:$U$509,9,FALSE),0)</f>
        <v>0</v>
      </c>
      <c r="ES23" s="181">
        <f>IFERROR(VLOOKUP(I23,CEI_032018!$A$1:$U$509,9,FALSE),0)</f>
        <v>0</v>
      </c>
      <c r="ET23" s="181">
        <f>IFERROR(VLOOKUP(I23,CEI_042018!$A$1:$U$491,9,FALSE),0)</f>
        <v>0</v>
      </c>
      <c r="EU23" s="181">
        <f>IFERROR(VLOOKUP(I23,CEI_052018!$A$1:$U$489,9,FALSE),0)</f>
        <v>0</v>
      </c>
      <c r="EV23" s="181">
        <f>IFERROR(VLOOKUP(I23,CEI_062018!$A$1:$U$489,9,FALSE),0)</f>
        <v>0</v>
      </c>
      <c r="EW23" s="181">
        <f>IFERROR(VLOOKUP(I23,CEI_072018!$A$1:$U$489,9,FALSE),0)</f>
        <v>0</v>
      </c>
      <c r="EX23" s="181">
        <f>IFERROR(VLOOKUP(I23,CEI_082018!$A$1:$U$489,9,FALSE),0)</f>
        <v>0</v>
      </c>
      <c r="EY23" s="181">
        <f>IFERROR(VLOOKUP(I23,CEI_092018!$A$1:$U$489,9,FALSE),0)</f>
        <v>0</v>
      </c>
      <c r="EZ23" s="181"/>
      <c r="FA23" s="181"/>
      <c r="FB23" s="181"/>
      <c r="FC23" s="181">
        <f>IFERROR(VLOOKUP(I23,CEI_092018!$A$1:$U$489,12,FALSE),0)</f>
        <v>47.798999786376953</v>
      </c>
      <c r="FD23" s="181">
        <f t="shared" si="14"/>
        <v>47.798999786376953</v>
      </c>
      <c r="FE23" s="181">
        <f t="shared" si="15"/>
        <v>10.801000213623048</v>
      </c>
      <c r="FF23"/>
      <c r="FG23"/>
      <c r="FH23"/>
      <c r="FI23"/>
      <c r="FJ23"/>
      <c r="FK23"/>
      <c r="FL23"/>
      <c r="FM23"/>
      <c r="FN23"/>
      <c r="FO23"/>
      <c r="FP23"/>
      <c r="FQ23"/>
      <c r="FR23"/>
      <c r="FS23"/>
      <c r="FT23"/>
      <c r="FU23"/>
      <c r="FV23"/>
      <c r="FW23"/>
      <c r="FX23"/>
      <c r="FY23"/>
      <c r="FZ23"/>
      <c r="GA23"/>
      <c r="GB23"/>
      <c r="GC23"/>
    </row>
    <row r="24" spans="1:185" ht="12.95" customHeight="1" x14ac:dyDescent="0.25">
      <c r="A24" s="202"/>
      <c r="B24" s="22" t="s">
        <v>54</v>
      </c>
      <c r="C24" s="34" t="s">
        <v>32</v>
      </c>
      <c r="D24" s="22" t="s">
        <v>1058</v>
      </c>
      <c r="E24" s="25" t="s">
        <v>1134</v>
      </c>
      <c r="F24" s="25" t="s">
        <v>1058</v>
      </c>
      <c r="G24" s="25" t="s">
        <v>1062</v>
      </c>
      <c r="H24" s="22" t="s">
        <v>56</v>
      </c>
      <c r="I24" s="423" t="s">
        <v>1795</v>
      </c>
      <c r="J24" s="37" t="s">
        <v>1797</v>
      </c>
      <c r="K24" s="23" t="s">
        <v>1712</v>
      </c>
      <c r="L24" s="23" t="s">
        <v>401</v>
      </c>
      <c r="M24" s="23" t="s">
        <v>59</v>
      </c>
      <c r="N24" s="23" t="s">
        <v>1870</v>
      </c>
      <c r="O24" s="2"/>
      <c r="P24" s="2">
        <v>0</v>
      </c>
      <c r="Q24" s="2">
        <v>0</v>
      </c>
      <c r="R24" s="2">
        <v>0</v>
      </c>
      <c r="S24" s="2">
        <v>22</v>
      </c>
      <c r="T24" s="116">
        <f t="shared" si="0"/>
        <v>22</v>
      </c>
      <c r="U24" s="324">
        <v>0</v>
      </c>
      <c r="V24" s="324">
        <v>0</v>
      </c>
      <c r="W24" s="324">
        <v>0</v>
      </c>
      <c r="X24" s="324">
        <v>0</v>
      </c>
      <c r="Y24" s="324">
        <v>0</v>
      </c>
      <c r="Z24" s="324">
        <v>0</v>
      </c>
      <c r="AA24" s="324">
        <v>0</v>
      </c>
      <c r="AB24" s="324">
        <v>22</v>
      </c>
      <c r="AC24" s="324">
        <v>0</v>
      </c>
      <c r="AD24" s="324">
        <v>0</v>
      </c>
      <c r="AE24" s="324">
        <v>0</v>
      </c>
      <c r="AF24" s="324">
        <v>0</v>
      </c>
      <c r="AG24" s="140">
        <f t="shared" si="1"/>
        <v>22</v>
      </c>
      <c r="AH24" s="324">
        <v>0</v>
      </c>
      <c r="AI24" s="324">
        <v>0</v>
      </c>
      <c r="AJ24" s="324">
        <v>0</v>
      </c>
      <c r="AK24" s="324">
        <v>0</v>
      </c>
      <c r="AL24" s="324">
        <v>0</v>
      </c>
      <c r="AM24" s="324">
        <v>0</v>
      </c>
      <c r="AN24" s="324">
        <v>0</v>
      </c>
      <c r="AO24" s="324">
        <v>22</v>
      </c>
      <c r="AP24" s="324">
        <v>0</v>
      </c>
      <c r="AQ24" s="324">
        <v>0</v>
      </c>
      <c r="AR24" s="324">
        <v>0</v>
      </c>
      <c r="AS24" s="324">
        <v>0</v>
      </c>
      <c r="AT24" s="140">
        <f t="shared" si="2"/>
        <v>22</v>
      </c>
      <c r="AU24" s="324">
        <v>0</v>
      </c>
      <c r="AV24" s="324">
        <v>0</v>
      </c>
      <c r="AW24" s="324">
        <v>0</v>
      </c>
      <c r="AX24" s="324">
        <v>0</v>
      </c>
      <c r="AY24" s="324">
        <v>0</v>
      </c>
      <c r="AZ24" s="324">
        <v>0</v>
      </c>
      <c r="BA24" s="324">
        <v>0</v>
      </c>
      <c r="BB24" s="324">
        <v>716.5</v>
      </c>
      <c r="BC24" s="324">
        <v>0</v>
      </c>
      <c r="BD24" s="324">
        <v>0</v>
      </c>
      <c r="BE24" s="324">
        <v>0</v>
      </c>
      <c r="BF24" s="324">
        <v>0</v>
      </c>
      <c r="BG24" s="140">
        <f t="shared" si="3"/>
        <v>716.5</v>
      </c>
      <c r="BH24" s="324">
        <v>0</v>
      </c>
      <c r="BI24" s="324">
        <v>0</v>
      </c>
      <c r="BJ24" s="324">
        <v>0</v>
      </c>
      <c r="BK24" s="324">
        <v>0</v>
      </c>
      <c r="BL24" s="324">
        <v>0</v>
      </c>
      <c r="BM24" s="324">
        <v>0</v>
      </c>
      <c r="BN24" s="324">
        <v>0</v>
      </c>
      <c r="BO24" s="324">
        <v>716.5</v>
      </c>
      <c r="BP24" s="324">
        <v>0</v>
      </c>
      <c r="BQ24" s="324">
        <v>0</v>
      </c>
      <c r="BR24" s="324">
        <v>0</v>
      </c>
      <c r="BS24" s="324">
        <v>0</v>
      </c>
      <c r="BT24" s="140">
        <f t="shared" si="4"/>
        <v>716.5</v>
      </c>
      <c r="BU24" s="114">
        <f t="shared" si="5"/>
        <v>1499</v>
      </c>
      <c r="BV24" s="372">
        <v>1</v>
      </c>
      <c r="BW24" s="372">
        <v>1</v>
      </c>
      <c r="BX24" s="372">
        <v>1</v>
      </c>
      <c r="BY24" s="372">
        <v>-1</v>
      </c>
      <c r="BZ24" s="436">
        <f t="shared" si="22"/>
        <v>0</v>
      </c>
      <c r="CA24" s="428">
        <f>IFERROR((FD24/T24%),0)</f>
        <v>99.372274225408376</v>
      </c>
      <c r="CB24" s="7" t="s">
        <v>1701</v>
      </c>
      <c r="CC24" s="3">
        <v>0</v>
      </c>
      <c r="CD24" s="3">
        <v>0</v>
      </c>
      <c r="CE24" s="3">
        <v>0</v>
      </c>
      <c r="CF24" s="3">
        <v>0</v>
      </c>
      <c r="CG24" s="3">
        <v>0</v>
      </c>
      <c r="CH24" s="3">
        <v>0</v>
      </c>
      <c r="CI24" s="3">
        <v>0</v>
      </c>
      <c r="CJ24" s="3">
        <v>1</v>
      </c>
      <c r="CK24" s="3">
        <v>0</v>
      </c>
      <c r="CL24" s="3">
        <v>0</v>
      </c>
      <c r="CM24" s="3">
        <v>0</v>
      </c>
      <c r="CN24" s="3">
        <v>0</v>
      </c>
      <c r="CO24" s="4">
        <f t="shared" si="16"/>
        <v>1</v>
      </c>
      <c r="CP24" s="3">
        <v>0</v>
      </c>
      <c r="CQ24" s="3">
        <v>0</v>
      </c>
      <c r="CR24" s="3">
        <v>0</v>
      </c>
      <c r="CS24" s="3">
        <v>0</v>
      </c>
      <c r="CT24" s="3">
        <v>0</v>
      </c>
      <c r="CU24" s="3">
        <v>0</v>
      </c>
      <c r="CV24" s="3">
        <v>0</v>
      </c>
      <c r="CW24" s="3">
        <v>1</v>
      </c>
      <c r="CX24" s="3">
        <v>0</v>
      </c>
      <c r="CY24" s="3">
        <v>0</v>
      </c>
      <c r="CZ24" s="3">
        <v>0</v>
      </c>
      <c r="DA24" s="3">
        <v>0</v>
      </c>
      <c r="DB24" s="4">
        <f t="shared" si="17"/>
        <v>1</v>
      </c>
      <c r="DC24" s="3">
        <v>0</v>
      </c>
      <c r="DD24" s="3">
        <v>0</v>
      </c>
      <c r="DE24" s="3">
        <v>0</v>
      </c>
      <c r="DF24" s="3">
        <v>0</v>
      </c>
      <c r="DG24" s="3">
        <v>0</v>
      </c>
      <c r="DH24" s="3">
        <v>0</v>
      </c>
      <c r="DI24" s="3">
        <v>0</v>
      </c>
      <c r="DJ24" s="3">
        <v>1</v>
      </c>
      <c r="DK24" s="3">
        <v>0</v>
      </c>
      <c r="DL24" s="3">
        <v>0</v>
      </c>
      <c r="DM24" s="3">
        <v>0</v>
      </c>
      <c r="DN24" s="3">
        <v>0</v>
      </c>
      <c r="DO24" s="4">
        <f t="shared" si="18"/>
        <v>1</v>
      </c>
      <c r="DP24" s="3">
        <v>0</v>
      </c>
      <c r="DQ24" s="3">
        <v>0</v>
      </c>
      <c r="DR24" s="3">
        <v>0</v>
      </c>
      <c r="DS24" s="3">
        <v>0</v>
      </c>
      <c r="DT24" s="3">
        <v>0</v>
      </c>
      <c r="DU24" s="3">
        <v>0</v>
      </c>
      <c r="DV24" s="3">
        <v>0</v>
      </c>
      <c r="DW24" s="3">
        <v>1</v>
      </c>
      <c r="DX24" s="3">
        <v>0</v>
      </c>
      <c r="DY24" s="3">
        <v>0</v>
      </c>
      <c r="DZ24" s="3">
        <v>0</v>
      </c>
      <c r="EA24" s="3">
        <v>0</v>
      </c>
      <c r="EB24" s="4">
        <f t="shared" si="19"/>
        <v>1</v>
      </c>
      <c r="EC24" s="3">
        <v>0</v>
      </c>
      <c r="ED24" s="3">
        <v>0</v>
      </c>
      <c r="EE24" s="3">
        <v>0</v>
      </c>
      <c r="EF24" s="3">
        <v>0</v>
      </c>
      <c r="EG24" s="3">
        <v>0</v>
      </c>
      <c r="EH24" s="3">
        <v>0</v>
      </c>
      <c r="EI24" s="3">
        <v>0</v>
      </c>
      <c r="EJ24" s="3">
        <v>1</v>
      </c>
      <c r="EK24" s="3">
        <v>0</v>
      </c>
      <c r="EL24" s="3">
        <v>0</v>
      </c>
      <c r="EM24" s="3">
        <v>0</v>
      </c>
      <c r="EN24" s="3">
        <v>0</v>
      </c>
      <c r="EO24" s="4">
        <f t="shared" si="20"/>
        <v>1</v>
      </c>
      <c r="EP24" s="8">
        <f t="shared" si="21"/>
        <v>5</v>
      </c>
      <c r="EQ24" s="181">
        <f>IFERROR(VLOOKUP(I24,CEI_012018!$A$1:$U$509,9,FALSE),0)</f>
        <v>0</v>
      </c>
      <c r="ER24" s="181">
        <f>IFERROR(VLOOKUP(I24,CEI_022018!$A$1:$U$509,9,FALSE),0)</f>
        <v>0</v>
      </c>
      <c r="ES24" s="181">
        <f>IFERROR(VLOOKUP(I24,CEI_032018!$A$1:$U$509,9,FALSE),0)</f>
        <v>0</v>
      </c>
      <c r="ET24" s="181">
        <f>IFERROR(VLOOKUP(I24,CEI_042018!$A$1:$U$491,9,FALSE),0)</f>
        <v>0</v>
      </c>
      <c r="EU24" s="181">
        <f>IFERROR(VLOOKUP(I24,CEI_052018!$A$1:$U$489,9,FALSE),0)</f>
        <v>0</v>
      </c>
      <c r="EV24" s="181">
        <f>IFERROR(VLOOKUP(I24,CEI_062018!$A$1:$U$489,9,FALSE),0)</f>
        <v>0</v>
      </c>
      <c r="EW24" s="181">
        <f>IFERROR(VLOOKUP(I24,CEI_072018!$A$1:$U$489,9,FALSE),0)</f>
        <v>0</v>
      </c>
      <c r="EX24" s="181">
        <f>IFERROR(VLOOKUP(I24,CEI_082018!$A$1:$U$489,9,FALSE),0)</f>
        <v>0</v>
      </c>
      <c r="EY24" s="181">
        <f>IFERROR(VLOOKUP(I24,CEI_092018!$A$1:$U$489,9,FALSE),0)</f>
        <v>0</v>
      </c>
      <c r="EZ24" s="181"/>
      <c r="FA24" s="181"/>
      <c r="FB24" s="181"/>
      <c r="FC24" s="181">
        <f>IFERROR(VLOOKUP(I24,CEI_092018!$A$1:$U$489,12,FALSE),0)</f>
        <v>21.861900329589844</v>
      </c>
      <c r="FD24" s="181">
        <f t="shared" si="14"/>
        <v>21.861900329589844</v>
      </c>
      <c r="FE24" s="181">
        <f t="shared" si="15"/>
        <v>0.13809967041015625</v>
      </c>
      <c r="FF24"/>
      <c r="FG24"/>
      <c r="FH24"/>
      <c r="FI24"/>
      <c r="FJ24"/>
      <c r="FK24"/>
      <c r="FL24"/>
      <c r="FM24"/>
      <c r="FN24"/>
      <c r="FO24"/>
      <c r="FP24"/>
      <c r="FQ24"/>
      <c r="FR24"/>
      <c r="FS24"/>
      <c r="FT24"/>
      <c r="FU24"/>
      <c r="FV24"/>
      <c r="FW24"/>
      <c r="FX24"/>
      <c r="FY24"/>
      <c r="FZ24"/>
      <c r="GA24"/>
      <c r="GB24"/>
      <c r="GC24"/>
    </row>
    <row r="25" spans="1:185" ht="12.95" customHeight="1" x14ac:dyDescent="0.25">
      <c r="A25" s="202"/>
      <c r="B25" s="22" t="s">
        <v>54</v>
      </c>
      <c r="C25" s="34" t="s">
        <v>32</v>
      </c>
      <c r="D25" s="22" t="s">
        <v>1059</v>
      </c>
      <c r="E25" s="25" t="s">
        <v>1063</v>
      </c>
      <c r="F25" s="25" t="s">
        <v>1832</v>
      </c>
      <c r="G25" s="25" t="s">
        <v>1833</v>
      </c>
      <c r="H25" s="22" t="s">
        <v>65</v>
      </c>
      <c r="I25" s="423" t="s">
        <v>1793</v>
      </c>
      <c r="J25" s="37" t="s">
        <v>59</v>
      </c>
      <c r="K25" s="23" t="s">
        <v>845</v>
      </c>
      <c r="L25" s="23"/>
      <c r="M25" s="23"/>
      <c r="N25" s="23" t="s">
        <v>1864</v>
      </c>
      <c r="O25" s="2">
        <v>0</v>
      </c>
      <c r="P25" s="2">
        <v>0</v>
      </c>
      <c r="Q25" s="2">
        <v>420</v>
      </c>
      <c r="R25" s="2">
        <v>0</v>
      </c>
      <c r="S25" s="2">
        <v>0</v>
      </c>
      <c r="T25" s="116">
        <f t="shared" si="0"/>
        <v>420</v>
      </c>
      <c r="U25" s="324">
        <v>0</v>
      </c>
      <c r="V25" s="324">
        <v>0</v>
      </c>
      <c r="W25" s="324">
        <v>0</v>
      </c>
      <c r="X25" s="324">
        <v>0</v>
      </c>
      <c r="Y25" s="324">
        <v>0</v>
      </c>
      <c r="Z25" s="324">
        <v>0</v>
      </c>
      <c r="AA25" s="324">
        <v>0</v>
      </c>
      <c r="AB25" s="324">
        <v>0</v>
      </c>
      <c r="AC25" s="324">
        <v>0</v>
      </c>
      <c r="AD25" s="324">
        <v>0</v>
      </c>
      <c r="AE25" s="324">
        <v>0</v>
      </c>
      <c r="AF25" s="324">
        <v>0</v>
      </c>
      <c r="AG25" s="140">
        <f t="shared" si="1"/>
        <v>0</v>
      </c>
      <c r="AH25" s="324">
        <v>0</v>
      </c>
      <c r="AI25" s="324">
        <v>0</v>
      </c>
      <c r="AJ25" s="324">
        <v>0</v>
      </c>
      <c r="AK25" s="324">
        <v>0</v>
      </c>
      <c r="AL25" s="324">
        <v>0</v>
      </c>
      <c r="AM25" s="324">
        <v>480</v>
      </c>
      <c r="AN25" s="324">
        <v>0</v>
      </c>
      <c r="AO25" s="324">
        <v>0</v>
      </c>
      <c r="AP25" s="324">
        <v>0</v>
      </c>
      <c r="AQ25" s="324">
        <v>0</v>
      </c>
      <c r="AR25" s="324">
        <v>0</v>
      </c>
      <c r="AS25" s="324">
        <v>0</v>
      </c>
      <c r="AT25" s="140">
        <f t="shared" si="2"/>
        <v>480</v>
      </c>
      <c r="AU25" s="324">
        <v>0</v>
      </c>
      <c r="AV25" s="324">
        <v>0</v>
      </c>
      <c r="AW25" s="324">
        <v>0</v>
      </c>
      <c r="AX25" s="324">
        <v>0</v>
      </c>
      <c r="AY25" s="324">
        <v>0</v>
      </c>
      <c r="AZ25" s="324">
        <v>0</v>
      </c>
      <c r="BA25" s="324">
        <v>0</v>
      </c>
      <c r="BB25" s="324">
        <v>0</v>
      </c>
      <c r="BC25" s="324">
        <v>0</v>
      </c>
      <c r="BD25" s="324">
        <v>0</v>
      </c>
      <c r="BE25" s="324">
        <v>0</v>
      </c>
      <c r="BF25" s="324">
        <v>0</v>
      </c>
      <c r="BG25" s="140">
        <f t="shared" si="3"/>
        <v>0</v>
      </c>
      <c r="BH25" s="324">
        <v>0</v>
      </c>
      <c r="BI25" s="324">
        <v>0</v>
      </c>
      <c r="BJ25" s="324">
        <v>0</v>
      </c>
      <c r="BK25" s="324">
        <v>0</v>
      </c>
      <c r="BL25" s="324">
        <v>0</v>
      </c>
      <c r="BM25" s="324">
        <v>0</v>
      </c>
      <c r="BN25" s="324">
        <v>0</v>
      </c>
      <c r="BO25" s="324">
        <v>0</v>
      </c>
      <c r="BP25" s="324">
        <v>0</v>
      </c>
      <c r="BQ25" s="324">
        <v>0</v>
      </c>
      <c r="BR25" s="324">
        <v>0</v>
      </c>
      <c r="BS25" s="324">
        <v>0</v>
      </c>
      <c r="BT25" s="140">
        <f t="shared" si="4"/>
        <v>0</v>
      </c>
      <c r="BU25" s="114">
        <f t="shared" si="5"/>
        <v>900</v>
      </c>
      <c r="BV25" s="372">
        <v>-1</v>
      </c>
      <c r="BW25" s="372">
        <v>-1</v>
      </c>
      <c r="BX25" s="372">
        <v>-1</v>
      </c>
      <c r="BY25" s="372">
        <v>-1</v>
      </c>
      <c r="BZ25" s="436">
        <f t="shared" si="22"/>
        <v>0</v>
      </c>
      <c r="CA25" s="428">
        <f>IFERROR((FD25/T25%),0)</f>
        <v>100</v>
      </c>
      <c r="CB25" s="7" t="s">
        <v>1702</v>
      </c>
      <c r="CC25" s="3">
        <v>0</v>
      </c>
      <c r="CD25" s="3">
        <v>0</v>
      </c>
      <c r="CE25" s="3">
        <v>0</v>
      </c>
      <c r="CF25" s="3">
        <v>0</v>
      </c>
      <c r="CG25" s="3">
        <v>0</v>
      </c>
      <c r="CH25" s="3">
        <v>0</v>
      </c>
      <c r="CI25" s="3">
        <v>0</v>
      </c>
      <c r="CJ25" s="3">
        <v>0</v>
      </c>
      <c r="CK25" s="3">
        <v>0</v>
      </c>
      <c r="CL25" s="3">
        <v>1</v>
      </c>
      <c r="CM25" s="3">
        <v>0</v>
      </c>
      <c r="CN25" s="3">
        <v>0</v>
      </c>
      <c r="CO25" s="4">
        <f t="shared" si="16"/>
        <v>1</v>
      </c>
      <c r="CP25" s="3">
        <v>0</v>
      </c>
      <c r="CQ25" s="3">
        <v>0</v>
      </c>
      <c r="CR25" s="3">
        <v>0</v>
      </c>
      <c r="CS25" s="3">
        <v>0</v>
      </c>
      <c r="CT25" s="3">
        <v>0</v>
      </c>
      <c r="CU25" s="3">
        <v>0</v>
      </c>
      <c r="CV25" s="3">
        <v>0</v>
      </c>
      <c r="CW25" s="3">
        <v>0</v>
      </c>
      <c r="CX25" s="3">
        <v>0</v>
      </c>
      <c r="CY25" s="3">
        <v>0</v>
      </c>
      <c r="CZ25" s="3">
        <v>0</v>
      </c>
      <c r="DA25" s="3">
        <v>0</v>
      </c>
      <c r="DB25" s="4">
        <f t="shared" si="17"/>
        <v>0</v>
      </c>
      <c r="DC25" s="3">
        <v>0</v>
      </c>
      <c r="DD25" s="3">
        <v>0</v>
      </c>
      <c r="DE25" s="3">
        <v>0</v>
      </c>
      <c r="DF25" s="3">
        <v>0</v>
      </c>
      <c r="DG25" s="3">
        <v>0</v>
      </c>
      <c r="DH25" s="3">
        <v>1</v>
      </c>
      <c r="DI25" s="3">
        <v>0</v>
      </c>
      <c r="DJ25" s="3">
        <v>0</v>
      </c>
      <c r="DK25" s="3">
        <v>0</v>
      </c>
      <c r="DL25" s="3">
        <v>0</v>
      </c>
      <c r="DM25" s="3">
        <v>0</v>
      </c>
      <c r="DN25" s="3">
        <v>0</v>
      </c>
      <c r="DO25" s="4">
        <f t="shared" si="18"/>
        <v>1</v>
      </c>
      <c r="DP25" s="3">
        <v>0</v>
      </c>
      <c r="DQ25" s="3">
        <v>0</v>
      </c>
      <c r="DR25" s="3">
        <v>0</v>
      </c>
      <c r="DS25" s="3">
        <v>0</v>
      </c>
      <c r="DT25" s="3">
        <v>0</v>
      </c>
      <c r="DU25" s="3">
        <v>0</v>
      </c>
      <c r="DV25" s="3">
        <v>0</v>
      </c>
      <c r="DW25" s="3">
        <v>0</v>
      </c>
      <c r="DX25" s="3">
        <v>0</v>
      </c>
      <c r="DY25" s="3">
        <v>0</v>
      </c>
      <c r="DZ25" s="3">
        <v>0</v>
      </c>
      <c r="EA25" s="3">
        <v>0</v>
      </c>
      <c r="EB25" s="4">
        <f t="shared" si="19"/>
        <v>0</v>
      </c>
      <c r="EC25" s="3">
        <v>0</v>
      </c>
      <c r="ED25" s="3">
        <v>0</v>
      </c>
      <c r="EE25" s="3">
        <v>0</v>
      </c>
      <c r="EF25" s="3">
        <v>0</v>
      </c>
      <c r="EG25" s="3">
        <v>0</v>
      </c>
      <c r="EH25" s="3">
        <v>0</v>
      </c>
      <c r="EI25" s="3">
        <v>0</v>
      </c>
      <c r="EJ25" s="3">
        <v>0</v>
      </c>
      <c r="EK25" s="3">
        <v>0</v>
      </c>
      <c r="EL25" s="3">
        <v>0</v>
      </c>
      <c r="EM25" s="3">
        <v>0</v>
      </c>
      <c r="EN25" s="3">
        <v>0</v>
      </c>
      <c r="EO25" s="4">
        <f t="shared" si="20"/>
        <v>0</v>
      </c>
      <c r="EP25" s="8">
        <f t="shared" si="21"/>
        <v>2</v>
      </c>
      <c r="EQ25" s="181">
        <f>IFERROR(VLOOKUP(I25,CEI_012018!$A$1:$U$509,9,FALSE),0)</f>
        <v>0</v>
      </c>
      <c r="ER25" s="181">
        <f>IFERROR(VLOOKUP(I25,CEI_022018!$A$1:$U$509,9,FALSE),0)</f>
        <v>0</v>
      </c>
      <c r="ES25" s="181">
        <f>IFERROR(VLOOKUP(I25,CEI_032018!$A$1:$U$509,9,FALSE),0)</f>
        <v>0</v>
      </c>
      <c r="ET25" s="181">
        <f>IFERROR(VLOOKUP(I25,CEI_042018!$A$1:$U$491,9,FALSE),0)</f>
        <v>0</v>
      </c>
      <c r="EU25" s="181">
        <f>IFERROR(VLOOKUP(I25,CEI_052018!$A$1:$U$489,9,FALSE),0)</f>
        <v>0</v>
      </c>
      <c r="EV25" s="181">
        <f>IFERROR(VLOOKUP(I25,CEI_062018!$A$1:$U$489,9,FALSE),0)</f>
        <v>0</v>
      </c>
      <c r="EW25" s="181">
        <f>IFERROR(VLOOKUP(I25,CEI_072018!$A$1:$U$489,9,FALSE),0)</f>
        <v>0</v>
      </c>
      <c r="EX25" s="181">
        <f>IFERROR(VLOOKUP(I25,CEI_082018!$A$1:$U$489,9,FALSE),0)</f>
        <v>0</v>
      </c>
      <c r="EY25" s="181">
        <f>IFERROR(VLOOKUP(I25,CEI_092018!$A$1:$U$489,9,FALSE),0)</f>
        <v>0</v>
      </c>
      <c r="EZ25" s="181"/>
      <c r="FA25" s="181"/>
      <c r="FB25" s="181"/>
      <c r="FC25" s="181">
        <f>IFERROR(VLOOKUP(I25,CEI_092018!$A$1:$U$489,12,FALSE),0)</f>
        <v>420</v>
      </c>
      <c r="FD25" s="181">
        <f t="shared" si="14"/>
        <v>420</v>
      </c>
      <c r="FE25" s="181">
        <f t="shared" si="15"/>
        <v>0</v>
      </c>
      <c r="FF25"/>
      <c r="FG25"/>
      <c r="FH25"/>
      <c r="FI25"/>
      <c r="FJ25"/>
      <c r="FK25"/>
      <c r="FL25"/>
      <c r="FM25"/>
      <c r="FN25"/>
      <c r="FO25"/>
      <c r="FP25"/>
      <c r="FQ25"/>
      <c r="FR25"/>
      <c r="FS25"/>
      <c r="FT25"/>
      <c r="FU25"/>
      <c r="FV25"/>
      <c r="FW25"/>
      <c r="FX25"/>
      <c r="FY25"/>
      <c r="FZ25"/>
      <c r="GA25"/>
      <c r="GB25"/>
      <c r="GC25"/>
    </row>
    <row r="26" spans="1:185" ht="12.95" customHeight="1" x14ac:dyDescent="0.25">
      <c r="A26" s="202"/>
      <c r="B26" s="22" t="s">
        <v>54</v>
      </c>
      <c r="C26" s="34" t="s">
        <v>32</v>
      </c>
      <c r="D26" s="22" t="s">
        <v>1059</v>
      </c>
      <c r="E26" s="25" t="s">
        <v>1063</v>
      </c>
      <c r="F26" s="25" t="s">
        <v>1059</v>
      </c>
      <c r="G26" s="25" t="s">
        <v>1063</v>
      </c>
      <c r="H26" s="22" t="s">
        <v>56</v>
      </c>
      <c r="I26" s="423" t="s">
        <v>1117</v>
      </c>
      <c r="J26" s="37" t="s">
        <v>1211</v>
      </c>
      <c r="K26" s="23" t="s">
        <v>1716</v>
      </c>
      <c r="L26" s="23" t="s">
        <v>402</v>
      </c>
      <c r="M26" s="23" t="s">
        <v>799</v>
      </c>
      <c r="N26" s="23" t="s">
        <v>1869</v>
      </c>
      <c r="O26" s="2">
        <v>119.11103057861328</v>
      </c>
      <c r="P26" s="2">
        <v>0</v>
      </c>
      <c r="Q26" s="2">
        <v>0</v>
      </c>
      <c r="R26" s="2">
        <v>0</v>
      </c>
      <c r="S26" s="2">
        <v>0</v>
      </c>
      <c r="T26" s="116">
        <f t="shared" si="0"/>
        <v>119.11103057861328</v>
      </c>
      <c r="U26" s="324">
        <v>0</v>
      </c>
      <c r="V26" s="324">
        <v>125</v>
      </c>
      <c r="W26" s="324">
        <v>0</v>
      </c>
      <c r="X26" s="324">
        <v>0</v>
      </c>
      <c r="Y26" s="324">
        <v>0</v>
      </c>
      <c r="Z26" s="324">
        <v>0</v>
      </c>
      <c r="AA26" s="324">
        <v>0</v>
      </c>
      <c r="AB26" s="324">
        <v>0</v>
      </c>
      <c r="AC26" s="324">
        <v>0</v>
      </c>
      <c r="AD26" s="324">
        <v>0</v>
      </c>
      <c r="AE26" s="324">
        <v>0</v>
      </c>
      <c r="AF26" s="324">
        <v>0</v>
      </c>
      <c r="AG26" s="140">
        <f t="shared" si="1"/>
        <v>125</v>
      </c>
      <c r="AH26" s="324">
        <v>0</v>
      </c>
      <c r="AI26" s="324">
        <v>180</v>
      </c>
      <c r="AJ26" s="324">
        <v>0</v>
      </c>
      <c r="AK26" s="324">
        <v>0</v>
      </c>
      <c r="AL26" s="324">
        <v>0</v>
      </c>
      <c r="AM26" s="324">
        <v>0</v>
      </c>
      <c r="AN26" s="324">
        <v>0</v>
      </c>
      <c r="AO26" s="324">
        <v>0</v>
      </c>
      <c r="AP26" s="324">
        <v>0</v>
      </c>
      <c r="AQ26" s="324">
        <v>0</v>
      </c>
      <c r="AR26" s="324">
        <v>0</v>
      </c>
      <c r="AS26" s="324">
        <v>0</v>
      </c>
      <c r="AT26" s="140">
        <f t="shared" si="2"/>
        <v>180</v>
      </c>
      <c r="AU26" s="324">
        <v>0</v>
      </c>
      <c r="AV26" s="324">
        <v>210</v>
      </c>
      <c r="AW26" s="324">
        <v>0</v>
      </c>
      <c r="AX26" s="324">
        <v>0</v>
      </c>
      <c r="AY26" s="324">
        <v>0</v>
      </c>
      <c r="AZ26" s="324">
        <v>0</v>
      </c>
      <c r="BA26" s="324">
        <v>0</v>
      </c>
      <c r="BB26" s="324">
        <v>0</v>
      </c>
      <c r="BC26" s="324">
        <v>0</v>
      </c>
      <c r="BD26" s="324">
        <v>0</v>
      </c>
      <c r="BE26" s="324">
        <v>0</v>
      </c>
      <c r="BF26" s="324">
        <v>0</v>
      </c>
      <c r="BG26" s="140">
        <f t="shared" si="3"/>
        <v>210</v>
      </c>
      <c r="BH26" s="324">
        <v>0</v>
      </c>
      <c r="BI26" s="324">
        <v>210</v>
      </c>
      <c r="BJ26" s="324">
        <v>0</v>
      </c>
      <c r="BK26" s="324">
        <v>0</v>
      </c>
      <c r="BL26" s="324">
        <v>0</v>
      </c>
      <c r="BM26" s="324">
        <v>0</v>
      </c>
      <c r="BN26" s="324">
        <v>0</v>
      </c>
      <c r="BO26" s="324">
        <v>0</v>
      </c>
      <c r="BP26" s="324">
        <v>0</v>
      </c>
      <c r="BQ26" s="324">
        <v>0</v>
      </c>
      <c r="BR26" s="324">
        <v>0</v>
      </c>
      <c r="BS26" s="324">
        <v>0</v>
      </c>
      <c r="BT26" s="140">
        <f t="shared" si="4"/>
        <v>210</v>
      </c>
      <c r="BU26" s="114">
        <f t="shared" si="5"/>
        <v>844.11103057861328</v>
      </c>
      <c r="BV26" s="372">
        <v>1</v>
      </c>
      <c r="BW26" s="372">
        <v>1</v>
      </c>
      <c r="BX26" s="372">
        <v>1</v>
      </c>
      <c r="BY26" s="372">
        <v>1</v>
      </c>
      <c r="BZ26" s="436">
        <f t="shared" si="22"/>
        <v>100</v>
      </c>
      <c r="CA26" s="428">
        <f>IFERROR((FD26/T26%),0)</f>
        <v>100</v>
      </c>
      <c r="CB26" s="7" t="s">
        <v>1701</v>
      </c>
      <c r="CC26" s="3">
        <v>0</v>
      </c>
      <c r="CD26" s="3">
        <v>0</v>
      </c>
      <c r="CE26" s="3">
        <v>1</v>
      </c>
      <c r="CF26" s="3">
        <v>0</v>
      </c>
      <c r="CG26" s="3">
        <v>0</v>
      </c>
      <c r="CH26" s="3">
        <v>0</v>
      </c>
      <c r="CI26" s="3">
        <v>0</v>
      </c>
      <c r="CJ26" s="3">
        <v>0</v>
      </c>
      <c r="CK26" s="3">
        <v>0</v>
      </c>
      <c r="CL26" s="3">
        <v>0</v>
      </c>
      <c r="CM26" s="3">
        <v>0</v>
      </c>
      <c r="CN26" s="3">
        <v>0</v>
      </c>
      <c r="CO26" s="4">
        <f t="shared" si="16"/>
        <v>1</v>
      </c>
      <c r="CP26" s="3">
        <v>0</v>
      </c>
      <c r="CQ26" s="3">
        <v>1</v>
      </c>
      <c r="CR26" s="3">
        <v>0</v>
      </c>
      <c r="CS26" s="3">
        <v>0</v>
      </c>
      <c r="CT26" s="3">
        <v>0</v>
      </c>
      <c r="CU26" s="3">
        <v>0</v>
      </c>
      <c r="CV26" s="3">
        <v>0</v>
      </c>
      <c r="CW26" s="3">
        <v>0</v>
      </c>
      <c r="CX26" s="3">
        <v>0</v>
      </c>
      <c r="CY26" s="3">
        <v>0</v>
      </c>
      <c r="CZ26" s="3">
        <v>0</v>
      </c>
      <c r="DA26" s="3">
        <v>0</v>
      </c>
      <c r="DB26" s="4">
        <f t="shared" si="17"/>
        <v>1</v>
      </c>
      <c r="DC26" s="3">
        <v>0</v>
      </c>
      <c r="DD26" s="3">
        <v>1</v>
      </c>
      <c r="DE26" s="3">
        <v>0</v>
      </c>
      <c r="DF26" s="3">
        <v>0</v>
      </c>
      <c r="DG26" s="3">
        <v>0</v>
      </c>
      <c r="DH26" s="3">
        <v>0</v>
      </c>
      <c r="DI26" s="3">
        <v>0</v>
      </c>
      <c r="DJ26" s="3">
        <v>0</v>
      </c>
      <c r="DK26" s="3">
        <v>0</v>
      </c>
      <c r="DL26" s="3">
        <v>0</v>
      </c>
      <c r="DM26" s="3">
        <v>0</v>
      </c>
      <c r="DN26" s="3">
        <v>0</v>
      </c>
      <c r="DO26" s="4">
        <f t="shared" si="18"/>
        <v>1</v>
      </c>
      <c r="DP26" s="3">
        <v>0</v>
      </c>
      <c r="DQ26" s="3">
        <v>1</v>
      </c>
      <c r="DR26" s="3">
        <v>0</v>
      </c>
      <c r="DS26" s="3">
        <v>0</v>
      </c>
      <c r="DT26" s="3">
        <v>0</v>
      </c>
      <c r="DU26" s="3">
        <v>0</v>
      </c>
      <c r="DV26" s="3">
        <v>0</v>
      </c>
      <c r="DW26" s="3">
        <v>0</v>
      </c>
      <c r="DX26" s="3">
        <v>0</v>
      </c>
      <c r="DY26" s="3">
        <v>0</v>
      </c>
      <c r="DZ26" s="3">
        <v>0</v>
      </c>
      <c r="EA26" s="3">
        <v>0</v>
      </c>
      <c r="EB26" s="4">
        <f t="shared" si="19"/>
        <v>1</v>
      </c>
      <c r="EC26" s="3">
        <v>0</v>
      </c>
      <c r="ED26" s="3">
        <v>1</v>
      </c>
      <c r="EE26" s="3">
        <v>0</v>
      </c>
      <c r="EF26" s="3">
        <v>0</v>
      </c>
      <c r="EG26" s="3">
        <v>0</v>
      </c>
      <c r="EH26" s="3">
        <v>0</v>
      </c>
      <c r="EI26" s="3">
        <v>0</v>
      </c>
      <c r="EJ26" s="3">
        <v>0</v>
      </c>
      <c r="EK26" s="3">
        <v>0</v>
      </c>
      <c r="EL26" s="3">
        <v>0</v>
      </c>
      <c r="EM26" s="3">
        <v>0</v>
      </c>
      <c r="EN26" s="3">
        <v>0</v>
      </c>
      <c r="EO26" s="4">
        <f t="shared" si="20"/>
        <v>1</v>
      </c>
      <c r="EP26" s="8">
        <f t="shared" si="21"/>
        <v>5</v>
      </c>
      <c r="EQ26" s="181">
        <f>IFERROR(VLOOKUP(I26,CEI_012018!$A$1:$U$509,9,FALSE),0)</f>
        <v>0</v>
      </c>
      <c r="ER26" s="181">
        <f>IFERROR(VLOOKUP(I26,CEI_022018!$A$1:$U$509,9,FALSE),0)</f>
        <v>0</v>
      </c>
      <c r="ES26" s="181">
        <f>IFERROR(VLOOKUP(I26,CEI_032018!$A$1:$U$509,9,FALSE),0)</f>
        <v>119.11103057861328</v>
      </c>
      <c r="ET26" s="181">
        <f>IFERROR(VLOOKUP(I26,CEI_042018!$A$1:$U$491,9,FALSE),0)</f>
        <v>119.11103057861328</v>
      </c>
      <c r="EU26" s="181">
        <f>IFERROR(VLOOKUP(I26,CEI_052018!$A$1:$U$489,9,FALSE),0)</f>
        <v>119.11103057861328</v>
      </c>
      <c r="EV26" s="181">
        <f>IFERROR(VLOOKUP(I26,CEI_062018!$A$1:$U$489,9,FALSE),0)</f>
        <v>119.11103057861328</v>
      </c>
      <c r="EW26" s="181">
        <f>IFERROR(VLOOKUP(I26,CEI_072018!$A$1:$U$489,9,FALSE),0)</f>
        <v>119.11103057861328</v>
      </c>
      <c r="EX26" s="181">
        <f>IFERROR(VLOOKUP(I26,CEI_082018!$A$1:$U$489,9,FALSE),0)</f>
        <v>119.11103057861328</v>
      </c>
      <c r="EY26" s="181">
        <f>IFERROR(VLOOKUP(I26,CEI_092018!$A$1:$U$489,9,FALSE),0)</f>
        <v>119.11103057861328</v>
      </c>
      <c r="EZ26" s="181"/>
      <c r="FA26" s="181"/>
      <c r="FB26" s="181"/>
      <c r="FC26" s="181">
        <f>IFERROR(VLOOKUP(I26,CEI_092018!$A$1:$U$489,12,FALSE),0)</f>
        <v>0</v>
      </c>
      <c r="FD26" s="181">
        <f t="shared" si="14"/>
        <v>119.11103057861328</v>
      </c>
      <c r="FE26" s="181">
        <f t="shared" si="15"/>
        <v>0</v>
      </c>
      <c r="FF26"/>
      <c r="FG26"/>
      <c r="FH26"/>
      <c r="FI26"/>
      <c r="FJ26"/>
      <c r="FK26"/>
      <c r="FL26"/>
      <c r="FM26"/>
      <c r="FN26"/>
      <c r="FO26"/>
      <c r="FP26"/>
      <c r="FQ26"/>
      <c r="FR26"/>
      <c r="FS26"/>
      <c r="FT26"/>
      <c r="FU26"/>
      <c r="FV26"/>
      <c r="FW26"/>
      <c r="FX26"/>
      <c r="FY26"/>
      <c r="FZ26"/>
      <c r="GA26"/>
      <c r="GB26"/>
      <c r="GC26"/>
    </row>
    <row r="27" spans="1:185" ht="12.95" customHeight="1" x14ac:dyDescent="0.25">
      <c r="A27" s="202"/>
      <c r="B27" s="22" t="s">
        <v>54</v>
      </c>
      <c r="C27" s="34" t="s">
        <v>32</v>
      </c>
      <c r="D27" s="22" t="s">
        <v>1059</v>
      </c>
      <c r="E27" s="25" t="s">
        <v>1063</v>
      </c>
      <c r="F27" s="25" t="s">
        <v>1059</v>
      </c>
      <c r="G27" s="25" t="s">
        <v>1063</v>
      </c>
      <c r="H27" s="22" t="s">
        <v>56</v>
      </c>
      <c r="I27" s="423" t="s">
        <v>565</v>
      </c>
      <c r="J27" s="37" t="s">
        <v>59</v>
      </c>
      <c r="K27" s="23" t="s">
        <v>1714</v>
      </c>
      <c r="L27" s="23" t="s">
        <v>385</v>
      </c>
      <c r="M27" s="23" t="s">
        <v>386</v>
      </c>
      <c r="N27" s="23" t="s">
        <v>59</v>
      </c>
      <c r="O27" s="2">
        <v>0</v>
      </c>
      <c r="P27" s="2">
        <v>0</v>
      </c>
      <c r="Q27" s="2">
        <v>0</v>
      </c>
      <c r="R27" s="2">
        <v>0</v>
      </c>
      <c r="S27" s="2">
        <v>0</v>
      </c>
      <c r="T27" s="116">
        <f t="shared" si="0"/>
        <v>0</v>
      </c>
      <c r="U27" s="324">
        <v>0</v>
      </c>
      <c r="V27" s="324">
        <v>0</v>
      </c>
      <c r="W27" s="324">
        <v>0</v>
      </c>
      <c r="X27" s="324">
        <v>0</v>
      </c>
      <c r="Y27" s="324">
        <v>0</v>
      </c>
      <c r="Z27" s="324">
        <v>0</v>
      </c>
      <c r="AA27" s="324">
        <v>0</v>
      </c>
      <c r="AB27" s="324">
        <v>0</v>
      </c>
      <c r="AC27" s="324">
        <v>0</v>
      </c>
      <c r="AD27" s="324">
        <v>0</v>
      </c>
      <c r="AE27" s="324">
        <v>0</v>
      </c>
      <c r="AF27" s="324">
        <v>0</v>
      </c>
      <c r="AG27" s="140">
        <f t="shared" si="1"/>
        <v>0</v>
      </c>
      <c r="AH27" s="324">
        <v>0</v>
      </c>
      <c r="AI27" s="324">
        <v>335</v>
      </c>
      <c r="AJ27" s="324">
        <v>0</v>
      </c>
      <c r="AK27" s="324">
        <v>0</v>
      </c>
      <c r="AL27" s="324">
        <v>0</v>
      </c>
      <c r="AM27" s="324">
        <v>0</v>
      </c>
      <c r="AN27" s="324">
        <v>0</v>
      </c>
      <c r="AO27" s="324">
        <v>0</v>
      </c>
      <c r="AP27" s="324">
        <v>0</v>
      </c>
      <c r="AQ27" s="324">
        <v>0</v>
      </c>
      <c r="AR27" s="324">
        <v>0</v>
      </c>
      <c r="AS27" s="324">
        <v>0</v>
      </c>
      <c r="AT27" s="140">
        <f t="shared" si="2"/>
        <v>335</v>
      </c>
      <c r="AU27" s="324">
        <v>0</v>
      </c>
      <c r="AV27" s="324">
        <v>335</v>
      </c>
      <c r="AW27" s="324">
        <v>0</v>
      </c>
      <c r="AX27" s="324">
        <v>0</v>
      </c>
      <c r="AY27" s="324">
        <v>0</v>
      </c>
      <c r="AZ27" s="324">
        <v>0</v>
      </c>
      <c r="BA27" s="324">
        <v>0</v>
      </c>
      <c r="BB27" s="324">
        <v>0</v>
      </c>
      <c r="BC27" s="324">
        <v>0</v>
      </c>
      <c r="BD27" s="324">
        <v>0</v>
      </c>
      <c r="BE27" s="324">
        <v>0</v>
      </c>
      <c r="BF27" s="324">
        <v>0</v>
      </c>
      <c r="BG27" s="140">
        <f t="shared" si="3"/>
        <v>335</v>
      </c>
      <c r="BH27" s="324">
        <v>0</v>
      </c>
      <c r="BI27" s="324">
        <v>0</v>
      </c>
      <c r="BJ27" s="324">
        <v>0</v>
      </c>
      <c r="BK27" s="324">
        <v>0</v>
      </c>
      <c r="BL27" s="324">
        <v>0</v>
      </c>
      <c r="BM27" s="324">
        <v>0</v>
      </c>
      <c r="BN27" s="324">
        <v>0</v>
      </c>
      <c r="BO27" s="324">
        <v>0</v>
      </c>
      <c r="BP27" s="324">
        <v>0</v>
      </c>
      <c r="BQ27" s="324">
        <v>0</v>
      </c>
      <c r="BR27" s="324">
        <v>0</v>
      </c>
      <c r="BS27" s="324">
        <v>0</v>
      </c>
      <c r="BT27" s="140">
        <f t="shared" si="4"/>
        <v>0</v>
      </c>
      <c r="BU27" s="114">
        <f t="shared" si="5"/>
        <v>670</v>
      </c>
      <c r="BV27" s="432"/>
      <c r="BW27" s="432"/>
      <c r="BX27" s="432"/>
      <c r="BY27" s="432"/>
      <c r="BZ27" s="433"/>
      <c r="CA27" s="434"/>
      <c r="CB27" s="7" t="s">
        <v>1701</v>
      </c>
      <c r="CC27" s="3">
        <v>0</v>
      </c>
      <c r="CD27" s="3">
        <v>0</v>
      </c>
      <c r="CE27" s="3">
        <v>0</v>
      </c>
      <c r="CF27" s="3">
        <v>0</v>
      </c>
      <c r="CG27" s="3">
        <v>0</v>
      </c>
      <c r="CH27" s="3">
        <v>0</v>
      </c>
      <c r="CI27" s="3">
        <v>0</v>
      </c>
      <c r="CJ27" s="3">
        <v>0</v>
      </c>
      <c r="CK27" s="3">
        <v>0</v>
      </c>
      <c r="CL27" s="3">
        <v>0</v>
      </c>
      <c r="CM27" s="3">
        <v>0</v>
      </c>
      <c r="CN27" s="3">
        <v>0</v>
      </c>
      <c r="CO27" s="4">
        <f t="shared" si="16"/>
        <v>0</v>
      </c>
      <c r="CP27" s="3">
        <v>0</v>
      </c>
      <c r="CQ27" s="3">
        <v>0</v>
      </c>
      <c r="CR27" s="3">
        <v>0</v>
      </c>
      <c r="CS27" s="3">
        <v>0</v>
      </c>
      <c r="CT27" s="3">
        <v>0</v>
      </c>
      <c r="CU27" s="3">
        <v>0</v>
      </c>
      <c r="CV27" s="3">
        <v>0</v>
      </c>
      <c r="CW27" s="3">
        <v>0</v>
      </c>
      <c r="CX27" s="3">
        <v>0</v>
      </c>
      <c r="CY27" s="3">
        <v>0</v>
      </c>
      <c r="CZ27" s="3">
        <v>0</v>
      </c>
      <c r="DA27" s="3">
        <v>0</v>
      </c>
      <c r="DB27" s="4">
        <f t="shared" si="17"/>
        <v>0</v>
      </c>
      <c r="DC27" s="3">
        <v>0</v>
      </c>
      <c r="DD27" s="3">
        <v>1</v>
      </c>
      <c r="DE27" s="3">
        <v>0</v>
      </c>
      <c r="DF27" s="3">
        <v>0</v>
      </c>
      <c r="DG27" s="3">
        <v>0</v>
      </c>
      <c r="DH27" s="3">
        <v>0</v>
      </c>
      <c r="DI27" s="3">
        <v>0</v>
      </c>
      <c r="DJ27" s="3">
        <v>0</v>
      </c>
      <c r="DK27" s="3">
        <v>0</v>
      </c>
      <c r="DL27" s="3">
        <v>0</v>
      </c>
      <c r="DM27" s="3">
        <v>0</v>
      </c>
      <c r="DN27" s="3">
        <v>0</v>
      </c>
      <c r="DO27" s="4">
        <f t="shared" si="18"/>
        <v>1</v>
      </c>
      <c r="DP27" s="3">
        <v>0</v>
      </c>
      <c r="DQ27" s="3">
        <v>1</v>
      </c>
      <c r="DR27" s="3">
        <v>0</v>
      </c>
      <c r="DS27" s="3">
        <v>0</v>
      </c>
      <c r="DT27" s="3">
        <v>0</v>
      </c>
      <c r="DU27" s="3">
        <v>0</v>
      </c>
      <c r="DV27" s="3">
        <v>0</v>
      </c>
      <c r="DW27" s="3">
        <v>0</v>
      </c>
      <c r="DX27" s="3">
        <v>0</v>
      </c>
      <c r="DY27" s="3">
        <v>0</v>
      </c>
      <c r="DZ27" s="3">
        <v>0</v>
      </c>
      <c r="EA27" s="3">
        <v>0</v>
      </c>
      <c r="EB27" s="4">
        <f t="shared" si="19"/>
        <v>1</v>
      </c>
      <c r="EC27" s="3">
        <v>0</v>
      </c>
      <c r="ED27" s="3">
        <v>0</v>
      </c>
      <c r="EE27" s="3">
        <v>0</v>
      </c>
      <c r="EF27" s="3">
        <v>0</v>
      </c>
      <c r="EG27" s="3">
        <v>0</v>
      </c>
      <c r="EH27" s="3">
        <v>0</v>
      </c>
      <c r="EI27" s="3">
        <v>0</v>
      </c>
      <c r="EJ27" s="3">
        <v>0</v>
      </c>
      <c r="EK27" s="3">
        <v>0</v>
      </c>
      <c r="EL27" s="3">
        <v>0</v>
      </c>
      <c r="EM27" s="3">
        <v>0</v>
      </c>
      <c r="EN27" s="3">
        <v>0</v>
      </c>
      <c r="EO27" s="4">
        <f t="shared" si="20"/>
        <v>0</v>
      </c>
      <c r="EP27" s="8">
        <f t="shared" si="21"/>
        <v>2</v>
      </c>
      <c r="EQ27" s="181">
        <f>IFERROR(VLOOKUP(I27,CEI_012018!$A$1:$U$509,9,FALSE),0)</f>
        <v>0</v>
      </c>
      <c r="ER27" s="181">
        <f>IFERROR(VLOOKUP(I27,CEI_022018!$A$1:$U$509,9,FALSE),0)</f>
        <v>0</v>
      </c>
      <c r="ES27" s="181">
        <f>IFERROR(VLOOKUP(I27,CEI_032018!$A$1:$U$509,9,FALSE),0)</f>
        <v>0</v>
      </c>
      <c r="ET27" s="181">
        <f>IFERROR(VLOOKUP(I27,CEI_042018!$A$1:$U$491,9,FALSE),0)</f>
        <v>0</v>
      </c>
      <c r="EU27" s="181">
        <f>IFERROR(VLOOKUP(I27,CEI_052018!$A$1:$U$489,9,FALSE),0)</f>
        <v>0</v>
      </c>
      <c r="EV27" s="181">
        <f>IFERROR(VLOOKUP(I27,CEI_062018!$A$1:$U$489,9,FALSE),0)</f>
        <v>0</v>
      </c>
      <c r="EW27" s="181">
        <f>IFERROR(VLOOKUP(I27,CEI_072018!$A$1:$U$489,9,FALSE),0)</f>
        <v>0</v>
      </c>
      <c r="EX27" s="181">
        <f>IFERROR(VLOOKUP(I27,CEI_082018!$A$1:$U$489,9,FALSE),0)</f>
        <v>0</v>
      </c>
      <c r="EY27" s="181">
        <f>IFERROR(VLOOKUP(I27,CEI_092018!$A$1:$U$489,9,FALSE),0)</f>
        <v>0</v>
      </c>
      <c r="EZ27" s="181"/>
      <c r="FA27" s="181"/>
      <c r="FB27" s="181"/>
      <c r="FC27" s="181">
        <f>IFERROR(VLOOKUP(I27,CEI_092018!$A$1:$U$489,12,FALSE),0)</f>
        <v>0</v>
      </c>
      <c r="FD27" s="181">
        <f t="shared" si="14"/>
        <v>0</v>
      </c>
      <c r="FE27" s="181">
        <f t="shared" si="15"/>
        <v>0</v>
      </c>
      <c r="FF27"/>
      <c r="FG27"/>
      <c r="FH27"/>
      <c r="FI27"/>
      <c r="FJ27"/>
      <c r="FK27"/>
      <c r="FL27"/>
      <c r="FM27"/>
      <c r="FN27"/>
      <c r="FO27"/>
      <c r="FP27"/>
      <c r="FQ27"/>
      <c r="FR27"/>
      <c r="FS27"/>
      <c r="FT27"/>
      <c r="FU27"/>
      <c r="FV27"/>
      <c r="FW27"/>
      <c r="FX27"/>
      <c r="FY27"/>
      <c r="FZ27"/>
      <c r="GA27"/>
      <c r="GB27"/>
      <c r="GC27"/>
    </row>
    <row r="28" spans="1:185" ht="12.95" customHeight="1" x14ac:dyDescent="0.25">
      <c r="A28" s="202"/>
      <c r="B28" s="22" t="s">
        <v>54</v>
      </c>
      <c r="C28" s="34" t="s">
        <v>32</v>
      </c>
      <c r="D28" s="22" t="s">
        <v>1059</v>
      </c>
      <c r="E28" s="25" t="s">
        <v>1063</v>
      </c>
      <c r="F28" s="25" t="s">
        <v>209</v>
      </c>
      <c r="G28" s="25" t="s">
        <v>1836</v>
      </c>
      <c r="H28" s="22" t="s">
        <v>56</v>
      </c>
      <c r="I28" s="423" t="s">
        <v>1639</v>
      </c>
      <c r="J28" s="37" t="s">
        <v>1640</v>
      </c>
      <c r="K28" s="23" t="s">
        <v>1031</v>
      </c>
      <c r="L28" s="23" t="s">
        <v>1706</v>
      </c>
      <c r="M28" s="23" t="s">
        <v>1707</v>
      </c>
      <c r="N28" s="23" t="s">
        <v>1866</v>
      </c>
      <c r="O28" s="2">
        <v>0</v>
      </c>
      <c r="P28" s="2">
        <v>318</v>
      </c>
      <c r="Q28" s="2">
        <v>0</v>
      </c>
      <c r="R28" s="2">
        <v>0</v>
      </c>
      <c r="S28" s="2">
        <v>0</v>
      </c>
      <c r="T28" s="116">
        <f t="shared" si="0"/>
        <v>318</v>
      </c>
      <c r="U28" s="324">
        <v>0</v>
      </c>
      <c r="V28" s="324">
        <v>188</v>
      </c>
      <c r="W28" s="324">
        <v>0</v>
      </c>
      <c r="X28" s="324">
        <v>0</v>
      </c>
      <c r="Y28" s="324">
        <v>0</v>
      </c>
      <c r="Z28" s="324">
        <v>0</v>
      </c>
      <c r="AA28" s="324">
        <v>0</v>
      </c>
      <c r="AB28" s="324">
        <v>0</v>
      </c>
      <c r="AC28" s="324">
        <v>0</v>
      </c>
      <c r="AD28" s="324">
        <v>0</v>
      </c>
      <c r="AE28" s="324">
        <v>0</v>
      </c>
      <c r="AF28" s="324">
        <v>0</v>
      </c>
      <c r="AG28" s="140">
        <f t="shared" si="1"/>
        <v>188</v>
      </c>
      <c r="AH28" s="324">
        <v>0</v>
      </c>
      <c r="AI28" s="324">
        <v>0</v>
      </c>
      <c r="AJ28" s="324">
        <v>0</v>
      </c>
      <c r="AK28" s="324">
        <v>0</v>
      </c>
      <c r="AL28" s="324">
        <v>0</v>
      </c>
      <c r="AM28" s="324">
        <v>0</v>
      </c>
      <c r="AN28" s="324">
        <v>0</v>
      </c>
      <c r="AO28" s="324">
        <v>0</v>
      </c>
      <c r="AP28" s="324">
        <v>0</v>
      </c>
      <c r="AQ28" s="324">
        <v>0</v>
      </c>
      <c r="AR28" s="324">
        <v>0</v>
      </c>
      <c r="AS28" s="324">
        <v>0</v>
      </c>
      <c r="AT28" s="140">
        <f t="shared" si="2"/>
        <v>0</v>
      </c>
      <c r="AU28" s="324">
        <v>0</v>
      </c>
      <c r="AV28" s="324">
        <v>0</v>
      </c>
      <c r="AW28" s="324">
        <v>0</v>
      </c>
      <c r="AX28" s="324">
        <v>0</v>
      </c>
      <c r="AY28" s="324">
        <v>0</v>
      </c>
      <c r="AZ28" s="324">
        <v>0</v>
      </c>
      <c r="BA28" s="324">
        <v>0</v>
      </c>
      <c r="BB28" s="324">
        <v>0</v>
      </c>
      <c r="BC28" s="324">
        <v>0</v>
      </c>
      <c r="BD28" s="324">
        <v>0</v>
      </c>
      <c r="BE28" s="324">
        <v>0</v>
      </c>
      <c r="BF28" s="324">
        <v>0</v>
      </c>
      <c r="BG28" s="140">
        <f t="shared" si="3"/>
        <v>0</v>
      </c>
      <c r="BH28" s="324">
        <v>0</v>
      </c>
      <c r="BI28" s="324">
        <v>0</v>
      </c>
      <c r="BJ28" s="324">
        <v>0</v>
      </c>
      <c r="BK28" s="324">
        <v>0</v>
      </c>
      <c r="BL28" s="324">
        <v>0</v>
      </c>
      <c r="BM28" s="324">
        <v>0</v>
      </c>
      <c r="BN28" s="324">
        <v>0</v>
      </c>
      <c r="BO28" s="324">
        <v>0</v>
      </c>
      <c r="BP28" s="324">
        <v>0</v>
      </c>
      <c r="BQ28" s="324">
        <v>0</v>
      </c>
      <c r="BR28" s="324">
        <v>0</v>
      </c>
      <c r="BS28" s="324">
        <v>0</v>
      </c>
      <c r="BT28" s="140">
        <f t="shared" si="4"/>
        <v>0</v>
      </c>
      <c r="BU28" s="114">
        <f t="shared" si="5"/>
        <v>506</v>
      </c>
      <c r="BV28" s="372">
        <v>1</v>
      </c>
      <c r="BW28" s="372">
        <v>1</v>
      </c>
      <c r="BX28" s="372">
        <v>-1</v>
      </c>
      <c r="BY28" s="372">
        <v>-1</v>
      </c>
      <c r="BZ28" s="436">
        <f t="shared" ref="BZ28:BZ29" si="23">IFERROR((EX28/T28%),0)</f>
        <v>0</v>
      </c>
      <c r="CA28" s="428">
        <f>IFERROR((FD28/T28%),0)</f>
        <v>0</v>
      </c>
      <c r="CB28" s="7" t="s">
        <v>1702</v>
      </c>
      <c r="CC28" s="3">
        <v>0</v>
      </c>
      <c r="CD28" s="3">
        <v>0</v>
      </c>
      <c r="CE28" s="3">
        <v>0</v>
      </c>
      <c r="CF28" s="3">
        <v>0</v>
      </c>
      <c r="CG28" s="3">
        <v>0</v>
      </c>
      <c r="CH28" s="3">
        <v>0</v>
      </c>
      <c r="CI28" s="3">
        <v>0</v>
      </c>
      <c r="CJ28" s="3">
        <v>1</v>
      </c>
      <c r="CK28" s="3">
        <v>0</v>
      </c>
      <c r="CL28" s="3">
        <v>0</v>
      </c>
      <c r="CM28" s="3">
        <v>0</v>
      </c>
      <c r="CN28" s="3">
        <v>0</v>
      </c>
      <c r="CO28" s="4">
        <f t="shared" si="16"/>
        <v>1</v>
      </c>
      <c r="CP28" s="3">
        <v>0</v>
      </c>
      <c r="CQ28" s="3">
        <v>1</v>
      </c>
      <c r="CR28" s="3">
        <v>0</v>
      </c>
      <c r="CS28" s="3">
        <v>0</v>
      </c>
      <c r="CT28" s="3">
        <v>0</v>
      </c>
      <c r="CU28" s="3">
        <v>0</v>
      </c>
      <c r="CV28" s="3">
        <v>0</v>
      </c>
      <c r="CW28" s="3">
        <v>0</v>
      </c>
      <c r="CX28" s="3">
        <v>0</v>
      </c>
      <c r="CY28" s="3">
        <v>0</v>
      </c>
      <c r="CZ28" s="3">
        <v>0</v>
      </c>
      <c r="DA28" s="3">
        <v>0</v>
      </c>
      <c r="DB28" s="4">
        <f t="shared" si="17"/>
        <v>1</v>
      </c>
      <c r="DC28" s="3">
        <v>0</v>
      </c>
      <c r="DD28" s="3">
        <v>0</v>
      </c>
      <c r="DE28" s="3">
        <v>0</v>
      </c>
      <c r="DF28" s="3">
        <v>0</v>
      </c>
      <c r="DG28" s="3">
        <v>0</v>
      </c>
      <c r="DH28" s="3">
        <v>0</v>
      </c>
      <c r="DI28" s="3">
        <v>0</v>
      </c>
      <c r="DJ28" s="3">
        <v>0</v>
      </c>
      <c r="DK28" s="3">
        <v>0</v>
      </c>
      <c r="DL28" s="3">
        <v>0</v>
      </c>
      <c r="DM28" s="3">
        <v>0</v>
      </c>
      <c r="DN28" s="3">
        <v>0</v>
      </c>
      <c r="DO28" s="4">
        <f t="shared" si="18"/>
        <v>0</v>
      </c>
      <c r="DP28" s="3">
        <v>0</v>
      </c>
      <c r="DQ28" s="3">
        <v>0</v>
      </c>
      <c r="DR28" s="3">
        <v>0</v>
      </c>
      <c r="DS28" s="3">
        <v>0</v>
      </c>
      <c r="DT28" s="3">
        <v>0</v>
      </c>
      <c r="DU28" s="3">
        <v>0</v>
      </c>
      <c r="DV28" s="3">
        <v>0</v>
      </c>
      <c r="DW28" s="3">
        <v>0</v>
      </c>
      <c r="DX28" s="3">
        <v>0</v>
      </c>
      <c r="DY28" s="3">
        <v>0</v>
      </c>
      <c r="DZ28" s="3">
        <v>0</v>
      </c>
      <c r="EA28" s="3">
        <v>0</v>
      </c>
      <c r="EB28" s="4">
        <f t="shared" si="19"/>
        <v>0</v>
      </c>
      <c r="EC28" s="3">
        <v>0</v>
      </c>
      <c r="ED28" s="3">
        <v>0</v>
      </c>
      <c r="EE28" s="3">
        <v>0</v>
      </c>
      <c r="EF28" s="3">
        <v>0</v>
      </c>
      <c r="EG28" s="3">
        <v>0</v>
      </c>
      <c r="EH28" s="3">
        <v>0</v>
      </c>
      <c r="EI28" s="3">
        <v>0</v>
      </c>
      <c r="EJ28" s="3">
        <v>0</v>
      </c>
      <c r="EK28" s="3">
        <v>0</v>
      </c>
      <c r="EL28" s="3">
        <v>0</v>
      </c>
      <c r="EM28" s="3">
        <v>0</v>
      </c>
      <c r="EN28" s="3">
        <v>0</v>
      </c>
      <c r="EO28" s="4">
        <f t="shared" si="20"/>
        <v>0</v>
      </c>
      <c r="EP28" s="8">
        <f t="shared" si="21"/>
        <v>2</v>
      </c>
      <c r="EQ28" s="181">
        <f>IFERROR(VLOOKUP(I28,CEI_012018!$A$1:$U$509,9,FALSE),0)</f>
        <v>0</v>
      </c>
      <c r="ER28" s="181">
        <f>IFERROR(VLOOKUP(I28,CEI_022018!$A$1:$U$509,9,FALSE),0)</f>
        <v>0</v>
      </c>
      <c r="ES28" s="181">
        <f>IFERROR(VLOOKUP(I28,CEI_032018!$A$1:$U$509,9,FALSE),0)</f>
        <v>0</v>
      </c>
      <c r="ET28" s="181">
        <f>IFERROR(VLOOKUP(I28,CEI_042018!$A$1:$U$491,9,FALSE),0)</f>
        <v>0</v>
      </c>
      <c r="EU28" s="181">
        <f>IFERROR(VLOOKUP(I28,CEI_052018!$A$1:$U$489,9,FALSE),0)</f>
        <v>0</v>
      </c>
      <c r="EV28" s="181">
        <f>IFERROR(VLOOKUP(I28,CEI_062018!$A$1:$U$489,9,FALSE),0)</f>
        <v>0</v>
      </c>
      <c r="EW28" s="181">
        <f>IFERROR(VLOOKUP(I28,CEI_072018!$A$1:$U$489,9,FALSE),0)</f>
        <v>0</v>
      </c>
      <c r="EX28" s="181">
        <f>IFERROR(VLOOKUP(I28,CEI_082018!$A$1:$U$489,9,FALSE),0)</f>
        <v>0</v>
      </c>
      <c r="EY28" s="181">
        <f>IFERROR(VLOOKUP(I28,CEI_092018!$A$1:$U$489,9,FALSE),0)</f>
        <v>0</v>
      </c>
      <c r="EZ28" s="181"/>
      <c r="FA28" s="181"/>
      <c r="FB28" s="181"/>
      <c r="FC28" s="181">
        <f>IFERROR(VLOOKUP(I28,CEI_092018!$A$1:$U$489,12,FALSE),0)</f>
        <v>0</v>
      </c>
      <c r="FD28" s="181">
        <f t="shared" si="14"/>
        <v>0</v>
      </c>
      <c r="FE28" s="181">
        <f t="shared" si="15"/>
        <v>318</v>
      </c>
      <c r="FF28"/>
      <c r="FG28"/>
      <c r="FH28"/>
      <c r="FI28"/>
      <c r="FJ28"/>
      <c r="FK28"/>
      <c r="FL28"/>
      <c r="FM28"/>
      <c r="FN28"/>
      <c r="FO28"/>
      <c r="FP28"/>
      <c r="FQ28"/>
      <c r="FR28"/>
      <c r="FS28"/>
      <c r="FT28"/>
      <c r="FU28"/>
      <c r="FV28"/>
      <c r="FW28"/>
      <c r="FX28"/>
      <c r="FY28"/>
      <c r="FZ28"/>
      <c r="GA28"/>
      <c r="GB28"/>
      <c r="GC28"/>
    </row>
    <row r="29" spans="1:185" ht="12.95" customHeight="1" x14ac:dyDescent="0.25">
      <c r="A29" s="202"/>
      <c r="B29" s="22" t="s">
        <v>54</v>
      </c>
      <c r="C29" s="34" t="s">
        <v>32</v>
      </c>
      <c r="D29" s="22" t="s">
        <v>1059</v>
      </c>
      <c r="E29" s="25" t="s">
        <v>1063</v>
      </c>
      <c r="F29" s="25" t="s">
        <v>179</v>
      </c>
      <c r="G29" s="25" t="s">
        <v>1841</v>
      </c>
      <c r="H29" s="22" t="s">
        <v>56</v>
      </c>
      <c r="I29" s="423" t="s">
        <v>800</v>
      </c>
      <c r="J29" s="37" t="s">
        <v>1212</v>
      </c>
      <c r="K29" s="23" t="s">
        <v>403</v>
      </c>
      <c r="L29" s="23" t="s">
        <v>404</v>
      </c>
      <c r="M29" s="23" t="s">
        <v>405</v>
      </c>
      <c r="N29" s="23" t="s">
        <v>59</v>
      </c>
      <c r="O29" s="2">
        <v>199.49535179138184</v>
      </c>
      <c r="P29" s="2">
        <v>60</v>
      </c>
      <c r="Q29" s="2">
        <v>50</v>
      </c>
      <c r="R29" s="2">
        <v>60</v>
      </c>
      <c r="S29" s="2">
        <v>120.50463999999999</v>
      </c>
      <c r="T29" s="116">
        <f t="shared" si="0"/>
        <v>489.99999179138183</v>
      </c>
      <c r="U29" s="324">
        <v>0</v>
      </c>
      <c r="V29" s="324">
        <v>0</v>
      </c>
      <c r="W29" s="324">
        <v>0</v>
      </c>
      <c r="X29" s="324">
        <v>0</v>
      </c>
      <c r="Y29" s="324">
        <v>0</v>
      </c>
      <c r="Z29" s="324">
        <v>0</v>
      </c>
      <c r="AA29" s="324">
        <v>0</v>
      </c>
      <c r="AB29" s="324">
        <v>0</v>
      </c>
      <c r="AC29" s="324">
        <v>0</v>
      </c>
      <c r="AD29" s="324">
        <v>0</v>
      </c>
      <c r="AE29" s="324">
        <v>0</v>
      </c>
      <c r="AF29" s="324">
        <v>0</v>
      </c>
      <c r="AG29" s="140">
        <f t="shared" si="1"/>
        <v>0</v>
      </c>
      <c r="AH29" s="324">
        <v>0</v>
      </c>
      <c r="AI29" s="324">
        <v>0</v>
      </c>
      <c r="AJ29" s="324">
        <v>0</v>
      </c>
      <c r="AK29" s="324">
        <v>0</v>
      </c>
      <c r="AL29" s="324">
        <v>0</v>
      </c>
      <c r="AM29" s="324">
        <v>0</v>
      </c>
      <c r="AN29" s="324">
        <v>0</v>
      </c>
      <c r="AO29" s="324">
        <v>0</v>
      </c>
      <c r="AP29" s="324">
        <v>0</v>
      </c>
      <c r="AQ29" s="324">
        <v>0</v>
      </c>
      <c r="AR29" s="324">
        <v>0</v>
      </c>
      <c r="AS29" s="324">
        <v>0</v>
      </c>
      <c r="AT29" s="140">
        <f t="shared" si="2"/>
        <v>0</v>
      </c>
      <c r="AU29" s="324">
        <v>0</v>
      </c>
      <c r="AV29" s="324">
        <v>0</v>
      </c>
      <c r="AW29" s="324">
        <v>0</v>
      </c>
      <c r="AX29" s="324">
        <v>0</v>
      </c>
      <c r="AY29" s="324">
        <v>0</v>
      </c>
      <c r="AZ29" s="324">
        <v>0</v>
      </c>
      <c r="BA29" s="324">
        <v>0</v>
      </c>
      <c r="BB29" s="324">
        <v>0</v>
      </c>
      <c r="BC29" s="324">
        <v>0</v>
      </c>
      <c r="BD29" s="324">
        <v>0</v>
      </c>
      <c r="BE29" s="324">
        <v>0</v>
      </c>
      <c r="BF29" s="324">
        <v>0</v>
      </c>
      <c r="BG29" s="140">
        <f t="shared" si="3"/>
        <v>0</v>
      </c>
      <c r="BH29" s="324">
        <v>0</v>
      </c>
      <c r="BI29" s="324">
        <v>0</v>
      </c>
      <c r="BJ29" s="324">
        <v>0</v>
      </c>
      <c r="BK29" s="324">
        <v>0</v>
      </c>
      <c r="BL29" s="324">
        <v>0</v>
      </c>
      <c r="BM29" s="324">
        <v>0</v>
      </c>
      <c r="BN29" s="324">
        <v>0</v>
      </c>
      <c r="BO29" s="324">
        <v>0</v>
      </c>
      <c r="BP29" s="324">
        <v>0</v>
      </c>
      <c r="BQ29" s="324">
        <v>0</v>
      </c>
      <c r="BR29" s="324">
        <v>0</v>
      </c>
      <c r="BS29" s="324">
        <v>0</v>
      </c>
      <c r="BT29" s="140">
        <f t="shared" si="4"/>
        <v>0</v>
      </c>
      <c r="BU29" s="114">
        <f t="shared" si="5"/>
        <v>489.99999179138183</v>
      </c>
      <c r="BV29" s="372">
        <v>1</v>
      </c>
      <c r="BW29" s="372">
        <v>1</v>
      </c>
      <c r="BX29" s="372">
        <v>1</v>
      </c>
      <c r="BY29" s="372">
        <v>1</v>
      </c>
      <c r="BZ29" s="436">
        <f t="shared" si="23"/>
        <v>40.713337782323322</v>
      </c>
      <c r="CA29" s="428">
        <f>IFERROR((FD29/T29%),0)</f>
        <v>98.729665035718355</v>
      </c>
      <c r="CB29" s="7" t="s">
        <v>1700</v>
      </c>
      <c r="CC29" s="3">
        <v>0</v>
      </c>
      <c r="CD29" s="3">
        <v>110.75300000000001</v>
      </c>
      <c r="CE29" s="3">
        <v>50.248333333333335</v>
      </c>
      <c r="CF29" s="3">
        <v>0</v>
      </c>
      <c r="CG29" s="3">
        <v>50.248333333333314</v>
      </c>
      <c r="CH29" s="3">
        <v>453.73486666666662</v>
      </c>
      <c r="CI29" s="3">
        <v>0</v>
      </c>
      <c r="CJ29" s="3">
        <v>200</v>
      </c>
      <c r="CK29" s="3">
        <v>200</v>
      </c>
      <c r="CL29" s="3">
        <v>166.66666666666669</v>
      </c>
      <c r="CM29" s="3">
        <v>200</v>
      </c>
      <c r="CN29" s="3">
        <v>201.68213333333335</v>
      </c>
      <c r="CO29" s="4">
        <f t="shared" si="16"/>
        <v>1633.3333333333335</v>
      </c>
      <c r="CP29" s="3">
        <v>0</v>
      </c>
      <c r="CQ29" s="3">
        <v>0</v>
      </c>
      <c r="CR29" s="3">
        <v>0</v>
      </c>
      <c r="CS29" s="3">
        <v>0</v>
      </c>
      <c r="CT29" s="3">
        <v>0</v>
      </c>
      <c r="CU29" s="3">
        <v>0</v>
      </c>
      <c r="CV29" s="3">
        <v>0</v>
      </c>
      <c r="CW29" s="3">
        <v>0</v>
      </c>
      <c r="CX29" s="3">
        <v>0</v>
      </c>
      <c r="CY29" s="3">
        <v>0</v>
      </c>
      <c r="CZ29" s="3">
        <v>0</v>
      </c>
      <c r="DA29" s="3">
        <v>0</v>
      </c>
      <c r="DB29" s="4">
        <f t="shared" si="17"/>
        <v>0</v>
      </c>
      <c r="DC29" s="3">
        <v>0</v>
      </c>
      <c r="DD29" s="3">
        <v>0</v>
      </c>
      <c r="DE29" s="3">
        <v>0</v>
      </c>
      <c r="DF29" s="3">
        <v>0</v>
      </c>
      <c r="DG29" s="3">
        <v>0</v>
      </c>
      <c r="DH29" s="3">
        <v>0</v>
      </c>
      <c r="DI29" s="3">
        <v>0</v>
      </c>
      <c r="DJ29" s="3">
        <v>0</v>
      </c>
      <c r="DK29" s="3">
        <v>0</v>
      </c>
      <c r="DL29" s="3">
        <v>0</v>
      </c>
      <c r="DM29" s="3">
        <v>0</v>
      </c>
      <c r="DN29" s="3">
        <v>0</v>
      </c>
      <c r="DO29" s="4">
        <f t="shared" si="18"/>
        <v>0</v>
      </c>
      <c r="DP29" s="3">
        <v>0</v>
      </c>
      <c r="DQ29" s="3">
        <v>0</v>
      </c>
      <c r="DR29" s="3">
        <v>0</v>
      </c>
      <c r="DS29" s="3">
        <v>0</v>
      </c>
      <c r="DT29" s="3">
        <v>0</v>
      </c>
      <c r="DU29" s="3">
        <v>0</v>
      </c>
      <c r="DV29" s="3">
        <v>0</v>
      </c>
      <c r="DW29" s="3">
        <v>0</v>
      </c>
      <c r="DX29" s="3">
        <v>0</v>
      </c>
      <c r="DY29" s="3">
        <v>0</v>
      </c>
      <c r="DZ29" s="3">
        <v>0</v>
      </c>
      <c r="EA29" s="3">
        <v>0</v>
      </c>
      <c r="EB29" s="4">
        <f t="shared" si="19"/>
        <v>0</v>
      </c>
      <c r="EC29" s="3">
        <v>0</v>
      </c>
      <c r="ED29" s="3">
        <v>0</v>
      </c>
      <c r="EE29" s="3">
        <v>0</v>
      </c>
      <c r="EF29" s="3">
        <v>0</v>
      </c>
      <c r="EG29" s="3">
        <v>0</v>
      </c>
      <c r="EH29" s="3">
        <v>0</v>
      </c>
      <c r="EI29" s="3">
        <v>0</v>
      </c>
      <c r="EJ29" s="3">
        <v>0</v>
      </c>
      <c r="EK29" s="3">
        <v>0</v>
      </c>
      <c r="EL29" s="3">
        <v>0</v>
      </c>
      <c r="EM29" s="3">
        <v>0</v>
      </c>
      <c r="EN29" s="3">
        <v>0</v>
      </c>
      <c r="EO29" s="4">
        <f t="shared" si="20"/>
        <v>0</v>
      </c>
      <c r="EP29" s="8">
        <f t="shared" si="21"/>
        <v>1633.3333333333335</v>
      </c>
      <c r="EQ29" s="181">
        <f>IFERROR(VLOOKUP(I29,CEI_012018!$A$1:$U$509,9,FALSE),0)</f>
        <v>0</v>
      </c>
      <c r="ER29" s="181">
        <f>IFERROR(VLOOKUP(I29,CEI_022018!$A$1:$U$509,9,FALSE),0)</f>
        <v>33.225898742675781</v>
      </c>
      <c r="ES29" s="181">
        <f>IFERROR(VLOOKUP(I29,CEI_032018!$A$1:$U$509,9,FALSE),0)</f>
        <v>48.300398826599121</v>
      </c>
      <c r="ET29" s="181">
        <f>IFERROR(VLOOKUP(I29,CEI_042018!$A$1:$U$491,9,FALSE),0)</f>
        <v>48.300398826599121</v>
      </c>
      <c r="EU29" s="181">
        <f>IFERROR(VLOOKUP(I29,CEI_052018!$A$1:$U$489,9,FALSE),0)</f>
        <v>63.374898910522461</v>
      </c>
      <c r="EV29" s="181">
        <f>IFERROR(VLOOKUP(I29,CEI_062018!$A$1:$U$489,9,FALSE),0)</f>
        <v>199.49535179138184</v>
      </c>
      <c r="EW29" s="181">
        <f>IFERROR(VLOOKUP(I29,CEI_072018!$A$1:$U$489,9,FALSE),0)</f>
        <v>199.49535179138184</v>
      </c>
      <c r="EX29" s="181">
        <f>IFERROR(VLOOKUP(I29,CEI_082018!$A$1:$U$489,9,FALSE),0)</f>
        <v>199.49535179138184</v>
      </c>
      <c r="EY29" s="181">
        <f>IFERROR(VLOOKUP(I29,CEI_092018!$A$1:$U$489,9,FALSE),0)</f>
        <v>199.49535179138184</v>
      </c>
      <c r="EZ29" s="181"/>
      <c r="FA29" s="181"/>
      <c r="FB29" s="181"/>
      <c r="FC29" s="181">
        <f>IFERROR(VLOOKUP(I29,CEI_092018!$A$1:$U$489,12,FALSE),0)</f>
        <v>284.27999877929687</v>
      </c>
      <c r="FD29" s="181">
        <f t="shared" si="14"/>
        <v>483.77535057067871</v>
      </c>
      <c r="FE29" s="181">
        <f t="shared" si="15"/>
        <v>6.2246412207031199</v>
      </c>
      <c r="FF29"/>
      <c r="FG29"/>
      <c r="FH29"/>
      <c r="FI29"/>
      <c r="FJ29"/>
      <c r="FK29"/>
      <c r="FL29"/>
      <c r="FM29"/>
      <c r="FN29"/>
      <c r="FO29"/>
      <c r="FP29"/>
      <c r="FQ29"/>
      <c r="FR29"/>
      <c r="FS29"/>
      <c r="FT29"/>
      <c r="FU29"/>
      <c r="FV29"/>
      <c r="FW29"/>
      <c r="FX29"/>
      <c r="FY29"/>
      <c r="FZ29"/>
      <c r="GA29"/>
      <c r="GB29"/>
      <c r="GC29"/>
    </row>
    <row r="30" spans="1:185" ht="12.95" customHeight="1" x14ac:dyDescent="0.25">
      <c r="A30" s="202"/>
      <c r="B30" s="22" t="s">
        <v>54</v>
      </c>
      <c r="C30" s="34" t="s">
        <v>32</v>
      </c>
      <c r="D30" s="22" t="s">
        <v>1058</v>
      </c>
      <c r="E30" s="25" t="s">
        <v>1062</v>
      </c>
      <c r="F30" s="25" t="s">
        <v>1058</v>
      </c>
      <c r="G30" s="25" t="s">
        <v>1062</v>
      </c>
      <c r="H30" s="22" t="s">
        <v>56</v>
      </c>
      <c r="I30" s="423" t="s">
        <v>565</v>
      </c>
      <c r="J30" s="37" t="s">
        <v>59</v>
      </c>
      <c r="K30" s="23" t="s">
        <v>1030</v>
      </c>
      <c r="L30" s="23" t="s">
        <v>400</v>
      </c>
      <c r="M30" s="23" t="s">
        <v>59</v>
      </c>
      <c r="N30" s="23" t="s">
        <v>1867</v>
      </c>
      <c r="O30" s="2">
        <v>0</v>
      </c>
      <c r="P30" s="2">
        <v>0</v>
      </c>
      <c r="Q30" s="2">
        <v>0</v>
      </c>
      <c r="R30" s="2">
        <v>0</v>
      </c>
      <c r="S30" s="2">
        <v>0</v>
      </c>
      <c r="T30" s="116">
        <f t="shared" si="0"/>
        <v>0</v>
      </c>
      <c r="U30" s="324">
        <v>0</v>
      </c>
      <c r="V30" s="324">
        <v>0</v>
      </c>
      <c r="W30" s="324">
        <v>0</v>
      </c>
      <c r="X30" s="324">
        <v>0</v>
      </c>
      <c r="Y30" s="324">
        <v>0</v>
      </c>
      <c r="Z30" s="324">
        <v>0</v>
      </c>
      <c r="AA30" s="324">
        <v>0</v>
      </c>
      <c r="AB30" s="324">
        <v>0</v>
      </c>
      <c r="AC30" s="324">
        <v>97</v>
      </c>
      <c r="AD30" s="324">
        <v>0</v>
      </c>
      <c r="AE30" s="324">
        <v>0</v>
      </c>
      <c r="AF30" s="324">
        <v>0</v>
      </c>
      <c r="AG30" s="140">
        <f t="shared" si="1"/>
        <v>97</v>
      </c>
      <c r="AH30" s="324">
        <v>0</v>
      </c>
      <c r="AI30" s="324">
        <v>0</v>
      </c>
      <c r="AJ30" s="324">
        <v>0</v>
      </c>
      <c r="AK30" s="324">
        <v>0</v>
      </c>
      <c r="AL30" s="324">
        <v>0</v>
      </c>
      <c r="AM30" s="324">
        <v>0</v>
      </c>
      <c r="AN30" s="324">
        <v>0</v>
      </c>
      <c r="AO30" s="324">
        <v>0</v>
      </c>
      <c r="AP30" s="324">
        <v>0</v>
      </c>
      <c r="AQ30" s="324">
        <v>0</v>
      </c>
      <c r="AR30" s="324">
        <v>0</v>
      </c>
      <c r="AS30" s="324">
        <v>0</v>
      </c>
      <c r="AT30" s="140">
        <f t="shared" si="2"/>
        <v>0</v>
      </c>
      <c r="AU30" s="324">
        <v>0</v>
      </c>
      <c r="AV30" s="324">
        <v>0</v>
      </c>
      <c r="AW30" s="324">
        <v>0</v>
      </c>
      <c r="AX30" s="324">
        <v>0</v>
      </c>
      <c r="AY30" s="324">
        <v>0</v>
      </c>
      <c r="AZ30" s="324">
        <v>0</v>
      </c>
      <c r="BA30" s="324">
        <v>0</v>
      </c>
      <c r="BB30" s="324">
        <v>0</v>
      </c>
      <c r="BC30" s="324">
        <v>0</v>
      </c>
      <c r="BD30" s="324">
        <v>0</v>
      </c>
      <c r="BE30" s="324">
        <v>0</v>
      </c>
      <c r="BF30" s="324">
        <v>0</v>
      </c>
      <c r="BG30" s="140">
        <f t="shared" si="3"/>
        <v>0</v>
      </c>
      <c r="BH30" s="324">
        <v>0</v>
      </c>
      <c r="BI30" s="324">
        <v>0</v>
      </c>
      <c r="BJ30" s="324">
        <v>0</v>
      </c>
      <c r="BK30" s="324">
        <v>0</v>
      </c>
      <c r="BL30" s="324">
        <v>0</v>
      </c>
      <c r="BM30" s="324">
        <v>0</v>
      </c>
      <c r="BN30" s="324">
        <v>0</v>
      </c>
      <c r="BO30" s="324">
        <v>0</v>
      </c>
      <c r="BP30" s="324">
        <v>0</v>
      </c>
      <c r="BQ30" s="324">
        <v>0</v>
      </c>
      <c r="BR30" s="324">
        <v>142</v>
      </c>
      <c r="BS30" s="324">
        <v>0</v>
      </c>
      <c r="BT30" s="140">
        <f t="shared" si="4"/>
        <v>142</v>
      </c>
      <c r="BU30" s="114">
        <f t="shared" si="5"/>
        <v>239</v>
      </c>
      <c r="BV30" s="432"/>
      <c r="BW30" s="432"/>
      <c r="BX30" s="432"/>
      <c r="BY30" s="432"/>
      <c r="BZ30" s="433"/>
      <c r="CA30" s="434"/>
      <c r="CB30" s="7" t="s">
        <v>1681</v>
      </c>
      <c r="CC30" s="3">
        <v>0</v>
      </c>
      <c r="CD30" s="3">
        <v>0</v>
      </c>
      <c r="CE30" s="3">
        <v>0</v>
      </c>
      <c r="CF30" s="3">
        <v>0</v>
      </c>
      <c r="CG30" s="3">
        <v>0</v>
      </c>
      <c r="CH30" s="3">
        <v>0</v>
      </c>
      <c r="CI30" s="3">
        <v>0</v>
      </c>
      <c r="CJ30" s="3">
        <v>0</v>
      </c>
      <c r="CK30" s="3">
        <v>0</v>
      </c>
      <c r="CL30" s="3">
        <v>0</v>
      </c>
      <c r="CM30" s="3">
        <v>0</v>
      </c>
      <c r="CN30" s="3">
        <v>0</v>
      </c>
      <c r="CO30" s="4">
        <f t="shared" si="16"/>
        <v>0</v>
      </c>
      <c r="CP30" s="3">
        <v>0</v>
      </c>
      <c r="CQ30" s="3">
        <v>0</v>
      </c>
      <c r="CR30" s="3">
        <v>0</v>
      </c>
      <c r="CS30" s="3">
        <v>0</v>
      </c>
      <c r="CT30" s="3">
        <v>0</v>
      </c>
      <c r="CU30" s="3">
        <v>0</v>
      </c>
      <c r="CV30" s="3">
        <v>0</v>
      </c>
      <c r="CW30" s="3">
        <v>0</v>
      </c>
      <c r="CX30" s="3">
        <v>4.8499999999999996</v>
      </c>
      <c r="CY30" s="3">
        <v>0</v>
      </c>
      <c r="CZ30" s="3">
        <v>0</v>
      </c>
      <c r="DA30" s="3">
        <v>0</v>
      </c>
      <c r="DB30" s="4">
        <f t="shared" si="17"/>
        <v>4.8499999999999996</v>
      </c>
      <c r="DC30" s="3">
        <v>0</v>
      </c>
      <c r="DD30" s="3">
        <v>0</v>
      </c>
      <c r="DE30" s="3">
        <v>0</v>
      </c>
      <c r="DF30" s="3">
        <v>0</v>
      </c>
      <c r="DG30" s="3">
        <v>0</v>
      </c>
      <c r="DH30" s="3">
        <v>0</v>
      </c>
      <c r="DI30" s="3">
        <v>0</v>
      </c>
      <c r="DJ30" s="3">
        <v>0</v>
      </c>
      <c r="DK30" s="3">
        <v>0</v>
      </c>
      <c r="DL30" s="3">
        <v>0</v>
      </c>
      <c r="DM30" s="3">
        <v>0</v>
      </c>
      <c r="DN30" s="3">
        <v>0</v>
      </c>
      <c r="DO30" s="4">
        <f t="shared" si="18"/>
        <v>0</v>
      </c>
      <c r="DP30" s="3">
        <v>0</v>
      </c>
      <c r="DQ30" s="3">
        <v>0</v>
      </c>
      <c r="DR30" s="3">
        <v>0</v>
      </c>
      <c r="DS30" s="3">
        <v>0</v>
      </c>
      <c r="DT30" s="3">
        <v>0</v>
      </c>
      <c r="DU30" s="3">
        <v>0</v>
      </c>
      <c r="DV30" s="3">
        <v>0</v>
      </c>
      <c r="DW30" s="3">
        <v>0</v>
      </c>
      <c r="DX30" s="3">
        <v>0</v>
      </c>
      <c r="DY30" s="3">
        <v>0</v>
      </c>
      <c r="DZ30" s="3">
        <v>0</v>
      </c>
      <c r="EA30" s="3">
        <v>0</v>
      </c>
      <c r="EB30" s="4">
        <f t="shared" si="19"/>
        <v>0</v>
      </c>
      <c r="EC30" s="3">
        <v>0</v>
      </c>
      <c r="ED30" s="3">
        <v>0</v>
      </c>
      <c r="EE30" s="3">
        <v>0</v>
      </c>
      <c r="EF30" s="3">
        <v>0</v>
      </c>
      <c r="EG30" s="3">
        <v>0</v>
      </c>
      <c r="EH30" s="3">
        <v>0</v>
      </c>
      <c r="EI30" s="3">
        <v>0</v>
      </c>
      <c r="EJ30" s="3">
        <v>0</v>
      </c>
      <c r="EK30" s="3">
        <v>0</v>
      </c>
      <c r="EL30" s="3">
        <v>0</v>
      </c>
      <c r="EM30" s="3">
        <v>7.1</v>
      </c>
      <c r="EN30" s="3">
        <v>0</v>
      </c>
      <c r="EO30" s="4">
        <f t="shared" si="20"/>
        <v>7.1</v>
      </c>
      <c r="EP30" s="8">
        <f t="shared" si="21"/>
        <v>11.95</v>
      </c>
      <c r="EQ30" s="181">
        <f>IFERROR(VLOOKUP(I30,CEI_012018!$A$1:$U$509,9,FALSE),0)</f>
        <v>0</v>
      </c>
      <c r="ER30" s="181">
        <f>IFERROR(VLOOKUP(I30,CEI_022018!$A$1:$U$509,9,FALSE),0)</f>
        <v>0</v>
      </c>
      <c r="ES30" s="181">
        <f>IFERROR(VLOOKUP(I30,CEI_032018!$A$1:$U$509,9,FALSE),0)</f>
        <v>0</v>
      </c>
      <c r="ET30" s="181">
        <f>IFERROR(VLOOKUP(I30,CEI_042018!$A$1:$U$491,9,FALSE),0)</f>
        <v>0</v>
      </c>
      <c r="EU30" s="181">
        <f>IFERROR(VLOOKUP(I30,CEI_052018!$A$1:$U$489,9,FALSE),0)</f>
        <v>0</v>
      </c>
      <c r="EV30" s="181">
        <f>IFERROR(VLOOKUP(I30,CEI_062018!$A$1:$U$489,9,FALSE),0)</f>
        <v>0</v>
      </c>
      <c r="EW30" s="181">
        <f>IFERROR(VLOOKUP(I30,CEI_072018!$A$1:$U$489,9,FALSE),0)</f>
        <v>0</v>
      </c>
      <c r="EX30" s="181">
        <f>IFERROR(VLOOKUP(I30,CEI_082018!$A$1:$U$489,9,FALSE),0)</f>
        <v>0</v>
      </c>
      <c r="EY30" s="181">
        <f>IFERROR(VLOOKUP(I30,CEI_092018!$A$1:$U$489,9,FALSE),0)</f>
        <v>0</v>
      </c>
      <c r="EZ30" s="181"/>
      <c r="FA30" s="181"/>
      <c r="FB30" s="181"/>
      <c r="FC30" s="181">
        <f>IFERROR(VLOOKUP(I30,CEI_092018!$A$1:$U$489,12,FALSE),0)</f>
        <v>0</v>
      </c>
      <c r="FD30" s="181">
        <f t="shared" si="14"/>
        <v>0</v>
      </c>
      <c r="FE30" s="181">
        <f t="shared" si="15"/>
        <v>0</v>
      </c>
      <c r="FF30"/>
      <c r="FG30"/>
      <c r="FH30"/>
      <c r="FI30"/>
      <c r="FJ30"/>
      <c r="FK30"/>
      <c r="FL30"/>
      <c r="FM30"/>
      <c r="FN30"/>
      <c r="FO30"/>
      <c r="FP30"/>
      <c r="FQ30"/>
      <c r="FR30"/>
      <c r="FS30"/>
      <c r="FT30"/>
      <c r="FU30"/>
      <c r="FV30"/>
      <c r="FW30"/>
      <c r="FX30"/>
      <c r="FY30"/>
      <c r="FZ30"/>
      <c r="GA30"/>
      <c r="GB30"/>
      <c r="GC30"/>
    </row>
    <row r="31" spans="1:185" ht="12.95" customHeight="1" x14ac:dyDescent="0.25">
      <c r="A31" s="202"/>
      <c r="B31" s="22" t="s">
        <v>54</v>
      </c>
      <c r="C31" s="34" t="s">
        <v>32</v>
      </c>
      <c r="D31" s="22" t="s">
        <v>1059</v>
      </c>
      <c r="E31" s="25" t="s">
        <v>1063</v>
      </c>
      <c r="F31" s="25" t="s">
        <v>209</v>
      </c>
      <c r="G31" s="25" t="s">
        <v>1840</v>
      </c>
      <c r="H31" s="22" t="s">
        <v>56</v>
      </c>
      <c r="I31" s="423" t="s">
        <v>565</v>
      </c>
      <c r="J31" s="37" t="s">
        <v>59</v>
      </c>
      <c r="K31" s="23" t="s">
        <v>1110</v>
      </c>
      <c r="L31" s="23" t="s">
        <v>1111</v>
      </c>
      <c r="M31" s="23" t="s">
        <v>1112</v>
      </c>
      <c r="N31" s="23" t="s">
        <v>59</v>
      </c>
      <c r="O31" s="2">
        <v>0</v>
      </c>
      <c r="P31" s="2">
        <v>0</v>
      </c>
      <c r="Q31" s="2">
        <v>0</v>
      </c>
      <c r="R31" s="2">
        <v>0</v>
      </c>
      <c r="S31" s="2">
        <v>0</v>
      </c>
      <c r="T31" s="116">
        <f t="shared" si="0"/>
        <v>0</v>
      </c>
      <c r="U31" s="324">
        <v>0</v>
      </c>
      <c r="V31" s="324">
        <v>0</v>
      </c>
      <c r="W31" s="324">
        <v>0</v>
      </c>
      <c r="X31" s="324">
        <v>0</v>
      </c>
      <c r="Y31" s="324">
        <v>0</v>
      </c>
      <c r="Z31" s="324">
        <v>0</v>
      </c>
      <c r="AA31" s="324">
        <v>0</v>
      </c>
      <c r="AB31" s="324">
        <v>0</v>
      </c>
      <c r="AC31" s="324">
        <v>0</v>
      </c>
      <c r="AD31" s="324">
        <v>0</v>
      </c>
      <c r="AE31" s="324">
        <v>0</v>
      </c>
      <c r="AF31" s="324">
        <v>0</v>
      </c>
      <c r="AG31" s="140">
        <f t="shared" si="1"/>
        <v>0</v>
      </c>
      <c r="AH31" s="324">
        <v>0</v>
      </c>
      <c r="AI31" s="324">
        <v>0</v>
      </c>
      <c r="AJ31" s="324">
        <v>0</v>
      </c>
      <c r="AK31" s="324">
        <v>0</v>
      </c>
      <c r="AL31" s="324">
        <v>0</v>
      </c>
      <c r="AM31" s="324">
        <v>0</v>
      </c>
      <c r="AN31" s="324">
        <v>0</v>
      </c>
      <c r="AO31" s="324">
        <v>0</v>
      </c>
      <c r="AP31" s="324">
        <v>0</v>
      </c>
      <c r="AQ31" s="324">
        <v>0</v>
      </c>
      <c r="AR31" s="324">
        <v>0</v>
      </c>
      <c r="AS31" s="324">
        <v>0</v>
      </c>
      <c r="AT31" s="140">
        <f t="shared" si="2"/>
        <v>0</v>
      </c>
      <c r="AU31" s="324">
        <v>0</v>
      </c>
      <c r="AV31" s="324">
        <v>0</v>
      </c>
      <c r="AW31" s="324">
        <v>103</v>
      </c>
      <c r="AX31" s="324">
        <v>0</v>
      </c>
      <c r="AY31" s="324">
        <v>0</v>
      </c>
      <c r="AZ31" s="324">
        <v>0</v>
      </c>
      <c r="BA31" s="324">
        <v>0</v>
      </c>
      <c r="BB31" s="324">
        <v>0</v>
      </c>
      <c r="BC31" s="324">
        <v>0</v>
      </c>
      <c r="BD31" s="324">
        <v>0</v>
      </c>
      <c r="BE31" s="324">
        <v>0</v>
      </c>
      <c r="BF31" s="324">
        <v>0</v>
      </c>
      <c r="BG31" s="140">
        <f t="shared" si="3"/>
        <v>103</v>
      </c>
      <c r="BH31" s="324">
        <v>0</v>
      </c>
      <c r="BI31" s="324">
        <v>0</v>
      </c>
      <c r="BJ31" s="324">
        <v>122</v>
      </c>
      <c r="BK31" s="324">
        <v>0</v>
      </c>
      <c r="BL31" s="324">
        <v>0</v>
      </c>
      <c r="BM31" s="324">
        <v>0</v>
      </c>
      <c r="BN31" s="324">
        <v>0</v>
      </c>
      <c r="BO31" s="324">
        <v>0</v>
      </c>
      <c r="BP31" s="324">
        <v>0</v>
      </c>
      <c r="BQ31" s="324">
        <v>0</v>
      </c>
      <c r="BR31" s="324">
        <v>0</v>
      </c>
      <c r="BS31" s="324">
        <v>0</v>
      </c>
      <c r="BT31" s="140">
        <f t="shared" si="4"/>
        <v>122</v>
      </c>
      <c r="BU31" s="114">
        <f t="shared" si="5"/>
        <v>225</v>
      </c>
      <c r="BV31" s="432"/>
      <c r="BW31" s="432"/>
      <c r="BX31" s="432"/>
      <c r="BY31" s="432"/>
      <c r="BZ31" s="433"/>
      <c r="CA31" s="434"/>
      <c r="CB31" s="7" t="s">
        <v>1700</v>
      </c>
      <c r="CC31" s="3">
        <v>0</v>
      </c>
      <c r="CD31" s="3">
        <v>0</v>
      </c>
      <c r="CE31" s="3">
        <v>0</v>
      </c>
      <c r="CF31" s="3">
        <v>0</v>
      </c>
      <c r="CG31" s="3">
        <v>0</v>
      </c>
      <c r="CH31" s="3">
        <v>0</v>
      </c>
      <c r="CI31" s="3">
        <v>0</v>
      </c>
      <c r="CJ31" s="3">
        <v>0</v>
      </c>
      <c r="CK31" s="3">
        <v>0</v>
      </c>
      <c r="CL31" s="3">
        <v>0</v>
      </c>
      <c r="CM31" s="3">
        <v>0</v>
      </c>
      <c r="CN31" s="3">
        <v>0</v>
      </c>
      <c r="CO31" s="4">
        <f t="shared" si="16"/>
        <v>0</v>
      </c>
      <c r="CP31" s="3">
        <v>0</v>
      </c>
      <c r="CQ31" s="3">
        <v>0</v>
      </c>
      <c r="CR31" s="3">
        <v>0</v>
      </c>
      <c r="CS31" s="3">
        <v>0</v>
      </c>
      <c r="CT31" s="3">
        <v>0</v>
      </c>
      <c r="CU31" s="3">
        <v>0</v>
      </c>
      <c r="CV31" s="3">
        <v>0</v>
      </c>
      <c r="CW31" s="3">
        <v>0</v>
      </c>
      <c r="CX31" s="3">
        <v>0</v>
      </c>
      <c r="CY31" s="3">
        <v>0</v>
      </c>
      <c r="CZ31" s="3">
        <v>0</v>
      </c>
      <c r="DA31" s="3">
        <v>0</v>
      </c>
      <c r="DB31" s="4">
        <f t="shared" si="17"/>
        <v>0</v>
      </c>
      <c r="DC31" s="3">
        <v>0</v>
      </c>
      <c r="DD31" s="3">
        <v>0</v>
      </c>
      <c r="DE31" s="3">
        <v>0</v>
      </c>
      <c r="DF31" s="3">
        <v>0</v>
      </c>
      <c r="DG31" s="3">
        <v>0</v>
      </c>
      <c r="DH31" s="3">
        <v>0</v>
      </c>
      <c r="DI31" s="3">
        <v>0</v>
      </c>
      <c r="DJ31" s="3">
        <v>0</v>
      </c>
      <c r="DK31" s="3">
        <v>0</v>
      </c>
      <c r="DL31" s="3">
        <v>0</v>
      </c>
      <c r="DM31" s="3">
        <v>0</v>
      </c>
      <c r="DN31" s="3">
        <v>0</v>
      </c>
      <c r="DO31" s="4">
        <f t="shared" si="18"/>
        <v>0</v>
      </c>
      <c r="DP31" s="3">
        <v>0</v>
      </c>
      <c r="DQ31" s="3">
        <v>0</v>
      </c>
      <c r="DR31" s="3">
        <v>206</v>
      </c>
      <c r="DS31" s="3">
        <v>0</v>
      </c>
      <c r="DT31" s="3">
        <v>0</v>
      </c>
      <c r="DU31" s="3">
        <v>0</v>
      </c>
      <c r="DV31" s="3">
        <v>0</v>
      </c>
      <c r="DW31" s="3">
        <v>0</v>
      </c>
      <c r="DX31" s="3">
        <v>0</v>
      </c>
      <c r="DY31" s="3">
        <v>0</v>
      </c>
      <c r="DZ31" s="3">
        <v>0</v>
      </c>
      <c r="EA31" s="3">
        <v>0</v>
      </c>
      <c r="EB31" s="4">
        <f t="shared" si="19"/>
        <v>206</v>
      </c>
      <c r="EC31" s="3">
        <v>0</v>
      </c>
      <c r="ED31" s="3">
        <v>0</v>
      </c>
      <c r="EE31" s="3">
        <v>244</v>
      </c>
      <c r="EF31" s="3">
        <v>0</v>
      </c>
      <c r="EG31" s="3">
        <v>0</v>
      </c>
      <c r="EH31" s="3">
        <v>0</v>
      </c>
      <c r="EI31" s="3">
        <v>0</v>
      </c>
      <c r="EJ31" s="3">
        <v>0</v>
      </c>
      <c r="EK31" s="3">
        <v>0</v>
      </c>
      <c r="EL31" s="3">
        <v>0</v>
      </c>
      <c r="EM31" s="3">
        <v>0</v>
      </c>
      <c r="EN31" s="3">
        <v>0</v>
      </c>
      <c r="EO31" s="4">
        <f t="shared" si="20"/>
        <v>244</v>
      </c>
      <c r="EP31" s="8">
        <f t="shared" si="21"/>
        <v>450</v>
      </c>
      <c r="EQ31" s="181">
        <f>IFERROR(VLOOKUP(I31,CEI_012018!$A$1:$U$509,9,FALSE),0)</f>
        <v>0</v>
      </c>
      <c r="ER31" s="181">
        <f>IFERROR(VLOOKUP(I31,CEI_022018!$A$1:$U$509,9,FALSE),0)</f>
        <v>0</v>
      </c>
      <c r="ES31" s="181">
        <f>IFERROR(VLOOKUP(I31,CEI_032018!$A$1:$U$509,9,FALSE),0)</f>
        <v>0</v>
      </c>
      <c r="ET31" s="181">
        <f>IFERROR(VLOOKUP(I31,CEI_042018!$A$1:$U$491,9,FALSE),0)</f>
        <v>0</v>
      </c>
      <c r="EU31" s="181">
        <f>IFERROR(VLOOKUP(I31,CEI_052018!$A$1:$U$489,9,FALSE),0)</f>
        <v>0</v>
      </c>
      <c r="EV31" s="181">
        <f>IFERROR(VLOOKUP(I31,CEI_062018!$A$1:$U$489,9,FALSE),0)</f>
        <v>0</v>
      </c>
      <c r="EW31" s="181">
        <f>IFERROR(VLOOKUP(I31,CEI_072018!$A$1:$U$489,9,FALSE),0)</f>
        <v>0</v>
      </c>
      <c r="EX31" s="181">
        <f>IFERROR(VLOOKUP(I31,CEI_082018!$A$1:$U$489,9,FALSE),0)</f>
        <v>0</v>
      </c>
      <c r="EY31" s="181">
        <f>IFERROR(VLOOKUP(I31,CEI_092018!$A$1:$U$489,9,FALSE),0)</f>
        <v>0</v>
      </c>
      <c r="EZ31" s="181"/>
      <c r="FA31" s="181"/>
      <c r="FB31" s="181"/>
      <c r="FC31" s="181">
        <f>IFERROR(VLOOKUP(I31,CEI_092018!$A$1:$U$489,12,FALSE),0)</f>
        <v>0</v>
      </c>
      <c r="FD31" s="181">
        <f t="shared" si="14"/>
        <v>0</v>
      </c>
      <c r="FE31" s="181">
        <f t="shared" si="15"/>
        <v>0</v>
      </c>
      <c r="FF31"/>
      <c r="FG31"/>
      <c r="FH31"/>
      <c r="FI31"/>
      <c r="FJ31"/>
      <c r="FK31"/>
      <c r="FL31"/>
      <c r="FM31"/>
      <c r="FN31"/>
      <c r="FO31"/>
      <c r="FP31"/>
      <c r="FQ31"/>
      <c r="FR31"/>
      <c r="FS31"/>
      <c r="FT31"/>
      <c r="FU31"/>
      <c r="FV31"/>
      <c r="FW31"/>
      <c r="FX31"/>
      <c r="FY31"/>
      <c r="FZ31"/>
      <c r="GA31"/>
      <c r="GB31"/>
      <c r="GC31"/>
    </row>
    <row r="32" spans="1:185" ht="12.95" customHeight="1" x14ac:dyDescent="0.25">
      <c r="A32" s="202"/>
      <c r="B32" s="22" t="s">
        <v>54</v>
      </c>
      <c r="C32" s="34" t="s">
        <v>32</v>
      </c>
      <c r="D32" s="22" t="s">
        <v>1059</v>
      </c>
      <c r="E32" s="25" t="s">
        <v>1063</v>
      </c>
      <c r="F32" s="25" t="s">
        <v>188</v>
      </c>
      <c r="G32" s="25" t="s">
        <v>1837</v>
      </c>
      <c r="H32" s="22" t="s">
        <v>65</v>
      </c>
      <c r="I32" s="423" t="s">
        <v>565</v>
      </c>
      <c r="J32" s="37" t="s">
        <v>59</v>
      </c>
      <c r="K32" s="23" t="s">
        <v>1107</v>
      </c>
      <c r="L32" s="23" t="s">
        <v>1108</v>
      </c>
      <c r="M32" s="23" t="s">
        <v>1109</v>
      </c>
      <c r="N32" s="23" t="s">
        <v>59</v>
      </c>
      <c r="O32" s="2">
        <v>0</v>
      </c>
      <c r="P32" s="2">
        <v>0</v>
      </c>
      <c r="Q32" s="2">
        <v>0</v>
      </c>
      <c r="R32" s="2">
        <v>0</v>
      </c>
      <c r="S32" s="2">
        <v>0</v>
      </c>
      <c r="T32" s="116">
        <f t="shared" si="0"/>
        <v>0</v>
      </c>
      <c r="U32" s="324">
        <v>0</v>
      </c>
      <c r="V32" s="324">
        <v>0</v>
      </c>
      <c r="W32" s="324">
        <v>0</v>
      </c>
      <c r="X32" s="324">
        <v>0</v>
      </c>
      <c r="Y32" s="324">
        <v>0</v>
      </c>
      <c r="Z32" s="324">
        <v>0</v>
      </c>
      <c r="AA32" s="324">
        <v>0</v>
      </c>
      <c r="AB32" s="324">
        <v>0</v>
      </c>
      <c r="AC32" s="324">
        <v>0</v>
      </c>
      <c r="AD32" s="324">
        <v>0</v>
      </c>
      <c r="AE32" s="324">
        <v>0</v>
      </c>
      <c r="AF32" s="324">
        <v>0</v>
      </c>
      <c r="AG32" s="140">
        <f t="shared" si="1"/>
        <v>0</v>
      </c>
      <c r="AH32" s="324">
        <v>0</v>
      </c>
      <c r="AI32" s="324">
        <v>0</v>
      </c>
      <c r="AJ32" s="324">
        <v>0</v>
      </c>
      <c r="AK32" s="324">
        <v>0</v>
      </c>
      <c r="AL32" s="324">
        <v>0</v>
      </c>
      <c r="AM32" s="324">
        <v>0</v>
      </c>
      <c r="AN32" s="324">
        <v>0</v>
      </c>
      <c r="AO32" s="324">
        <v>0</v>
      </c>
      <c r="AP32" s="324">
        <v>0</v>
      </c>
      <c r="AQ32" s="324">
        <v>0</v>
      </c>
      <c r="AR32" s="324">
        <v>0</v>
      </c>
      <c r="AS32" s="324">
        <v>0</v>
      </c>
      <c r="AT32" s="140">
        <f t="shared" si="2"/>
        <v>0</v>
      </c>
      <c r="AU32" s="324">
        <v>0</v>
      </c>
      <c r="AV32" s="324">
        <v>0</v>
      </c>
      <c r="AW32" s="324">
        <v>175</v>
      </c>
      <c r="AX32" s="324">
        <v>0</v>
      </c>
      <c r="AY32" s="324">
        <v>0</v>
      </c>
      <c r="AZ32" s="324">
        <v>0</v>
      </c>
      <c r="BA32" s="324">
        <v>0</v>
      </c>
      <c r="BB32" s="324">
        <v>0</v>
      </c>
      <c r="BC32" s="324">
        <v>0</v>
      </c>
      <c r="BD32" s="324">
        <v>0</v>
      </c>
      <c r="BE32" s="324">
        <v>0</v>
      </c>
      <c r="BF32" s="324">
        <v>0</v>
      </c>
      <c r="BG32" s="140">
        <f t="shared" si="3"/>
        <v>175</v>
      </c>
      <c r="BH32" s="324">
        <v>0</v>
      </c>
      <c r="BI32" s="324">
        <v>0</v>
      </c>
      <c r="BJ32" s="324">
        <v>0</v>
      </c>
      <c r="BK32" s="324">
        <v>0</v>
      </c>
      <c r="BL32" s="324">
        <v>0</v>
      </c>
      <c r="BM32" s="324">
        <v>0</v>
      </c>
      <c r="BN32" s="324">
        <v>0</v>
      </c>
      <c r="BO32" s="324">
        <v>0</v>
      </c>
      <c r="BP32" s="324">
        <v>0</v>
      </c>
      <c r="BQ32" s="324">
        <v>0</v>
      </c>
      <c r="BR32" s="324">
        <v>0</v>
      </c>
      <c r="BS32" s="324">
        <v>0</v>
      </c>
      <c r="BT32" s="140">
        <f t="shared" si="4"/>
        <v>0</v>
      </c>
      <c r="BU32" s="114">
        <f t="shared" si="5"/>
        <v>175</v>
      </c>
      <c r="BV32" s="432"/>
      <c r="BW32" s="432"/>
      <c r="BX32" s="432"/>
      <c r="BY32" s="432"/>
      <c r="BZ32" s="433"/>
      <c r="CA32" s="434"/>
      <c r="CB32" s="7" t="s">
        <v>1700</v>
      </c>
      <c r="CC32" s="3">
        <v>0</v>
      </c>
      <c r="CD32" s="3">
        <v>0</v>
      </c>
      <c r="CE32" s="3">
        <v>0</v>
      </c>
      <c r="CF32" s="3">
        <v>0</v>
      </c>
      <c r="CG32" s="3">
        <v>0</v>
      </c>
      <c r="CH32" s="3">
        <v>0</v>
      </c>
      <c r="CI32" s="3">
        <v>0</v>
      </c>
      <c r="CJ32" s="3">
        <v>0</v>
      </c>
      <c r="CK32" s="3">
        <v>0</v>
      </c>
      <c r="CL32" s="3">
        <v>0</v>
      </c>
      <c r="CM32" s="3">
        <v>0</v>
      </c>
      <c r="CN32" s="3">
        <v>0</v>
      </c>
      <c r="CO32" s="4">
        <f t="shared" si="16"/>
        <v>0</v>
      </c>
      <c r="CP32" s="3">
        <v>0</v>
      </c>
      <c r="CQ32" s="3">
        <v>0</v>
      </c>
      <c r="CR32" s="3">
        <v>0</v>
      </c>
      <c r="CS32" s="3">
        <v>0</v>
      </c>
      <c r="CT32" s="3">
        <v>0</v>
      </c>
      <c r="CU32" s="3">
        <v>0</v>
      </c>
      <c r="CV32" s="3">
        <v>0</v>
      </c>
      <c r="CW32" s="3">
        <v>0</v>
      </c>
      <c r="CX32" s="3">
        <v>0</v>
      </c>
      <c r="CY32" s="3">
        <v>0</v>
      </c>
      <c r="CZ32" s="3">
        <v>0</v>
      </c>
      <c r="DA32" s="3">
        <v>0</v>
      </c>
      <c r="DB32" s="4">
        <f t="shared" si="17"/>
        <v>0</v>
      </c>
      <c r="DC32" s="3">
        <v>0</v>
      </c>
      <c r="DD32" s="3">
        <v>0</v>
      </c>
      <c r="DE32" s="3">
        <v>0</v>
      </c>
      <c r="DF32" s="3">
        <v>0</v>
      </c>
      <c r="DG32" s="3">
        <v>0</v>
      </c>
      <c r="DH32" s="3">
        <v>0</v>
      </c>
      <c r="DI32" s="3">
        <v>0</v>
      </c>
      <c r="DJ32" s="3">
        <v>0</v>
      </c>
      <c r="DK32" s="3">
        <v>0</v>
      </c>
      <c r="DL32" s="3">
        <v>0</v>
      </c>
      <c r="DM32" s="3">
        <v>0</v>
      </c>
      <c r="DN32" s="3">
        <v>0</v>
      </c>
      <c r="DO32" s="4">
        <f t="shared" si="18"/>
        <v>0</v>
      </c>
      <c r="DP32" s="3">
        <v>0</v>
      </c>
      <c r="DQ32" s="3">
        <v>0</v>
      </c>
      <c r="DR32" s="3">
        <v>500.00000000000006</v>
      </c>
      <c r="DS32" s="3">
        <v>0</v>
      </c>
      <c r="DT32" s="3">
        <v>0</v>
      </c>
      <c r="DU32" s="3">
        <v>0</v>
      </c>
      <c r="DV32" s="3">
        <v>0</v>
      </c>
      <c r="DW32" s="3">
        <v>0</v>
      </c>
      <c r="DX32" s="3">
        <v>0</v>
      </c>
      <c r="DY32" s="3">
        <v>0</v>
      </c>
      <c r="DZ32" s="3">
        <v>0</v>
      </c>
      <c r="EA32" s="3">
        <v>0</v>
      </c>
      <c r="EB32" s="4">
        <f t="shared" si="19"/>
        <v>500.00000000000006</v>
      </c>
      <c r="EC32" s="3">
        <v>0</v>
      </c>
      <c r="ED32" s="3">
        <v>0</v>
      </c>
      <c r="EE32" s="3">
        <v>0</v>
      </c>
      <c r="EF32" s="3">
        <v>0</v>
      </c>
      <c r="EG32" s="3">
        <v>0</v>
      </c>
      <c r="EH32" s="3">
        <v>0</v>
      </c>
      <c r="EI32" s="3">
        <v>0</v>
      </c>
      <c r="EJ32" s="3">
        <v>0</v>
      </c>
      <c r="EK32" s="3">
        <v>0</v>
      </c>
      <c r="EL32" s="3">
        <v>0</v>
      </c>
      <c r="EM32" s="3">
        <v>0</v>
      </c>
      <c r="EN32" s="3">
        <v>0</v>
      </c>
      <c r="EO32" s="4">
        <f t="shared" si="20"/>
        <v>0</v>
      </c>
      <c r="EP32" s="8">
        <f t="shared" si="21"/>
        <v>500.00000000000006</v>
      </c>
      <c r="EQ32" s="181">
        <f>IFERROR(VLOOKUP(I32,CEI_012018!$A$1:$U$509,9,FALSE),0)</f>
        <v>0</v>
      </c>
      <c r="ER32" s="181">
        <f>IFERROR(VLOOKUP(I32,CEI_022018!$A$1:$U$509,9,FALSE),0)</f>
        <v>0</v>
      </c>
      <c r="ES32" s="181">
        <f>IFERROR(VLOOKUP(I32,CEI_032018!$A$1:$U$509,9,FALSE),0)</f>
        <v>0</v>
      </c>
      <c r="ET32" s="181">
        <f>IFERROR(VLOOKUP(I32,CEI_042018!$A$1:$U$491,9,FALSE),0)</f>
        <v>0</v>
      </c>
      <c r="EU32" s="181">
        <f>IFERROR(VLOOKUP(I32,CEI_052018!$A$1:$U$489,9,FALSE),0)</f>
        <v>0</v>
      </c>
      <c r="EV32" s="181">
        <f>IFERROR(VLOOKUP(I32,CEI_062018!$A$1:$U$489,9,FALSE),0)</f>
        <v>0</v>
      </c>
      <c r="EW32" s="181">
        <f>IFERROR(VLOOKUP(I32,CEI_072018!$A$1:$U$489,9,FALSE),0)</f>
        <v>0</v>
      </c>
      <c r="EX32" s="181">
        <f>IFERROR(VLOOKUP(I32,CEI_082018!$A$1:$U$489,9,FALSE),0)</f>
        <v>0</v>
      </c>
      <c r="EY32" s="181">
        <f>IFERROR(VLOOKUP(I32,CEI_092018!$A$1:$U$489,9,FALSE),0)</f>
        <v>0</v>
      </c>
      <c r="EZ32" s="181"/>
      <c r="FA32" s="181"/>
      <c r="FB32" s="181"/>
      <c r="FC32" s="181">
        <f>IFERROR(VLOOKUP(I32,CEI_092018!$A$1:$U$489,12,FALSE),0)</f>
        <v>0</v>
      </c>
      <c r="FD32" s="181">
        <f t="shared" si="14"/>
        <v>0</v>
      </c>
      <c r="FE32" s="181">
        <f t="shared" si="15"/>
        <v>0</v>
      </c>
      <c r="FF32"/>
      <c r="FG32"/>
      <c r="FH32"/>
      <c r="FI32"/>
      <c r="FJ32"/>
      <c r="FK32"/>
      <c r="FL32"/>
      <c r="FM32"/>
      <c r="FN32"/>
      <c r="FO32"/>
      <c r="FP32"/>
      <c r="FQ32"/>
      <c r="FR32"/>
      <c r="FS32"/>
      <c r="FT32"/>
      <c r="FU32"/>
      <c r="FV32"/>
      <c r="FW32"/>
      <c r="FX32"/>
      <c r="FY32"/>
      <c r="FZ32"/>
      <c r="GA32"/>
      <c r="GB32"/>
      <c r="GC32"/>
    </row>
    <row r="33" spans="1:185" ht="12.95" customHeight="1" x14ac:dyDescent="0.25">
      <c r="A33" s="202"/>
      <c r="B33" s="22" t="s">
        <v>54</v>
      </c>
      <c r="C33" s="34" t="s">
        <v>32</v>
      </c>
      <c r="D33" s="22" t="s">
        <v>1060</v>
      </c>
      <c r="E33" s="25" t="s">
        <v>1064</v>
      </c>
      <c r="F33" s="25" t="s">
        <v>58</v>
      </c>
      <c r="G33" s="25" t="s">
        <v>1838</v>
      </c>
      <c r="H33" s="22" t="s">
        <v>56</v>
      </c>
      <c r="I33" s="423" t="s">
        <v>565</v>
      </c>
      <c r="J33" s="37" t="s">
        <v>59</v>
      </c>
      <c r="K33" s="23" t="s">
        <v>1724</v>
      </c>
      <c r="L33" s="23" t="s">
        <v>708</v>
      </c>
      <c r="M33" s="23" t="s">
        <v>59</v>
      </c>
      <c r="N33" s="23" t="s">
        <v>59</v>
      </c>
      <c r="O33" s="2">
        <v>0</v>
      </c>
      <c r="P33" s="2">
        <v>0</v>
      </c>
      <c r="Q33" s="2">
        <v>0</v>
      </c>
      <c r="R33" s="2">
        <v>0</v>
      </c>
      <c r="S33" s="2">
        <v>0</v>
      </c>
      <c r="T33" s="116">
        <f t="shared" si="0"/>
        <v>0</v>
      </c>
      <c r="U33" s="324">
        <v>0</v>
      </c>
      <c r="V33" s="324">
        <v>0</v>
      </c>
      <c r="W33" s="324">
        <v>0</v>
      </c>
      <c r="X33" s="324">
        <v>0</v>
      </c>
      <c r="Y33" s="324">
        <v>0</v>
      </c>
      <c r="Z33" s="324">
        <v>0</v>
      </c>
      <c r="AA33" s="324">
        <v>0</v>
      </c>
      <c r="AB33" s="324">
        <v>0</v>
      </c>
      <c r="AC33" s="324">
        <v>0</v>
      </c>
      <c r="AD33" s="324">
        <v>0</v>
      </c>
      <c r="AE33" s="324">
        <v>0</v>
      </c>
      <c r="AF33" s="324">
        <v>0</v>
      </c>
      <c r="AG33" s="140">
        <f t="shared" si="1"/>
        <v>0</v>
      </c>
      <c r="AH33" s="324">
        <v>0</v>
      </c>
      <c r="AI33" s="324">
        <v>0</v>
      </c>
      <c r="AJ33" s="324">
        <v>0</v>
      </c>
      <c r="AK33" s="324">
        <v>0</v>
      </c>
      <c r="AL33" s="324">
        <v>0</v>
      </c>
      <c r="AM33" s="324">
        <v>0</v>
      </c>
      <c r="AN33" s="324">
        <v>0</v>
      </c>
      <c r="AO33" s="324">
        <v>0</v>
      </c>
      <c r="AP33" s="324">
        <v>0</v>
      </c>
      <c r="AQ33" s="324">
        <v>0</v>
      </c>
      <c r="AR33" s="324">
        <v>0</v>
      </c>
      <c r="AS33" s="324">
        <v>0</v>
      </c>
      <c r="AT33" s="140">
        <f t="shared" si="2"/>
        <v>0</v>
      </c>
      <c r="AU33" s="324">
        <v>0</v>
      </c>
      <c r="AV33" s="324">
        <v>0</v>
      </c>
      <c r="AW33" s="324">
        <v>0</v>
      </c>
      <c r="AX33" s="324">
        <v>0</v>
      </c>
      <c r="AY33" s="324">
        <v>0</v>
      </c>
      <c r="AZ33" s="324">
        <v>0</v>
      </c>
      <c r="BA33" s="324">
        <v>0</v>
      </c>
      <c r="BB33" s="324">
        <v>0</v>
      </c>
      <c r="BC33" s="324">
        <v>0</v>
      </c>
      <c r="BD33" s="324">
        <v>150</v>
      </c>
      <c r="BE33" s="324">
        <v>0</v>
      </c>
      <c r="BF33" s="324">
        <v>0</v>
      </c>
      <c r="BG33" s="140">
        <f t="shared" si="3"/>
        <v>150</v>
      </c>
      <c r="BH33" s="324">
        <v>0</v>
      </c>
      <c r="BI33" s="324">
        <v>0</v>
      </c>
      <c r="BJ33" s="324">
        <v>0</v>
      </c>
      <c r="BK33" s="324">
        <v>0</v>
      </c>
      <c r="BL33" s="324">
        <v>0</v>
      </c>
      <c r="BM33" s="324">
        <v>0</v>
      </c>
      <c r="BN33" s="324">
        <v>0</v>
      </c>
      <c r="BO33" s="324">
        <v>0</v>
      </c>
      <c r="BP33" s="324">
        <v>0</v>
      </c>
      <c r="BQ33" s="324">
        <v>0</v>
      </c>
      <c r="BR33" s="324">
        <v>0</v>
      </c>
      <c r="BS33" s="324">
        <v>0</v>
      </c>
      <c r="BT33" s="140">
        <f t="shared" si="4"/>
        <v>0</v>
      </c>
      <c r="BU33" s="114">
        <f t="shared" si="5"/>
        <v>150</v>
      </c>
      <c r="BV33" s="432"/>
      <c r="BW33" s="432"/>
      <c r="BX33" s="432"/>
      <c r="BY33" s="432"/>
      <c r="BZ33" s="433"/>
      <c r="CA33" s="434"/>
      <c r="CB33" s="7" t="s">
        <v>1702</v>
      </c>
      <c r="CC33" s="3">
        <v>0</v>
      </c>
      <c r="CD33" s="3">
        <v>0</v>
      </c>
      <c r="CE33" s="3">
        <v>0</v>
      </c>
      <c r="CF33" s="3">
        <v>0</v>
      </c>
      <c r="CG33" s="3">
        <v>0</v>
      </c>
      <c r="CH33" s="3">
        <v>0</v>
      </c>
      <c r="CI33" s="3">
        <v>0</v>
      </c>
      <c r="CJ33" s="3">
        <v>0</v>
      </c>
      <c r="CK33" s="3">
        <v>0</v>
      </c>
      <c r="CL33" s="3">
        <v>0</v>
      </c>
      <c r="CM33" s="3">
        <v>0</v>
      </c>
      <c r="CN33" s="3">
        <v>0</v>
      </c>
      <c r="CO33" s="4">
        <f t="shared" si="16"/>
        <v>0</v>
      </c>
      <c r="CP33" s="3">
        <v>0</v>
      </c>
      <c r="CQ33" s="3">
        <v>0</v>
      </c>
      <c r="CR33" s="3">
        <v>0</v>
      </c>
      <c r="CS33" s="3">
        <v>0</v>
      </c>
      <c r="CT33" s="3">
        <v>0</v>
      </c>
      <c r="CU33" s="3">
        <v>0</v>
      </c>
      <c r="CV33" s="3">
        <v>10</v>
      </c>
      <c r="CW33" s="3">
        <v>0</v>
      </c>
      <c r="CX33" s="3">
        <v>0</v>
      </c>
      <c r="CY33" s="3">
        <v>0</v>
      </c>
      <c r="CZ33" s="3">
        <v>0</v>
      </c>
      <c r="DA33" s="3">
        <v>0</v>
      </c>
      <c r="DB33" s="4">
        <f t="shared" si="17"/>
        <v>10</v>
      </c>
      <c r="DC33" s="3">
        <v>0</v>
      </c>
      <c r="DD33" s="3">
        <v>0</v>
      </c>
      <c r="DE33" s="3">
        <v>0</v>
      </c>
      <c r="DF33" s="3">
        <v>0</v>
      </c>
      <c r="DG33" s="3">
        <v>0</v>
      </c>
      <c r="DH33" s="3">
        <v>0</v>
      </c>
      <c r="DI33" s="3">
        <v>0</v>
      </c>
      <c r="DJ33" s="3">
        <v>0</v>
      </c>
      <c r="DK33" s="3">
        <v>0</v>
      </c>
      <c r="DL33" s="3">
        <v>0</v>
      </c>
      <c r="DM33" s="3">
        <v>0</v>
      </c>
      <c r="DN33" s="3">
        <v>0</v>
      </c>
      <c r="DO33" s="4">
        <f t="shared" si="18"/>
        <v>0</v>
      </c>
      <c r="DP33" s="3">
        <v>0</v>
      </c>
      <c r="DQ33" s="3">
        <v>0</v>
      </c>
      <c r="DR33" s="3">
        <v>0</v>
      </c>
      <c r="DS33" s="3">
        <v>0</v>
      </c>
      <c r="DT33" s="3">
        <v>0</v>
      </c>
      <c r="DU33" s="3">
        <v>0</v>
      </c>
      <c r="DV33" s="3">
        <v>0</v>
      </c>
      <c r="DW33" s="3">
        <v>0</v>
      </c>
      <c r="DX33" s="3">
        <v>0</v>
      </c>
      <c r="DY33" s="3">
        <v>0</v>
      </c>
      <c r="DZ33" s="3">
        <v>0</v>
      </c>
      <c r="EA33" s="3">
        <v>0</v>
      </c>
      <c r="EB33" s="4">
        <f t="shared" si="19"/>
        <v>0</v>
      </c>
      <c r="EC33" s="3">
        <v>0</v>
      </c>
      <c r="ED33" s="3">
        <v>0</v>
      </c>
      <c r="EE33" s="3">
        <v>0</v>
      </c>
      <c r="EF33" s="3">
        <v>0</v>
      </c>
      <c r="EG33" s="3">
        <v>0</v>
      </c>
      <c r="EH33" s="3">
        <v>0</v>
      </c>
      <c r="EI33" s="3">
        <v>0</v>
      </c>
      <c r="EJ33" s="3">
        <v>0</v>
      </c>
      <c r="EK33" s="3">
        <v>0</v>
      </c>
      <c r="EL33" s="3">
        <v>0</v>
      </c>
      <c r="EM33" s="3">
        <v>0</v>
      </c>
      <c r="EN33" s="3">
        <v>0</v>
      </c>
      <c r="EO33" s="4">
        <f t="shared" si="20"/>
        <v>0</v>
      </c>
      <c r="EP33" s="8">
        <f t="shared" si="21"/>
        <v>10</v>
      </c>
      <c r="EQ33" s="181">
        <f>IFERROR(VLOOKUP(I33,CEI_012018!$A$1:$U$509,9,FALSE),0)</f>
        <v>0</v>
      </c>
      <c r="ER33" s="181">
        <f>IFERROR(VLOOKUP(I33,CEI_022018!$A$1:$U$509,9,FALSE),0)</f>
        <v>0</v>
      </c>
      <c r="ES33" s="181">
        <f>IFERROR(VLOOKUP(I33,CEI_032018!$A$1:$U$509,9,FALSE),0)</f>
        <v>0</v>
      </c>
      <c r="ET33" s="181">
        <f>IFERROR(VLOOKUP(I33,CEI_042018!$A$1:$U$491,9,FALSE),0)</f>
        <v>0</v>
      </c>
      <c r="EU33" s="181">
        <f>IFERROR(VLOOKUP(I33,CEI_052018!$A$1:$U$489,9,FALSE),0)</f>
        <v>0</v>
      </c>
      <c r="EV33" s="181">
        <f>IFERROR(VLOOKUP(I33,CEI_062018!$A$1:$U$489,9,FALSE),0)</f>
        <v>0</v>
      </c>
      <c r="EW33" s="181">
        <f>IFERROR(VLOOKUP(I33,CEI_072018!$A$1:$U$489,9,FALSE),0)</f>
        <v>0</v>
      </c>
      <c r="EX33" s="181">
        <f>IFERROR(VLOOKUP(I33,CEI_082018!$A$1:$U$489,9,FALSE),0)</f>
        <v>0</v>
      </c>
      <c r="EY33" s="181">
        <f>IFERROR(VLOOKUP(I33,CEI_092018!$A$1:$U$489,9,FALSE),0)</f>
        <v>0</v>
      </c>
      <c r="EZ33" s="181"/>
      <c r="FA33" s="181"/>
      <c r="FB33" s="181"/>
      <c r="FC33" s="181">
        <f>IFERROR(VLOOKUP(I33,CEI_092018!$A$1:$U$489,12,FALSE),0)</f>
        <v>0</v>
      </c>
      <c r="FD33" s="181">
        <f t="shared" si="14"/>
        <v>0</v>
      </c>
      <c r="FE33" s="181">
        <f t="shared" si="15"/>
        <v>0</v>
      </c>
      <c r="FF33"/>
      <c r="FG33"/>
      <c r="FH33"/>
      <c r="FI33"/>
      <c r="FJ33"/>
      <c r="FK33"/>
      <c r="FL33"/>
      <c r="FM33"/>
      <c r="FN33"/>
      <c r="FO33"/>
      <c r="FP33"/>
      <c r="FQ33"/>
      <c r="FR33"/>
      <c r="FS33"/>
      <c r="FT33"/>
      <c r="FU33"/>
      <c r="FV33"/>
      <c r="FW33"/>
      <c r="FX33"/>
      <c r="FY33"/>
      <c r="FZ33"/>
      <c r="GA33"/>
      <c r="GB33"/>
      <c r="GC33"/>
    </row>
    <row r="34" spans="1:185" ht="12.95" customHeight="1" x14ac:dyDescent="0.25">
      <c r="A34" s="202"/>
      <c r="B34" s="22" t="s">
        <v>54</v>
      </c>
      <c r="C34" s="34" t="s">
        <v>32</v>
      </c>
      <c r="D34" s="22" t="s">
        <v>1059</v>
      </c>
      <c r="E34" s="25" t="s">
        <v>1063</v>
      </c>
      <c r="F34" s="25" t="s">
        <v>1832</v>
      </c>
      <c r="G34" s="25" t="s">
        <v>1839</v>
      </c>
      <c r="H34" s="22" t="s">
        <v>65</v>
      </c>
      <c r="I34" s="423" t="s">
        <v>1213</v>
      </c>
      <c r="J34" s="37" t="s">
        <v>1214</v>
      </c>
      <c r="K34" s="23" t="s">
        <v>910</v>
      </c>
      <c r="L34" s="23" t="s">
        <v>911</v>
      </c>
      <c r="M34" s="23" t="s">
        <v>1032</v>
      </c>
      <c r="N34" s="23" t="s">
        <v>1868</v>
      </c>
      <c r="O34" s="2"/>
      <c r="P34" s="2">
        <v>16</v>
      </c>
      <c r="Q34" s="2">
        <v>20</v>
      </c>
      <c r="R34" s="2">
        <v>20</v>
      </c>
      <c r="S34" s="2">
        <f>43.199+16</f>
        <v>59.198999999999998</v>
      </c>
      <c r="T34" s="116">
        <f t="shared" si="0"/>
        <v>115.199</v>
      </c>
      <c r="U34" s="324">
        <v>0</v>
      </c>
      <c r="V34" s="324">
        <v>0</v>
      </c>
      <c r="W34" s="324">
        <v>0</v>
      </c>
      <c r="X34" s="324">
        <v>0</v>
      </c>
      <c r="Y34" s="324">
        <v>0</v>
      </c>
      <c r="Z34" s="324">
        <v>0</v>
      </c>
      <c r="AA34" s="324">
        <v>0</v>
      </c>
      <c r="AB34" s="324">
        <v>0</v>
      </c>
      <c r="AC34" s="324">
        <v>0</v>
      </c>
      <c r="AD34" s="324">
        <v>0</v>
      </c>
      <c r="AE34" s="324">
        <v>0</v>
      </c>
      <c r="AF34" s="324">
        <v>0</v>
      </c>
      <c r="AG34" s="140">
        <f t="shared" si="1"/>
        <v>0</v>
      </c>
      <c r="AH34" s="324">
        <v>0</v>
      </c>
      <c r="AI34" s="324">
        <v>0</v>
      </c>
      <c r="AJ34" s="324">
        <v>0</v>
      </c>
      <c r="AK34" s="324">
        <v>0</v>
      </c>
      <c r="AL34" s="324">
        <v>0</v>
      </c>
      <c r="AM34" s="324">
        <v>0</v>
      </c>
      <c r="AN34" s="324">
        <v>0</v>
      </c>
      <c r="AO34" s="324">
        <v>0</v>
      </c>
      <c r="AP34" s="324">
        <v>0</v>
      </c>
      <c r="AQ34" s="324">
        <v>0</v>
      </c>
      <c r="AR34" s="324">
        <v>0</v>
      </c>
      <c r="AS34" s="324">
        <v>0</v>
      </c>
      <c r="AT34" s="140">
        <f t="shared" si="2"/>
        <v>0</v>
      </c>
      <c r="AU34" s="324">
        <v>0</v>
      </c>
      <c r="AV34" s="324">
        <v>0</v>
      </c>
      <c r="AW34" s="324">
        <v>0</v>
      </c>
      <c r="AX34" s="324">
        <v>0</v>
      </c>
      <c r="AY34" s="324">
        <v>0</v>
      </c>
      <c r="AZ34" s="324">
        <v>0</v>
      </c>
      <c r="BA34" s="324">
        <v>0</v>
      </c>
      <c r="BB34" s="324">
        <v>0</v>
      </c>
      <c r="BC34" s="324">
        <v>0</v>
      </c>
      <c r="BD34" s="324">
        <v>0</v>
      </c>
      <c r="BE34" s="324">
        <v>0</v>
      </c>
      <c r="BF34" s="324">
        <v>0</v>
      </c>
      <c r="BG34" s="140">
        <f t="shared" si="3"/>
        <v>0</v>
      </c>
      <c r="BH34" s="324">
        <v>0</v>
      </c>
      <c r="BI34" s="324">
        <v>0</v>
      </c>
      <c r="BJ34" s="324">
        <v>0</v>
      </c>
      <c r="BK34" s="324">
        <v>0</v>
      </c>
      <c r="BL34" s="324">
        <v>0</v>
      </c>
      <c r="BM34" s="324">
        <v>0</v>
      </c>
      <c r="BN34" s="324">
        <v>0</v>
      </c>
      <c r="BO34" s="324">
        <v>0</v>
      </c>
      <c r="BP34" s="324">
        <v>0</v>
      </c>
      <c r="BQ34" s="324">
        <v>0</v>
      </c>
      <c r="BR34" s="324">
        <v>0</v>
      </c>
      <c r="BS34" s="324">
        <v>0</v>
      </c>
      <c r="BT34" s="140">
        <f t="shared" si="4"/>
        <v>0</v>
      </c>
      <c r="BU34" s="114">
        <f t="shared" si="5"/>
        <v>115.199</v>
      </c>
      <c r="BV34" s="372">
        <v>1</v>
      </c>
      <c r="BW34" s="372">
        <v>1</v>
      </c>
      <c r="BX34" s="372">
        <v>1</v>
      </c>
      <c r="BY34" s="372">
        <v>1</v>
      </c>
      <c r="BZ34" s="436">
        <f>IFERROR((EX34/T34%),0)</f>
        <v>0</v>
      </c>
      <c r="CA34" s="428">
        <f>IFERROR((FD34/T34%),0)</f>
        <v>100.00086541397251</v>
      </c>
      <c r="CB34" s="7" t="s">
        <v>1699</v>
      </c>
      <c r="CC34" s="3">
        <v>0</v>
      </c>
      <c r="CD34" s="3">
        <v>0</v>
      </c>
      <c r="CE34" s="3">
        <v>0</v>
      </c>
      <c r="CF34" s="3">
        <v>0</v>
      </c>
      <c r="CG34" s="3">
        <v>0</v>
      </c>
      <c r="CH34" s="3">
        <v>0</v>
      </c>
      <c r="CI34" s="3">
        <v>0</v>
      </c>
      <c r="CJ34" s="3">
        <v>0</v>
      </c>
      <c r="CK34" s="3">
        <v>0</v>
      </c>
      <c r="CL34" s="3">
        <v>0</v>
      </c>
      <c r="CM34" s="3">
        <v>0</v>
      </c>
      <c r="CN34" s="3">
        <v>1</v>
      </c>
      <c r="CO34" s="4">
        <f t="shared" si="16"/>
        <v>1</v>
      </c>
      <c r="CP34" s="3">
        <v>0</v>
      </c>
      <c r="CQ34" s="3">
        <v>0</v>
      </c>
      <c r="CR34" s="3">
        <v>0</v>
      </c>
      <c r="CS34" s="3">
        <v>0</v>
      </c>
      <c r="CT34" s="3">
        <v>0</v>
      </c>
      <c r="CU34" s="3">
        <v>0</v>
      </c>
      <c r="CV34" s="3">
        <v>0</v>
      </c>
      <c r="CW34" s="3">
        <v>0</v>
      </c>
      <c r="CX34" s="3">
        <v>0</v>
      </c>
      <c r="CY34" s="3">
        <v>0</v>
      </c>
      <c r="CZ34" s="3">
        <v>0</v>
      </c>
      <c r="DA34" s="3">
        <v>0</v>
      </c>
      <c r="DB34" s="4">
        <f t="shared" si="17"/>
        <v>0</v>
      </c>
      <c r="DC34" s="3">
        <v>0</v>
      </c>
      <c r="DD34" s="3">
        <v>0</v>
      </c>
      <c r="DE34" s="3">
        <v>0</v>
      </c>
      <c r="DF34" s="3">
        <v>0</v>
      </c>
      <c r="DG34" s="3">
        <v>0</v>
      </c>
      <c r="DH34" s="3">
        <v>0</v>
      </c>
      <c r="DI34" s="3">
        <v>0</v>
      </c>
      <c r="DJ34" s="3">
        <v>0</v>
      </c>
      <c r="DK34" s="3">
        <v>0</v>
      </c>
      <c r="DL34" s="3">
        <v>0</v>
      </c>
      <c r="DM34" s="3">
        <v>0</v>
      </c>
      <c r="DN34" s="3">
        <v>0</v>
      </c>
      <c r="DO34" s="4">
        <f t="shared" si="18"/>
        <v>0</v>
      </c>
      <c r="DP34" s="3">
        <v>0</v>
      </c>
      <c r="DQ34" s="3">
        <v>0</v>
      </c>
      <c r="DR34" s="3">
        <v>0</v>
      </c>
      <c r="DS34" s="3">
        <v>0</v>
      </c>
      <c r="DT34" s="3">
        <v>0</v>
      </c>
      <c r="DU34" s="3">
        <v>0</v>
      </c>
      <c r="DV34" s="3">
        <v>0</v>
      </c>
      <c r="DW34" s="3">
        <v>0</v>
      </c>
      <c r="DX34" s="3">
        <v>0</v>
      </c>
      <c r="DY34" s="3">
        <v>0</v>
      </c>
      <c r="DZ34" s="3">
        <v>0</v>
      </c>
      <c r="EA34" s="3">
        <v>0</v>
      </c>
      <c r="EB34" s="4">
        <f t="shared" si="19"/>
        <v>0</v>
      </c>
      <c r="EC34" s="3">
        <v>0</v>
      </c>
      <c r="ED34" s="3">
        <v>0</v>
      </c>
      <c r="EE34" s="3">
        <v>0</v>
      </c>
      <c r="EF34" s="3">
        <v>0</v>
      </c>
      <c r="EG34" s="3">
        <v>0</v>
      </c>
      <c r="EH34" s="3">
        <v>0</v>
      </c>
      <c r="EI34" s="3">
        <v>0</v>
      </c>
      <c r="EJ34" s="3">
        <v>0</v>
      </c>
      <c r="EK34" s="3">
        <v>0</v>
      </c>
      <c r="EL34" s="3">
        <v>0</v>
      </c>
      <c r="EM34" s="3">
        <v>0</v>
      </c>
      <c r="EN34" s="3">
        <v>0</v>
      </c>
      <c r="EO34" s="4">
        <f t="shared" si="20"/>
        <v>0</v>
      </c>
      <c r="EP34" s="8">
        <f t="shared" si="21"/>
        <v>1</v>
      </c>
      <c r="EQ34" s="181">
        <f>IFERROR(VLOOKUP(I34,CEI_012018!$A$1:$U$509,9,FALSE),0)</f>
        <v>0</v>
      </c>
      <c r="ER34" s="181">
        <f>IFERROR(VLOOKUP(I34,CEI_022018!$A$1:$U$509,9,FALSE),0)</f>
        <v>0</v>
      </c>
      <c r="ES34" s="181">
        <f>IFERROR(VLOOKUP(I34,CEI_032018!$A$1:$U$509,9,FALSE),0)</f>
        <v>0</v>
      </c>
      <c r="ET34" s="181">
        <f>IFERROR(VLOOKUP(I34,CEI_042018!$A$1:$U$491,9,FALSE),0)</f>
        <v>0</v>
      </c>
      <c r="EU34" s="181">
        <f>IFERROR(VLOOKUP(I34,CEI_052018!$A$1:$U$489,9,FALSE),0)</f>
        <v>0</v>
      </c>
      <c r="EV34" s="181">
        <f>IFERROR(VLOOKUP(I34,CEI_062018!$A$1:$U$489,9,FALSE),0)</f>
        <v>0</v>
      </c>
      <c r="EW34" s="181">
        <f>IFERROR(VLOOKUP(I34,CEI_072018!$A$1:$U$489,9,FALSE),0)</f>
        <v>0</v>
      </c>
      <c r="EX34" s="181">
        <f>IFERROR(VLOOKUP(I34,CEI_082018!$A$1:$U$489,9,FALSE),0)</f>
        <v>0</v>
      </c>
      <c r="EY34" s="181">
        <f>IFERROR(VLOOKUP(I34,CEI_092018!$A$1:$U$489,9,FALSE),0)</f>
        <v>0</v>
      </c>
      <c r="EZ34" s="181"/>
      <c r="FA34" s="181"/>
      <c r="FB34" s="181"/>
      <c r="FC34" s="181">
        <f>IFERROR(VLOOKUP(I34,CEI_092018!$A$1:$U$489,12,FALSE),0)</f>
        <v>115.19999694824219</v>
      </c>
      <c r="FD34" s="181">
        <f t="shared" si="14"/>
        <v>115.19999694824219</v>
      </c>
      <c r="FE34" s="181">
        <f t="shared" si="15"/>
        <v>-9.9694824218943268E-4</v>
      </c>
      <c r="FF34"/>
      <c r="FG34"/>
      <c r="FH34"/>
      <c r="FI34"/>
      <c r="FJ34"/>
      <c r="FK34"/>
      <c r="FL34"/>
      <c r="FM34"/>
      <c r="FN34"/>
      <c r="FO34"/>
      <c r="FP34"/>
      <c r="FQ34"/>
      <c r="FR34"/>
      <c r="FS34"/>
      <c r="FT34"/>
      <c r="FU34"/>
      <c r="FV34"/>
      <c r="FW34"/>
      <c r="FX34"/>
      <c r="FY34"/>
      <c r="FZ34"/>
      <c r="GA34"/>
      <c r="GB34"/>
      <c r="GC34"/>
    </row>
    <row r="35" spans="1:185" ht="12.95" customHeight="1" x14ac:dyDescent="0.25">
      <c r="A35" s="202"/>
      <c r="B35" s="22" t="s">
        <v>54</v>
      </c>
      <c r="C35" s="34" t="s">
        <v>32</v>
      </c>
      <c r="D35" s="22" t="s">
        <v>1058</v>
      </c>
      <c r="E35" s="25" t="s">
        <v>1062</v>
      </c>
      <c r="F35" s="25" t="s">
        <v>188</v>
      </c>
      <c r="G35" s="25" t="s">
        <v>1837</v>
      </c>
      <c r="H35" s="22" t="s">
        <v>65</v>
      </c>
      <c r="I35" s="423" t="s">
        <v>565</v>
      </c>
      <c r="J35" s="37" t="s">
        <v>59</v>
      </c>
      <c r="K35" s="23" t="s">
        <v>198</v>
      </c>
      <c r="L35" s="23" t="s">
        <v>199</v>
      </c>
      <c r="M35" s="23" t="s">
        <v>200</v>
      </c>
      <c r="N35" s="23" t="s">
        <v>59</v>
      </c>
      <c r="O35" s="2">
        <v>0</v>
      </c>
      <c r="P35" s="2">
        <v>0</v>
      </c>
      <c r="Q35" s="2">
        <v>0</v>
      </c>
      <c r="R35" s="2">
        <v>69</v>
      </c>
      <c r="S35" s="2">
        <v>0</v>
      </c>
      <c r="T35" s="116">
        <f t="shared" si="0"/>
        <v>69</v>
      </c>
      <c r="U35" s="324">
        <v>0</v>
      </c>
      <c r="V35" s="324">
        <v>44</v>
      </c>
      <c r="W35" s="324">
        <v>0</v>
      </c>
      <c r="X35" s="324">
        <v>0</v>
      </c>
      <c r="Y35" s="324">
        <v>0</v>
      </c>
      <c r="Z35" s="324">
        <v>0</v>
      </c>
      <c r="AA35" s="324">
        <v>0</v>
      </c>
      <c r="AB35" s="324">
        <v>0</v>
      </c>
      <c r="AC35" s="324">
        <v>0</v>
      </c>
      <c r="AD35" s="324">
        <v>0</v>
      </c>
      <c r="AE35" s="324">
        <v>0</v>
      </c>
      <c r="AF35" s="324">
        <v>0</v>
      </c>
      <c r="AG35" s="140">
        <f t="shared" si="1"/>
        <v>44</v>
      </c>
      <c r="AH35" s="324">
        <v>0</v>
      </c>
      <c r="AI35" s="324">
        <v>0</v>
      </c>
      <c r="AJ35" s="324">
        <v>0</v>
      </c>
      <c r="AK35" s="324">
        <v>0</v>
      </c>
      <c r="AL35" s="324">
        <v>0</v>
      </c>
      <c r="AM35" s="324">
        <v>0</v>
      </c>
      <c r="AN35" s="324">
        <v>0</v>
      </c>
      <c r="AO35" s="324">
        <v>0</v>
      </c>
      <c r="AP35" s="324">
        <v>0</v>
      </c>
      <c r="AQ35" s="324">
        <v>0</v>
      </c>
      <c r="AR35" s="324">
        <v>0</v>
      </c>
      <c r="AS35" s="324">
        <v>0</v>
      </c>
      <c r="AT35" s="140">
        <f t="shared" si="2"/>
        <v>0</v>
      </c>
      <c r="AU35" s="324">
        <v>0</v>
      </c>
      <c r="AV35" s="324">
        <v>0</v>
      </c>
      <c r="AW35" s="324">
        <v>0</v>
      </c>
      <c r="AX35" s="324">
        <v>0</v>
      </c>
      <c r="AY35" s="324">
        <v>0</v>
      </c>
      <c r="AZ35" s="324">
        <v>0</v>
      </c>
      <c r="BA35" s="324">
        <v>0</v>
      </c>
      <c r="BB35" s="324">
        <v>0</v>
      </c>
      <c r="BC35" s="324">
        <v>0</v>
      </c>
      <c r="BD35" s="324">
        <v>0</v>
      </c>
      <c r="BE35" s="324">
        <v>0</v>
      </c>
      <c r="BF35" s="324">
        <v>0</v>
      </c>
      <c r="BG35" s="140">
        <f t="shared" si="3"/>
        <v>0</v>
      </c>
      <c r="BH35" s="324">
        <v>0</v>
      </c>
      <c r="BI35" s="324">
        <v>0</v>
      </c>
      <c r="BJ35" s="324">
        <v>0</v>
      </c>
      <c r="BK35" s="324">
        <v>0</v>
      </c>
      <c r="BL35" s="324">
        <v>0</v>
      </c>
      <c r="BM35" s="324">
        <v>0</v>
      </c>
      <c r="BN35" s="324">
        <v>0</v>
      </c>
      <c r="BO35" s="324">
        <v>0</v>
      </c>
      <c r="BP35" s="324">
        <v>0</v>
      </c>
      <c r="BQ35" s="324">
        <v>0</v>
      </c>
      <c r="BR35" s="324">
        <v>0</v>
      </c>
      <c r="BS35" s="324">
        <v>0</v>
      </c>
      <c r="BT35" s="140">
        <f t="shared" si="4"/>
        <v>0</v>
      </c>
      <c r="BU35" s="114">
        <f t="shared" si="5"/>
        <v>113</v>
      </c>
      <c r="BV35" s="372">
        <v>-1</v>
      </c>
      <c r="BW35" s="372">
        <v>-1</v>
      </c>
      <c r="BX35" s="372">
        <v>-1</v>
      </c>
      <c r="BY35" s="372">
        <v>-1</v>
      </c>
      <c r="BZ35" s="436">
        <f>IFERROR((EX35/T35%),0)</f>
        <v>0</v>
      </c>
      <c r="CA35" s="428">
        <f>IFERROR((FD35/T35%),0)</f>
        <v>0</v>
      </c>
      <c r="CB35" s="7" t="s">
        <v>1702</v>
      </c>
      <c r="CC35" s="3">
        <v>0</v>
      </c>
      <c r="CD35" s="3">
        <v>0</v>
      </c>
      <c r="CE35" s="3">
        <v>0</v>
      </c>
      <c r="CF35" s="3">
        <v>0</v>
      </c>
      <c r="CG35" s="3">
        <v>0</v>
      </c>
      <c r="CH35" s="3">
        <v>0</v>
      </c>
      <c r="CI35" s="3">
        <v>0</v>
      </c>
      <c r="CJ35" s="3">
        <v>0</v>
      </c>
      <c r="CK35" s="3">
        <v>0</v>
      </c>
      <c r="CL35" s="3">
        <v>1</v>
      </c>
      <c r="CM35" s="3">
        <v>0</v>
      </c>
      <c r="CN35" s="3">
        <v>0</v>
      </c>
      <c r="CO35" s="4">
        <f t="shared" si="16"/>
        <v>1</v>
      </c>
      <c r="CP35" s="3">
        <v>0</v>
      </c>
      <c r="CQ35" s="3">
        <v>1</v>
      </c>
      <c r="CR35" s="3">
        <v>0</v>
      </c>
      <c r="CS35" s="3">
        <v>0</v>
      </c>
      <c r="CT35" s="3">
        <v>0</v>
      </c>
      <c r="CU35" s="3">
        <v>0</v>
      </c>
      <c r="CV35" s="3">
        <v>0</v>
      </c>
      <c r="CW35" s="3">
        <v>0</v>
      </c>
      <c r="CX35" s="3">
        <v>0</v>
      </c>
      <c r="CY35" s="3">
        <v>0</v>
      </c>
      <c r="CZ35" s="3">
        <v>0</v>
      </c>
      <c r="DA35" s="3">
        <v>0</v>
      </c>
      <c r="DB35" s="4">
        <f t="shared" si="17"/>
        <v>1</v>
      </c>
      <c r="DC35" s="3">
        <v>0</v>
      </c>
      <c r="DD35" s="3">
        <v>0</v>
      </c>
      <c r="DE35" s="3">
        <v>0</v>
      </c>
      <c r="DF35" s="3">
        <v>0</v>
      </c>
      <c r="DG35" s="3">
        <v>0</v>
      </c>
      <c r="DH35" s="3">
        <v>0</v>
      </c>
      <c r="DI35" s="3">
        <v>0</v>
      </c>
      <c r="DJ35" s="3">
        <v>0</v>
      </c>
      <c r="DK35" s="3">
        <v>0</v>
      </c>
      <c r="DL35" s="3">
        <v>0</v>
      </c>
      <c r="DM35" s="3">
        <v>0</v>
      </c>
      <c r="DN35" s="3">
        <v>0</v>
      </c>
      <c r="DO35" s="4">
        <f t="shared" si="18"/>
        <v>0</v>
      </c>
      <c r="DP35" s="3">
        <v>0</v>
      </c>
      <c r="DQ35" s="3">
        <v>0</v>
      </c>
      <c r="DR35" s="3">
        <v>0</v>
      </c>
      <c r="DS35" s="3">
        <v>0</v>
      </c>
      <c r="DT35" s="3">
        <v>0</v>
      </c>
      <c r="DU35" s="3">
        <v>0</v>
      </c>
      <c r="DV35" s="3">
        <v>0</v>
      </c>
      <c r="DW35" s="3">
        <v>0</v>
      </c>
      <c r="DX35" s="3">
        <v>0</v>
      </c>
      <c r="DY35" s="3">
        <v>0</v>
      </c>
      <c r="DZ35" s="3">
        <v>0</v>
      </c>
      <c r="EA35" s="3">
        <v>0</v>
      </c>
      <c r="EB35" s="4">
        <f t="shared" si="19"/>
        <v>0</v>
      </c>
      <c r="EC35" s="3">
        <v>0</v>
      </c>
      <c r="ED35" s="3">
        <v>0</v>
      </c>
      <c r="EE35" s="3">
        <v>0</v>
      </c>
      <c r="EF35" s="3">
        <v>0</v>
      </c>
      <c r="EG35" s="3">
        <v>0</v>
      </c>
      <c r="EH35" s="3">
        <v>0</v>
      </c>
      <c r="EI35" s="3">
        <v>0</v>
      </c>
      <c r="EJ35" s="3">
        <v>0</v>
      </c>
      <c r="EK35" s="3">
        <v>0</v>
      </c>
      <c r="EL35" s="3">
        <v>0</v>
      </c>
      <c r="EM35" s="3">
        <v>0</v>
      </c>
      <c r="EN35" s="3">
        <v>0</v>
      </c>
      <c r="EO35" s="4">
        <f t="shared" si="20"/>
        <v>0</v>
      </c>
      <c r="EP35" s="8">
        <f t="shared" si="21"/>
        <v>2</v>
      </c>
      <c r="EQ35" s="181">
        <f>IFERROR(VLOOKUP(I35,CEI_012018!$A$1:$U$509,9,FALSE),0)</f>
        <v>0</v>
      </c>
      <c r="ER35" s="181">
        <f>IFERROR(VLOOKUP(I35,CEI_022018!$A$1:$U$509,9,FALSE),0)</f>
        <v>0</v>
      </c>
      <c r="ES35" s="181">
        <f>IFERROR(VLOOKUP(I35,CEI_032018!$A$1:$U$509,9,FALSE),0)</f>
        <v>0</v>
      </c>
      <c r="ET35" s="181">
        <f>IFERROR(VLOOKUP(I35,CEI_042018!$A$1:$U$491,9,FALSE),0)</f>
        <v>0</v>
      </c>
      <c r="EU35" s="181">
        <f>IFERROR(VLOOKUP(I35,CEI_052018!$A$1:$U$489,9,FALSE),0)</f>
        <v>0</v>
      </c>
      <c r="EV35" s="181">
        <f>IFERROR(VLOOKUP(I35,CEI_062018!$A$1:$U$489,9,FALSE),0)</f>
        <v>0</v>
      </c>
      <c r="EW35" s="181">
        <f>IFERROR(VLOOKUP(I35,CEI_072018!$A$1:$U$489,9,FALSE),0)</f>
        <v>0</v>
      </c>
      <c r="EX35" s="181">
        <f>IFERROR(VLOOKUP(I35,CEI_082018!$A$1:$U$489,9,FALSE),0)</f>
        <v>0</v>
      </c>
      <c r="EY35" s="181">
        <f>IFERROR(VLOOKUP(I35,CEI_092018!$A$1:$U$489,9,FALSE),0)</f>
        <v>0</v>
      </c>
      <c r="EZ35" s="181"/>
      <c r="FA35" s="181"/>
      <c r="FB35" s="181"/>
      <c r="FC35" s="181">
        <f>IFERROR(VLOOKUP(I35,CEI_092018!$A$1:$U$489,12,FALSE),0)</f>
        <v>0</v>
      </c>
      <c r="FD35" s="181">
        <f t="shared" si="14"/>
        <v>0</v>
      </c>
      <c r="FE35" s="181">
        <f t="shared" si="15"/>
        <v>69</v>
      </c>
      <c r="FF35"/>
      <c r="FG35"/>
      <c r="FH35"/>
      <c r="FI35"/>
      <c r="FJ35"/>
      <c r="FK35"/>
      <c r="FL35"/>
      <c r="FM35"/>
      <c r="FN35"/>
      <c r="FO35"/>
      <c r="FP35"/>
      <c r="FQ35"/>
      <c r="FR35"/>
      <c r="FS35"/>
      <c r="FT35"/>
      <c r="FU35"/>
      <c r="FV35"/>
      <c r="FW35"/>
      <c r="FX35"/>
      <c r="FY35"/>
      <c r="FZ35"/>
      <c r="GA35"/>
      <c r="GB35"/>
      <c r="GC35"/>
    </row>
    <row r="36" spans="1:185" ht="12.95" customHeight="1" x14ac:dyDescent="0.25">
      <c r="A36" s="202"/>
      <c r="B36" s="22" t="s">
        <v>54</v>
      </c>
      <c r="C36" s="34" t="s">
        <v>32</v>
      </c>
      <c r="D36" s="22" t="s">
        <v>1059</v>
      </c>
      <c r="E36" s="25" t="s">
        <v>1063</v>
      </c>
      <c r="F36" s="25" t="s">
        <v>188</v>
      </c>
      <c r="G36" s="25" t="s">
        <v>1837</v>
      </c>
      <c r="H36" s="22" t="s">
        <v>65</v>
      </c>
      <c r="I36" s="423" t="s">
        <v>565</v>
      </c>
      <c r="J36" s="37" t="s">
        <v>59</v>
      </c>
      <c r="K36" s="23" t="s">
        <v>1087</v>
      </c>
      <c r="L36" s="121"/>
      <c r="M36" s="121"/>
      <c r="N36" s="23" t="s">
        <v>59</v>
      </c>
      <c r="O36" s="2">
        <v>0</v>
      </c>
      <c r="P36" s="2">
        <v>0</v>
      </c>
      <c r="Q36" s="2">
        <v>0</v>
      </c>
      <c r="R36" s="2">
        <v>0</v>
      </c>
      <c r="S36" s="2">
        <v>0</v>
      </c>
      <c r="T36" s="116">
        <f t="shared" si="0"/>
        <v>0</v>
      </c>
      <c r="U36" s="324">
        <v>0</v>
      </c>
      <c r="V36" s="324">
        <v>0</v>
      </c>
      <c r="W36" s="324">
        <v>0</v>
      </c>
      <c r="X36" s="324">
        <v>0</v>
      </c>
      <c r="Y36" s="324">
        <v>0</v>
      </c>
      <c r="Z36" s="324">
        <v>0</v>
      </c>
      <c r="AA36" s="324">
        <v>0</v>
      </c>
      <c r="AB36" s="324">
        <v>0</v>
      </c>
      <c r="AC36" s="324">
        <v>0</v>
      </c>
      <c r="AD36" s="324">
        <v>0</v>
      </c>
      <c r="AE36" s="324">
        <v>0</v>
      </c>
      <c r="AF36" s="324">
        <v>0</v>
      </c>
      <c r="AG36" s="140">
        <f t="shared" si="1"/>
        <v>0</v>
      </c>
      <c r="AH36" s="324">
        <v>0</v>
      </c>
      <c r="AI36" s="324">
        <v>0</v>
      </c>
      <c r="AJ36" s="324">
        <v>0</v>
      </c>
      <c r="AK36" s="324">
        <v>0</v>
      </c>
      <c r="AL36" s="324">
        <v>0</v>
      </c>
      <c r="AM36" s="324">
        <v>100</v>
      </c>
      <c r="AN36" s="324">
        <v>0</v>
      </c>
      <c r="AO36" s="324">
        <v>0</v>
      </c>
      <c r="AP36" s="324">
        <v>0</v>
      </c>
      <c r="AQ36" s="324">
        <v>0</v>
      </c>
      <c r="AR36" s="324">
        <v>0</v>
      </c>
      <c r="AS36" s="324">
        <v>0</v>
      </c>
      <c r="AT36" s="140">
        <f t="shared" si="2"/>
        <v>100</v>
      </c>
      <c r="AU36" s="324">
        <v>0</v>
      </c>
      <c r="AV36" s="324">
        <v>0</v>
      </c>
      <c r="AW36" s="324">
        <v>0</v>
      </c>
      <c r="AX36" s="324">
        <v>0</v>
      </c>
      <c r="AY36" s="324">
        <v>0</v>
      </c>
      <c r="AZ36" s="324">
        <v>0</v>
      </c>
      <c r="BA36" s="324">
        <v>0</v>
      </c>
      <c r="BB36" s="324">
        <v>0</v>
      </c>
      <c r="BC36" s="324">
        <v>0</v>
      </c>
      <c r="BD36" s="324">
        <v>0</v>
      </c>
      <c r="BE36" s="324">
        <v>0</v>
      </c>
      <c r="BF36" s="324">
        <v>0</v>
      </c>
      <c r="BG36" s="140">
        <f t="shared" si="3"/>
        <v>0</v>
      </c>
      <c r="BH36" s="324">
        <v>0</v>
      </c>
      <c r="BI36" s="324">
        <v>0</v>
      </c>
      <c r="BJ36" s="324">
        <v>0</v>
      </c>
      <c r="BK36" s="324">
        <v>0</v>
      </c>
      <c r="BL36" s="324">
        <v>0</v>
      </c>
      <c r="BM36" s="324">
        <v>0</v>
      </c>
      <c r="BN36" s="324">
        <v>0</v>
      </c>
      <c r="BO36" s="324">
        <v>0</v>
      </c>
      <c r="BP36" s="324">
        <v>0</v>
      </c>
      <c r="BQ36" s="324">
        <v>0</v>
      </c>
      <c r="BR36" s="324">
        <v>0</v>
      </c>
      <c r="BS36" s="324">
        <v>0</v>
      </c>
      <c r="BT36" s="140">
        <f t="shared" si="4"/>
        <v>0</v>
      </c>
      <c r="BU36" s="114">
        <f t="shared" si="5"/>
        <v>100</v>
      </c>
      <c r="BV36" s="432"/>
      <c r="BW36" s="432"/>
      <c r="BX36" s="432"/>
      <c r="BY36" s="432"/>
      <c r="BZ36" s="433"/>
      <c r="CA36" s="434"/>
      <c r="CB36" s="7" t="s">
        <v>1700</v>
      </c>
      <c r="CC36" s="3">
        <v>0</v>
      </c>
      <c r="CD36" s="3">
        <v>0</v>
      </c>
      <c r="CE36" s="3">
        <v>0</v>
      </c>
      <c r="CF36" s="3">
        <v>0</v>
      </c>
      <c r="CG36" s="3">
        <v>0</v>
      </c>
      <c r="CH36" s="3">
        <v>0</v>
      </c>
      <c r="CI36" s="3">
        <v>0</v>
      </c>
      <c r="CJ36" s="3">
        <v>0</v>
      </c>
      <c r="CK36" s="3">
        <v>0</v>
      </c>
      <c r="CL36" s="3">
        <v>0</v>
      </c>
      <c r="CM36" s="3">
        <v>0</v>
      </c>
      <c r="CN36" s="3">
        <v>0</v>
      </c>
      <c r="CO36" s="4">
        <f t="shared" si="16"/>
        <v>0</v>
      </c>
      <c r="CP36" s="3">
        <v>0</v>
      </c>
      <c r="CQ36" s="3">
        <v>0</v>
      </c>
      <c r="CR36" s="3">
        <v>0</v>
      </c>
      <c r="CS36" s="3">
        <v>0</v>
      </c>
      <c r="CT36" s="3">
        <v>0</v>
      </c>
      <c r="CU36" s="3">
        <v>0</v>
      </c>
      <c r="CV36" s="3">
        <v>0</v>
      </c>
      <c r="CW36" s="3">
        <v>0</v>
      </c>
      <c r="CX36" s="3">
        <v>0</v>
      </c>
      <c r="CY36" s="3">
        <v>0</v>
      </c>
      <c r="CZ36" s="3">
        <v>0</v>
      </c>
      <c r="DA36" s="3">
        <v>0</v>
      </c>
      <c r="DB36" s="4">
        <f t="shared" si="17"/>
        <v>0</v>
      </c>
      <c r="DC36" s="3">
        <v>0</v>
      </c>
      <c r="DD36" s="3">
        <v>0</v>
      </c>
      <c r="DE36" s="3">
        <v>0</v>
      </c>
      <c r="DF36" s="3">
        <v>0</v>
      </c>
      <c r="DG36" s="3">
        <v>0</v>
      </c>
      <c r="DH36" s="3">
        <v>285.71428571428572</v>
      </c>
      <c r="DI36" s="3">
        <v>0</v>
      </c>
      <c r="DJ36" s="3">
        <v>0</v>
      </c>
      <c r="DK36" s="3">
        <v>0</v>
      </c>
      <c r="DL36" s="3">
        <v>0</v>
      </c>
      <c r="DM36" s="3">
        <v>0</v>
      </c>
      <c r="DN36" s="3">
        <v>0</v>
      </c>
      <c r="DO36" s="4">
        <f t="shared" si="18"/>
        <v>285.71428571428572</v>
      </c>
      <c r="DP36" s="3">
        <v>0</v>
      </c>
      <c r="DQ36" s="3">
        <v>0</v>
      </c>
      <c r="DR36" s="3">
        <v>0</v>
      </c>
      <c r="DS36" s="3">
        <v>0</v>
      </c>
      <c r="DT36" s="3">
        <v>0</v>
      </c>
      <c r="DU36" s="3">
        <v>0</v>
      </c>
      <c r="DV36" s="3">
        <v>0</v>
      </c>
      <c r="DW36" s="3">
        <v>0</v>
      </c>
      <c r="DX36" s="3">
        <v>0</v>
      </c>
      <c r="DY36" s="3">
        <v>0</v>
      </c>
      <c r="DZ36" s="3">
        <v>0</v>
      </c>
      <c r="EA36" s="3">
        <v>0</v>
      </c>
      <c r="EB36" s="4">
        <f t="shared" si="19"/>
        <v>0</v>
      </c>
      <c r="EC36" s="3">
        <v>0</v>
      </c>
      <c r="ED36" s="3">
        <v>0</v>
      </c>
      <c r="EE36" s="3">
        <v>0</v>
      </c>
      <c r="EF36" s="3">
        <v>0</v>
      </c>
      <c r="EG36" s="3">
        <v>0</v>
      </c>
      <c r="EH36" s="3">
        <v>0</v>
      </c>
      <c r="EI36" s="3">
        <v>0</v>
      </c>
      <c r="EJ36" s="3">
        <v>0</v>
      </c>
      <c r="EK36" s="3">
        <v>0</v>
      </c>
      <c r="EL36" s="3">
        <v>0</v>
      </c>
      <c r="EM36" s="3">
        <v>0</v>
      </c>
      <c r="EN36" s="3">
        <v>0</v>
      </c>
      <c r="EO36" s="4">
        <f t="shared" si="20"/>
        <v>0</v>
      </c>
      <c r="EP36" s="8">
        <f t="shared" si="21"/>
        <v>285.71428571428572</v>
      </c>
      <c r="EQ36" s="181">
        <f>IFERROR(VLOOKUP(I36,CEI_012018!$A$1:$U$509,9,FALSE),0)</f>
        <v>0</v>
      </c>
      <c r="ER36" s="181">
        <f>IFERROR(VLOOKUP(I36,CEI_022018!$A$1:$U$509,9,FALSE),0)</f>
        <v>0</v>
      </c>
      <c r="ES36" s="181">
        <f>IFERROR(VLOOKUP(I36,CEI_032018!$A$1:$U$509,9,FALSE),0)</f>
        <v>0</v>
      </c>
      <c r="ET36" s="181">
        <f>IFERROR(VLOOKUP(I36,CEI_042018!$A$1:$U$491,9,FALSE),0)</f>
        <v>0</v>
      </c>
      <c r="EU36" s="181">
        <f>IFERROR(VLOOKUP(I36,CEI_052018!$A$1:$U$489,9,FALSE),0)</f>
        <v>0</v>
      </c>
      <c r="EV36" s="181">
        <f>IFERROR(VLOOKUP(I36,CEI_062018!$A$1:$U$489,9,FALSE),0)</f>
        <v>0</v>
      </c>
      <c r="EW36" s="181">
        <f>IFERROR(VLOOKUP(I36,CEI_072018!$A$1:$U$489,9,FALSE),0)</f>
        <v>0</v>
      </c>
      <c r="EX36" s="181">
        <f>IFERROR(VLOOKUP(I36,CEI_082018!$A$1:$U$489,9,FALSE),0)</f>
        <v>0</v>
      </c>
      <c r="EY36" s="181">
        <f>IFERROR(VLOOKUP(I36,CEI_092018!$A$1:$U$489,9,FALSE),0)</f>
        <v>0</v>
      </c>
      <c r="EZ36" s="181"/>
      <c r="FA36" s="181"/>
      <c r="FB36" s="181"/>
      <c r="FC36" s="181">
        <f>IFERROR(VLOOKUP(I36,CEI_092018!$A$1:$U$489,12,FALSE),0)</f>
        <v>0</v>
      </c>
      <c r="FD36" s="181">
        <f t="shared" si="14"/>
        <v>0</v>
      </c>
      <c r="FE36" s="181">
        <f t="shared" si="15"/>
        <v>0</v>
      </c>
      <c r="FF36"/>
      <c r="FG36"/>
      <c r="FH36"/>
      <c r="FI36"/>
      <c r="FJ36"/>
      <c r="FK36"/>
      <c r="FL36"/>
      <c r="FM36"/>
      <c r="FN36"/>
      <c r="FO36"/>
      <c r="FP36"/>
      <c r="FQ36"/>
      <c r="FR36"/>
      <c r="FS36"/>
      <c r="FT36"/>
      <c r="FU36"/>
      <c r="FV36"/>
      <c r="FW36"/>
      <c r="FX36"/>
      <c r="FY36"/>
      <c r="FZ36"/>
      <c r="GA36"/>
      <c r="GB36"/>
      <c r="GC36"/>
    </row>
    <row r="37" spans="1:185" ht="12.95" customHeight="1" x14ac:dyDescent="0.25">
      <c r="A37" s="202"/>
      <c r="B37" s="22" t="s">
        <v>54</v>
      </c>
      <c r="C37" s="34" t="s">
        <v>32</v>
      </c>
      <c r="D37" s="22" t="s">
        <v>1058</v>
      </c>
      <c r="E37" s="25" t="s">
        <v>1062</v>
      </c>
      <c r="F37" s="25" t="s">
        <v>179</v>
      </c>
      <c r="G37" s="25" t="s">
        <v>1842</v>
      </c>
      <c r="H37" s="22" t="s">
        <v>65</v>
      </c>
      <c r="I37" s="423" t="s">
        <v>565</v>
      </c>
      <c r="J37" s="37" t="s">
        <v>59</v>
      </c>
      <c r="K37" s="23" t="s">
        <v>205</v>
      </c>
      <c r="L37" s="23" t="s">
        <v>206</v>
      </c>
      <c r="M37" s="23" t="s">
        <v>207</v>
      </c>
      <c r="N37" s="23" t="s">
        <v>59</v>
      </c>
      <c r="O37" s="2">
        <v>0</v>
      </c>
      <c r="P37" s="2">
        <v>0</v>
      </c>
      <c r="Q37" s="2">
        <v>0</v>
      </c>
      <c r="R37" s="2">
        <v>0</v>
      </c>
      <c r="S37" s="2">
        <v>0</v>
      </c>
      <c r="T37" s="116">
        <f t="shared" si="0"/>
        <v>0</v>
      </c>
      <c r="U37" s="324">
        <v>0</v>
      </c>
      <c r="V37" s="324">
        <v>0</v>
      </c>
      <c r="W37" s="324">
        <v>0</v>
      </c>
      <c r="X37" s="324">
        <v>0</v>
      </c>
      <c r="Y37" s="324">
        <v>0</v>
      </c>
      <c r="Z37" s="324">
        <v>0</v>
      </c>
      <c r="AA37" s="324">
        <v>0</v>
      </c>
      <c r="AB37" s="324">
        <v>0</v>
      </c>
      <c r="AC37" s="324">
        <v>0</v>
      </c>
      <c r="AD37" s="324">
        <v>0</v>
      </c>
      <c r="AE37" s="324">
        <v>0</v>
      </c>
      <c r="AF37" s="324">
        <v>0</v>
      </c>
      <c r="AG37" s="140">
        <f t="shared" si="1"/>
        <v>0</v>
      </c>
      <c r="AH37" s="324">
        <v>0</v>
      </c>
      <c r="AI37" s="324">
        <v>0</v>
      </c>
      <c r="AJ37" s="324">
        <v>0</v>
      </c>
      <c r="AK37" s="324">
        <v>0</v>
      </c>
      <c r="AL37" s="324">
        <v>0</v>
      </c>
      <c r="AM37" s="324">
        <v>35</v>
      </c>
      <c r="AN37" s="324">
        <v>0</v>
      </c>
      <c r="AO37" s="324">
        <v>0</v>
      </c>
      <c r="AP37" s="324">
        <v>0</v>
      </c>
      <c r="AQ37" s="324">
        <v>0</v>
      </c>
      <c r="AR37" s="324">
        <v>0</v>
      </c>
      <c r="AS37" s="324">
        <v>0</v>
      </c>
      <c r="AT37" s="140">
        <f t="shared" si="2"/>
        <v>35</v>
      </c>
      <c r="AU37" s="324">
        <v>0</v>
      </c>
      <c r="AV37" s="324">
        <v>0</v>
      </c>
      <c r="AW37" s="324">
        <v>0</v>
      </c>
      <c r="AX37" s="324">
        <v>0</v>
      </c>
      <c r="AY37" s="324">
        <v>0</v>
      </c>
      <c r="AZ37" s="324">
        <v>0</v>
      </c>
      <c r="BA37" s="324">
        <v>0</v>
      </c>
      <c r="BB37" s="324">
        <v>0</v>
      </c>
      <c r="BC37" s="324">
        <v>0</v>
      </c>
      <c r="BD37" s="324">
        <v>0</v>
      </c>
      <c r="BE37" s="324">
        <v>0</v>
      </c>
      <c r="BF37" s="324">
        <v>0</v>
      </c>
      <c r="BG37" s="140">
        <f t="shared" si="3"/>
        <v>0</v>
      </c>
      <c r="BH37" s="324">
        <v>0</v>
      </c>
      <c r="BI37" s="324">
        <v>0</v>
      </c>
      <c r="BJ37" s="324">
        <v>0</v>
      </c>
      <c r="BK37" s="324">
        <v>0</v>
      </c>
      <c r="BL37" s="324">
        <v>0</v>
      </c>
      <c r="BM37" s="324">
        <v>0</v>
      </c>
      <c r="BN37" s="324">
        <v>0</v>
      </c>
      <c r="BO37" s="324">
        <v>0</v>
      </c>
      <c r="BP37" s="324">
        <v>0</v>
      </c>
      <c r="BQ37" s="324">
        <v>0</v>
      </c>
      <c r="BR37" s="324">
        <v>0</v>
      </c>
      <c r="BS37" s="324">
        <v>0</v>
      </c>
      <c r="BT37" s="140">
        <f t="shared" si="4"/>
        <v>0</v>
      </c>
      <c r="BU37" s="114">
        <f t="shared" si="5"/>
        <v>35</v>
      </c>
      <c r="BV37" s="432"/>
      <c r="BW37" s="432"/>
      <c r="BX37" s="432"/>
      <c r="BY37" s="432"/>
      <c r="BZ37" s="433"/>
      <c r="CA37" s="434"/>
      <c r="CB37" s="7" t="s">
        <v>1702</v>
      </c>
      <c r="CC37" s="3">
        <v>0</v>
      </c>
      <c r="CD37" s="3">
        <v>0</v>
      </c>
      <c r="CE37" s="3">
        <v>0</v>
      </c>
      <c r="CF37" s="3">
        <v>0</v>
      </c>
      <c r="CG37" s="3">
        <v>0</v>
      </c>
      <c r="CH37" s="3">
        <v>0</v>
      </c>
      <c r="CI37" s="3">
        <v>0</v>
      </c>
      <c r="CJ37" s="3">
        <v>0</v>
      </c>
      <c r="CK37" s="3">
        <v>0</v>
      </c>
      <c r="CL37" s="3">
        <v>0</v>
      </c>
      <c r="CM37" s="3">
        <v>0</v>
      </c>
      <c r="CN37" s="3">
        <v>0</v>
      </c>
      <c r="CO37" s="4">
        <f t="shared" si="16"/>
        <v>0</v>
      </c>
      <c r="CP37" s="3">
        <v>0</v>
      </c>
      <c r="CQ37" s="3">
        <v>0</v>
      </c>
      <c r="CR37" s="3">
        <v>0</v>
      </c>
      <c r="CS37" s="3">
        <v>0</v>
      </c>
      <c r="CT37" s="3">
        <v>0</v>
      </c>
      <c r="CU37" s="3">
        <v>0</v>
      </c>
      <c r="CV37" s="3">
        <v>0</v>
      </c>
      <c r="CW37" s="3">
        <v>0</v>
      </c>
      <c r="CX37" s="3">
        <v>0</v>
      </c>
      <c r="CY37" s="3">
        <v>0</v>
      </c>
      <c r="CZ37" s="3">
        <v>0</v>
      </c>
      <c r="DA37" s="3">
        <v>0</v>
      </c>
      <c r="DB37" s="4">
        <f t="shared" si="17"/>
        <v>0</v>
      </c>
      <c r="DC37" s="3">
        <v>0</v>
      </c>
      <c r="DD37" s="3">
        <v>0</v>
      </c>
      <c r="DE37" s="3">
        <v>0</v>
      </c>
      <c r="DF37" s="3">
        <v>0</v>
      </c>
      <c r="DG37" s="3">
        <v>0</v>
      </c>
      <c r="DH37" s="3">
        <v>1</v>
      </c>
      <c r="DI37" s="3">
        <v>0</v>
      </c>
      <c r="DJ37" s="3">
        <v>0</v>
      </c>
      <c r="DK37" s="3">
        <v>0</v>
      </c>
      <c r="DL37" s="3">
        <v>0</v>
      </c>
      <c r="DM37" s="3">
        <v>0</v>
      </c>
      <c r="DN37" s="3">
        <v>0</v>
      </c>
      <c r="DO37" s="4">
        <f t="shared" si="18"/>
        <v>1</v>
      </c>
      <c r="DP37" s="3">
        <v>0</v>
      </c>
      <c r="DQ37" s="3">
        <v>0</v>
      </c>
      <c r="DR37" s="3">
        <v>0</v>
      </c>
      <c r="DS37" s="3">
        <v>0</v>
      </c>
      <c r="DT37" s="3">
        <v>0</v>
      </c>
      <c r="DU37" s="3">
        <v>0</v>
      </c>
      <c r="DV37" s="3">
        <v>0</v>
      </c>
      <c r="DW37" s="3">
        <v>0</v>
      </c>
      <c r="DX37" s="3">
        <v>0</v>
      </c>
      <c r="DY37" s="3">
        <v>0</v>
      </c>
      <c r="DZ37" s="3">
        <v>0</v>
      </c>
      <c r="EA37" s="3">
        <v>0</v>
      </c>
      <c r="EB37" s="4">
        <f t="shared" si="19"/>
        <v>0</v>
      </c>
      <c r="EC37" s="3">
        <v>0</v>
      </c>
      <c r="ED37" s="3">
        <v>0</v>
      </c>
      <c r="EE37" s="3">
        <v>0</v>
      </c>
      <c r="EF37" s="3">
        <v>0</v>
      </c>
      <c r="EG37" s="3">
        <v>0</v>
      </c>
      <c r="EH37" s="3">
        <v>0</v>
      </c>
      <c r="EI37" s="3">
        <v>0</v>
      </c>
      <c r="EJ37" s="3">
        <v>0</v>
      </c>
      <c r="EK37" s="3">
        <v>0</v>
      </c>
      <c r="EL37" s="3">
        <v>0</v>
      </c>
      <c r="EM37" s="3">
        <v>0</v>
      </c>
      <c r="EN37" s="3">
        <v>0</v>
      </c>
      <c r="EO37" s="4">
        <f t="shared" si="20"/>
        <v>0</v>
      </c>
      <c r="EP37" s="8">
        <f t="shared" si="21"/>
        <v>1</v>
      </c>
      <c r="EQ37" s="181">
        <f>IFERROR(VLOOKUP(I37,CEI_012018!$A$1:$U$509,9,FALSE),0)</f>
        <v>0</v>
      </c>
      <c r="ER37" s="181">
        <f>IFERROR(VLOOKUP(I37,CEI_022018!$A$1:$U$509,9,FALSE),0)</f>
        <v>0</v>
      </c>
      <c r="ES37" s="181">
        <f>IFERROR(VLOOKUP(I37,CEI_032018!$A$1:$U$509,9,FALSE),0)</f>
        <v>0</v>
      </c>
      <c r="ET37" s="181">
        <f>IFERROR(VLOOKUP(I37,CEI_042018!$A$1:$U$491,9,FALSE),0)</f>
        <v>0</v>
      </c>
      <c r="EU37" s="181">
        <f>IFERROR(VLOOKUP(I37,CEI_052018!$A$1:$U$489,9,FALSE),0)</f>
        <v>0</v>
      </c>
      <c r="EV37" s="181">
        <f>IFERROR(VLOOKUP(I37,CEI_062018!$A$1:$U$489,9,FALSE),0)</f>
        <v>0</v>
      </c>
      <c r="EW37" s="181">
        <f>IFERROR(VLOOKUP(I37,CEI_072018!$A$1:$U$489,9,FALSE),0)</f>
        <v>0</v>
      </c>
      <c r="EX37" s="181">
        <f>IFERROR(VLOOKUP(I37,CEI_082018!$A$1:$U$489,9,FALSE),0)</f>
        <v>0</v>
      </c>
      <c r="EY37" s="181">
        <f>IFERROR(VLOOKUP(I37,CEI_092018!$A$1:$U$489,9,FALSE),0)</f>
        <v>0</v>
      </c>
      <c r="EZ37" s="181"/>
      <c r="FA37" s="181"/>
      <c r="FB37" s="181"/>
      <c r="FC37" s="181">
        <f>IFERROR(VLOOKUP(I37,CEI_092018!$A$1:$U$489,12,FALSE),0)</f>
        <v>0</v>
      </c>
      <c r="FD37" s="181">
        <f t="shared" si="14"/>
        <v>0</v>
      </c>
      <c r="FE37" s="181">
        <f t="shared" si="15"/>
        <v>0</v>
      </c>
      <c r="FF37"/>
      <c r="FG37"/>
      <c r="FH37"/>
      <c r="FI37"/>
      <c r="FJ37"/>
      <c r="FK37"/>
      <c r="FL37"/>
      <c r="FM37"/>
      <c r="FN37"/>
      <c r="FO37"/>
      <c r="FP37"/>
      <c r="FQ37"/>
      <c r="FR37"/>
      <c r="FS37"/>
      <c r="FT37"/>
      <c r="FU37"/>
      <c r="FV37"/>
      <c r="FW37"/>
      <c r="FX37"/>
      <c r="FY37"/>
      <c r="FZ37"/>
      <c r="GA37"/>
      <c r="GB37"/>
      <c r="GC37"/>
    </row>
    <row r="38" spans="1:185" ht="12.95" customHeight="1" x14ac:dyDescent="0.25">
      <c r="A38" s="202"/>
      <c r="B38" s="22" t="s">
        <v>54</v>
      </c>
      <c r="C38" s="34" t="s">
        <v>32</v>
      </c>
      <c r="D38" s="22" t="s">
        <v>1058</v>
      </c>
      <c r="E38" s="25" t="s">
        <v>1062</v>
      </c>
      <c r="F38" s="25" t="s">
        <v>1834</v>
      </c>
      <c r="G38" s="25" t="s">
        <v>1835</v>
      </c>
      <c r="H38" s="22" t="s">
        <v>65</v>
      </c>
      <c r="I38" s="423" t="s">
        <v>1474</v>
      </c>
      <c r="J38" s="37" t="s">
        <v>1476</v>
      </c>
      <c r="K38" s="23" t="s">
        <v>1572</v>
      </c>
      <c r="L38" s="23" t="s">
        <v>135</v>
      </c>
      <c r="M38" s="23" t="s">
        <v>136</v>
      </c>
      <c r="N38" s="23" t="s">
        <v>1865</v>
      </c>
      <c r="O38" s="2"/>
      <c r="P38" s="2">
        <v>0</v>
      </c>
      <c r="Q38" s="2">
        <v>0</v>
      </c>
      <c r="R38" s="2">
        <v>0</v>
      </c>
      <c r="S38" s="2">
        <v>32.383310000000002</v>
      </c>
      <c r="T38" s="116">
        <f t="shared" si="0"/>
        <v>32.383310000000002</v>
      </c>
      <c r="U38" s="324">
        <v>0</v>
      </c>
      <c r="V38" s="324">
        <v>0</v>
      </c>
      <c r="W38" s="324">
        <v>0</v>
      </c>
      <c r="X38" s="324">
        <v>0</v>
      </c>
      <c r="Y38" s="324">
        <v>0</v>
      </c>
      <c r="Z38" s="324">
        <v>0</v>
      </c>
      <c r="AA38" s="324">
        <v>0</v>
      </c>
      <c r="AB38" s="324">
        <v>0</v>
      </c>
      <c r="AC38" s="324">
        <v>0</v>
      </c>
      <c r="AD38" s="324">
        <v>0</v>
      </c>
      <c r="AE38" s="324">
        <v>0</v>
      </c>
      <c r="AF38" s="324">
        <v>0</v>
      </c>
      <c r="AG38" s="140">
        <f t="shared" si="1"/>
        <v>0</v>
      </c>
      <c r="AH38" s="324">
        <v>0</v>
      </c>
      <c r="AI38" s="324">
        <v>0</v>
      </c>
      <c r="AJ38" s="324">
        <v>0</v>
      </c>
      <c r="AK38" s="324">
        <v>0</v>
      </c>
      <c r="AL38" s="324">
        <v>0</v>
      </c>
      <c r="AM38" s="324">
        <v>0</v>
      </c>
      <c r="AN38" s="324">
        <v>0</v>
      </c>
      <c r="AO38" s="324">
        <v>0</v>
      </c>
      <c r="AP38" s="324">
        <v>0</v>
      </c>
      <c r="AQ38" s="324">
        <v>0</v>
      </c>
      <c r="AR38" s="324">
        <v>0</v>
      </c>
      <c r="AS38" s="324">
        <v>0</v>
      </c>
      <c r="AT38" s="140">
        <f t="shared" si="2"/>
        <v>0</v>
      </c>
      <c r="AU38" s="324">
        <v>0</v>
      </c>
      <c r="AV38" s="324">
        <v>0</v>
      </c>
      <c r="AW38" s="324">
        <v>0</v>
      </c>
      <c r="AX38" s="324">
        <v>0</v>
      </c>
      <c r="AY38" s="324">
        <v>0</v>
      </c>
      <c r="AZ38" s="324">
        <v>0</v>
      </c>
      <c r="BA38" s="324">
        <v>0</v>
      </c>
      <c r="BB38" s="324">
        <v>0</v>
      </c>
      <c r="BC38" s="324">
        <v>0</v>
      </c>
      <c r="BD38" s="324">
        <v>0</v>
      </c>
      <c r="BE38" s="324">
        <v>0</v>
      </c>
      <c r="BF38" s="324">
        <v>0</v>
      </c>
      <c r="BG38" s="140">
        <f t="shared" si="3"/>
        <v>0</v>
      </c>
      <c r="BH38" s="324">
        <v>0</v>
      </c>
      <c r="BI38" s="324">
        <v>0</v>
      </c>
      <c r="BJ38" s="324">
        <v>0</v>
      </c>
      <c r="BK38" s="324">
        <v>0</v>
      </c>
      <c r="BL38" s="324">
        <v>0</v>
      </c>
      <c r="BM38" s="324">
        <v>0</v>
      </c>
      <c r="BN38" s="324">
        <v>0</v>
      </c>
      <c r="BO38" s="324">
        <v>0</v>
      </c>
      <c r="BP38" s="324">
        <v>0</v>
      </c>
      <c r="BQ38" s="324">
        <v>0</v>
      </c>
      <c r="BR38" s="324">
        <v>0</v>
      </c>
      <c r="BS38" s="324">
        <v>0</v>
      </c>
      <c r="BT38" s="140">
        <f t="shared" si="4"/>
        <v>0</v>
      </c>
      <c r="BU38" s="114">
        <f t="shared" si="5"/>
        <v>32.383310000000002</v>
      </c>
      <c r="BV38" s="372">
        <v>1</v>
      </c>
      <c r="BW38" s="372">
        <v>1</v>
      </c>
      <c r="BX38" s="372">
        <v>1</v>
      </c>
      <c r="BY38" s="372">
        <v>1</v>
      </c>
      <c r="BZ38" s="436">
        <f t="shared" ref="BZ38:BZ39" si="24">IFERROR((EX38/T38%),0)</f>
        <v>0</v>
      </c>
      <c r="CA38" s="428">
        <f>IFERROR((FD38/T38%),0)</f>
        <v>0</v>
      </c>
      <c r="CB38" s="7" t="s">
        <v>1702</v>
      </c>
      <c r="CC38" s="3">
        <v>0</v>
      </c>
      <c r="CD38" s="3">
        <v>0</v>
      </c>
      <c r="CE38" s="3">
        <v>0</v>
      </c>
      <c r="CF38" s="3">
        <v>0</v>
      </c>
      <c r="CG38" s="3">
        <v>0</v>
      </c>
      <c r="CH38" s="3">
        <v>0</v>
      </c>
      <c r="CI38" s="3">
        <v>0</v>
      </c>
      <c r="CJ38" s="3">
        <v>1</v>
      </c>
      <c r="CK38" s="3">
        <v>0</v>
      </c>
      <c r="CL38" s="3">
        <v>0</v>
      </c>
      <c r="CM38" s="3">
        <v>0</v>
      </c>
      <c r="CN38" s="3">
        <v>0</v>
      </c>
      <c r="CO38" s="4">
        <f t="shared" si="16"/>
        <v>1</v>
      </c>
      <c r="CP38" s="3">
        <v>0</v>
      </c>
      <c r="CQ38" s="3">
        <v>0</v>
      </c>
      <c r="CR38" s="3">
        <v>0</v>
      </c>
      <c r="CS38" s="3">
        <v>0</v>
      </c>
      <c r="CT38" s="3">
        <v>0</v>
      </c>
      <c r="CU38" s="3">
        <v>0</v>
      </c>
      <c r="CV38" s="3">
        <v>0</v>
      </c>
      <c r="CW38" s="3">
        <v>0</v>
      </c>
      <c r="CX38" s="3">
        <v>0</v>
      </c>
      <c r="CY38" s="3">
        <v>0</v>
      </c>
      <c r="CZ38" s="3">
        <v>0</v>
      </c>
      <c r="DA38" s="3">
        <v>0</v>
      </c>
      <c r="DB38" s="4">
        <f t="shared" si="17"/>
        <v>0</v>
      </c>
      <c r="DC38" s="3">
        <v>0</v>
      </c>
      <c r="DD38" s="3">
        <v>0</v>
      </c>
      <c r="DE38" s="3">
        <v>0</v>
      </c>
      <c r="DF38" s="3">
        <v>0</v>
      </c>
      <c r="DG38" s="3">
        <v>0</v>
      </c>
      <c r="DH38" s="3">
        <v>0</v>
      </c>
      <c r="DI38" s="3">
        <v>0</v>
      </c>
      <c r="DJ38" s="3">
        <v>0</v>
      </c>
      <c r="DK38" s="3">
        <v>0</v>
      </c>
      <c r="DL38" s="3">
        <v>0</v>
      </c>
      <c r="DM38" s="3">
        <v>0</v>
      </c>
      <c r="DN38" s="3">
        <v>0</v>
      </c>
      <c r="DO38" s="4">
        <f t="shared" si="18"/>
        <v>0</v>
      </c>
      <c r="DP38" s="3">
        <v>0</v>
      </c>
      <c r="DQ38" s="3">
        <v>0</v>
      </c>
      <c r="DR38" s="3">
        <v>0</v>
      </c>
      <c r="DS38" s="3">
        <v>0</v>
      </c>
      <c r="DT38" s="3">
        <v>0</v>
      </c>
      <c r="DU38" s="3">
        <v>0</v>
      </c>
      <c r="DV38" s="3">
        <v>0</v>
      </c>
      <c r="DW38" s="3">
        <v>0</v>
      </c>
      <c r="DX38" s="3">
        <v>0</v>
      </c>
      <c r="DY38" s="3">
        <v>0</v>
      </c>
      <c r="DZ38" s="3">
        <v>0</v>
      </c>
      <c r="EA38" s="3">
        <v>0</v>
      </c>
      <c r="EB38" s="4">
        <f t="shared" si="19"/>
        <v>0</v>
      </c>
      <c r="EC38" s="3">
        <v>0</v>
      </c>
      <c r="ED38" s="3">
        <v>0</v>
      </c>
      <c r="EE38" s="3">
        <v>0</v>
      </c>
      <c r="EF38" s="3">
        <v>0</v>
      </c>
      <c r="EG38" s="3">
        <v>0</v>
      </c>
      <c r="EH38" s="3">
        <v>0</v>
      </c>
      <c r="EI38" s="3">
        <v>0</v>
      </c>
      <c r="EJ38" s="3">
        <v>0</v>
      </c>
      <c r="EK38" s="3">
        <v>0</v>
      </c>
      <c r="EL38" s="3">
        <v>0</v>
      </c>
      <c r="EM38" s="3">
        <v>0</v>
      </c>
      <c r="EN38" s="3">
        <v>0</v>
      </c>
      <c r="EO38" s="4">
        <f t="shared" si="20"/>
        <v>0</v>
      </c>
      <c r="EP38" s="8">
        <f t="shared" si="21"/>
        <v>1</v>
      </c>
      <c r="EQ38" s="181">
        <f>IFERROR(VLOOKUP(I38,CEI_012018!$A$1:$U$509,9,FALSE),0)</f>
        <v>0</v>
      </c>
      <c r="ER38" s="181">
        <f>IFERROR(VLOOKUP(I38,CEI_022018!$A$1:$U$509,9,FALSE),0)</f>
        <v>0</v>
      </c>
      <c r="ES38" s="181">
        <f>IFERROR(VLOOKUP(I38,CEI_032018!$A$1:$U$509,9,FALSE),0)</f>
        <v>0</v>
      </c>
      <c r="ET38" s="181">
        <f>IFERROR(VLOOKUP(I38,CEI_042018!$A$1:$U$491,9,FALSE),0)</f>
        <v>0</v>
      </c>
      <c r="EU38" s="181">
        <f>IFERROR(VLOOKUP(I38,CEI_052018!$A$1:$U$489,9,FALSE),0)</f>
        <v>0</v>
      </c>
      <c r="EV38" s="181">
        <f>IFERROR(VLOOKUP(I38,CEI_062018!$A$1:$U$489,9,FALSE),0)</f>
        <v>0</v>
      </c>
      <c r="EW38" s="181">
        <f>IFERROR(VLOOKUP(I38,CEI_072018!$A$1:$U$489,9,FALSE),0)</f>
        <v>0</v>
      </c>
      <c r="EX38" s="181">
        <f>IFERROR(VLOOKUP(I38,CEI_082018!$A$1:$U$489,9,FALSE),0)</f>
        <v>0</v>
      </c>
      <c r="EY38" s="181">
        <f>IFERROR(VLOOKUP(I38,CEI_092018!$A$1:$U$489,9,FALSE),0)</f>
        <v>28.65779972076416</v>
      </c>
      <c r="EZ38" s="181"/>
      <c r="FA38" s="181"/>
      <c r="FB38" s="181"/>
      <c r="FC38" s="181">
        <f>IFERROR(VLOOKUP(I38,CEI_092018!$A$1:$U$489,12,FALSE),0)</f>
        <v>0</v>
      </c>
      <c r="FD38" s="181">
        <f t="shared" si="14"/>
        <v>0</v>
      </c>
      <c r="FE38" s="181">
        <f t="shared" si="15"/>
        <v>32.383310000000002</v>
      </c>
      <c r="FF38"/>
      <c r="FG38"/>
      <c r="FH38"/>
      <c r="FI38"/>
      <c r="FJ38"/>
      <c r="FK38"/>
      <c r="FL38"/>
      <c r="FM38"/>
      <c r="FN38"/>
      <c r="FO38"/>
      <c r="FP38"/>
      <c r="FQ38"/>
      <c r="FR38"/>
      <c r="FS38"/>
      <c r="FT38"/>
      <c r="FU38"/>
      <c r="FV38"/>
      <c r="FW38"/>
      <c r="FX38"/>
      <c r="FY38"/>
      <c r="FZ38"/>
      <c r="GA38"/>
      <c r="GB38"/>
      <c r="GC38"/>
    </row>
    <row r="39" spans="1:185" ht="12.95" customHeight="1" x14ac:dyDescent="0.25">
      <c r="A39" s="202"/>
      <c r="B39" s="22" t="s">
        <v>54</v>
      </c>
      <c r="C39" s="34" t="s">
        <v>32</v>
      </c>
      <c r="D39" s="22" t="s">
        <v>1058</v>
      </c>
      <c r="E39" s="25" t="s">
        <v>1062</v>
      </c>
      <c r="F39" s="25" t="s">
        <v>1834</v>
      </c>
      <c r="G39" s="25" t="s">
        <v>1835</v>
      </c>
      <c r="H39" s="22" t="s">
        <v>65</v>
      </c>
      <c r="I39" s="423" t="s">
        <v>1471</v>
      </c>
      <c r="J39" s="37" t="s">
        <v>1473</v>
      </c>
      <c r="K39" s="23" t="s">
        <v>909</v>
      </c>
      <c r="L39" s="23" t="s">
        <v>1608</v>
      </c>
      <c r="M39" s="23" t="s">
        <v>1610</v>
      </c>
      <c r="N39" s="23" t="s">
        <v>1865</v>
      </c>
      <c r="O39" s="2">
        <v>0</v>
      </c>
      <c r="P39" s="2">
        <v>27.390999999999998</v>
      </c>
      <c r="Q39" s="2">
        <v>0</v>
      </c>
      <c r="R39" s="2">
        <v>0</v>
      </c>
      <c r="S39" s="2">
        <v>0</v>
      </c>
      <c r="T39" s="116">
        <f t="shared" si="0"/>
        <v>27.390999999999998</v>
      </c>
      <c r="U39" s="324">
        <v>0</v>
      </c>
      <c r="V39" s="324">
        <v>0</v>
      </c>
      <c r="W39" s="324">
        <v>0</v>
      </c>
      <c r="X39" s="324">
        <v>0</v>
      </c>
      <c r="Y39" s="324">
        <v>0</v>
      </c>
      <c r="Z39" s="324">
        <v>0</v>
      </c>
      <c r="AA39" s="324">
        <v>0</v>
      </c>
      <c r="AB39" s="324">
        <v>0</v>
      </c>
      <c r="AC39" s="324">
        <v>0</v>
      </c>
      <c r="AD39" s="324">
        <v>0</v>
      </c>
      <c r="AE39" s="324">
        <v>0</v>
      </c>
      <c r="AF39" s="324">
        <v>0</v>
      </c>
      <c r="AG39" s="140">
        <f t="shared" si="1"/>
        <v>0</v>
      </c>
      <c r="AH39" s="324">
        <v>0</v>
      </c>
      <c r="AI39" s="324">
        <v>0</v>
      </c>
      <c r="AJ39" s="324">
        <v>0</v>
      </c>
      <c r="AK39" s="324">
        <v>0</v>
      </c>
      <c r="AL39" s="324">
        <v>0</v>
      </c>
      <c r="AM39" s="324">
        <v>0</v>
      </c>
      <c r="AN39" s="324">
        <v>0</v>
      </c>
      <c r="AO39" s="324">
        <v>0</v>
      </c>
      <c r="AP39" s="324">
        <v>0</v>
      </c>
      <c r="AQ39" s="324">
        <v>0</v>
      </c>
      <c r="AR39" s="324">
        <v>0</v>
      </c>
      <c r="AS39" s="324">
        <v>0</v>
      </c>
      <c r="AT39" s="140">
        <f t="shared" si="2"/>
        <v>0</v>
      </c>
      <c r="AU39" s="324">
        <v>0</v>
      </c>
      <c r="AV39" s="324">
        <v>0</v>
      </c>
      <c r="AW39" s="324">
        <v>0</v>
      </c>
      <c r="AX39" s="324">
        <v>0</v>
      </c>
      <c r="AY39" s="324">
        <v>0</v>
      </c>
      <c r="AZ39" s="324">
        <v>0</v>
      </c>
      <c r="BA39" s="324">
        <v>0</v>
      </c>
      <c r="BB39" s="324">
        <v>0</v>
      </c>
      <c r="BC39" s="324">
        <v>0</v>
      </c>
      <c r="BD39" s="324">
        <v>0</v>
      </c>
      <c r="BE39" s="324">
        <v>0</v>
      </c>
      <c r="BF39" s="324">
        <v>0</v>
      </c>
      <c r="BG39" s="140">
        <f t="shared" si="3"/>
        <v>0</v>
      </c>
      <c r="BH39" s="324">
        <v>0</v>
      </c>
      <c r="BI39" s="324">
        <v>0</v>
      </c>
      <c r="BJ39" s="324">
        <v>0</v>
      </c>
      <c r="BK39" s="324">
        <v>0</v>
      </c>
      <c r="BL39" s="324">
        <v>0</v>
      </c>
      <c r="BM39" s="324">
        <v>0</v>
      </c>
      <c r="BN39" s="324">
        <v>0</v>
      </c>
      <c r="BO39" s="324">
        <v>0</v>
      </c>
      <c r="BP39" s="324">
        <v>0</v>
      </c>
      <c r="BQ39" s="324">
        <v>0</v>
      </c>
      <c r="BR39" s="324">
        <v>0</v>
      </c>
      <c r="BS39" s="324">
        <v>0</v>
      </c>
      <c r="BT39" s="140">
        <f t="shared" si="4"/>
        <v>0</v>
      </c>
      <c r="BU39" s="114">
        <f t="shared" si="5"/>
        <v>27.390999999999998</v>
      </c>
      <c r="BV39" s="372">
        <v>1</v>
      </c>
      <c r="BW39" s="372">
        <v>1</v>
      </c>
      <c r="BX39" s="372">
        <v>1</v>
      </c>
      <c r="BY39" s="372">
        <v>1</v>
      </c>
      <c r="BZ39" s="436">
        <f t="shared" si="24"/>
        <v>0</v>
      </c>
      <c r="CA39" s="428">
        <f>IFERROR((FD39/T39%),0)</f>
        <v>78.4117422326363</v>
      </c>
      <c r="CB39" s="7" t="s">
        <v>1702</v>
      </c>
      <c r="CC39" s="3">
        <v>0</v>
      </c>
      <c r="CD39" s="3">
        <v>0</v>
      </c>
      <c r="CE39" s="3">
        <v>0</v>
      </c>
      <c r="CF39" s="3">
        <v>0</v>
      </c>
      <c r="CG39" s="3">
        <v>0</v>
      </c>
      <c r="CH39" s="3">
        <v>0</v>
      </c>
      <c r="CI39" s="3">
        <v>0</v>
      </c>
      <c r="CJ39" s="3">
        <v>0</v>
      </c>
      <c r="CK39" s="3">
        <v>1</v>
      </c>
      <c r="CL39" s="3">
        <v>0</v>
      </c>
      <c r="CM39" s="3">
        <v>0</v>
      </c>
      <c r="CN39" s="3">
        <v>0</v>
      </c>
      <c r="CO39" s="4">
        <f t="shared" si="16"/>
        <v>1</v>
      </c>
      <c r="CP39" s="3">
        <v>0</v>
      </c>
      <c r="CQ39" s="3">
        <v>0</v>
      </c>
      <c r="CR39" s="3">
        <v>0</v>
      </c>
      <c r="CS39" s="3">
        <v>0</v>
      </c>
      <c r="CT39" s="3">
        <v>0</v>
      </c>
      <c r="CU39" s="3">
        <v>0</v>
      </c>
      <c r="CV39" s="3">
        <v>0</v>
      </c>
      <c r="CW39" s="3">
        <v>0</v>
      </c>
      <c r="CX39" s="3">
        <v>0</v>
      </c>
      <c r="CY39" s="3">
        <v>0</v>
      </c>
      <c r="CZ39" s="3">
        <v>0</v>
      </c>
      <c r="DA39" s="3">
        <v>0</v>
      </c>
      <c r="DB39" s="4">
        <f t="shared" si="17"/>
        <v>0</v>
      </c>
      <c r="DC39" s="3">
        <v>0</v>
      </c>
      <c r="DD39" s="3">
        <v>0</v>
      </c>
      <c r="DE39" s="3">
        <v>0</v>
      </c>
      <c r="DF39" s="3">
        <v>0</v>
      </c>
      <c r="DG39" s="3">
        <v>0</v>
      </c>
      <c r="DH39" s="3">
        <v>0</v>
      </c>
      <c r="DI39" s="3">
        <v>0</v>
      </c>
      <c r="DJ39" s="3">
        <v>0</v>
      </c>
      <c r="DK39" s="3">
        <v>0</v>
      </c>
      <c r="DL39" s="3">
        <v>0</v>
      </c>
      <c r="DM39" s="3">
        <v>0</v>
      </c>
      <c r="DN39" s="3">
        <v>0</v>
      </c>
      <c r="DO39" s="4">
        <f t="shared" si="18"/>
        <v>0</v>
      </c>
      <c r="DP39" s="3">
        <v>0</v>
      </c>
      <c r="DQ39" s="3">
        <v>0</v>
      </c>
      <c r="DR39" s="3">
        <v>0</v>
      </c>
      <c r="DS39" s="3">
        <v>0</v>
      </c>
      <c r="DT39" s="3">
        <v>0</v>
      </c>
      <c r="DU39" s="3">
        <v>0</v>
      </c>
      <c r="DV39" s="3">
        <v>0</v>
      </c>
      <c r="DW39" s="3">
        <v>0</v>
      </c>
      <c r="DX39" s="3">
        <v>0</v>
      </c>
      <c r="DY39" s="3">
        <v>0</v>
      </c>
      <c r="DZ39" s="3">
        <v>0</v>
      </c>
      <c r="EA39" s="3">
        <v>0</v>
      </c>
      <c r="EB39" s="4">
        <f t="shared" si="19"/>
        <v>0</v>
      </c>
      <c r="EC39" s="3">
        <v>0</v>
      </c>
      <c r="ED39" s="3">
        <v>0</v>
      </c>
      <c r="EE39" s="3">
        <v>0</v>
      </c>
      <c r="EF39" s="3">
        <v>0</v>
      </c>
      <c r="EG39" s="3">
        <v>0</v>
      </c>
      <c r="EH39" s="3">
        <v>0</v>
      </c>
      <c r="EI39" s="3">
        <v>0</v>
      </c>
      <c r="EJ39" s="3">
        <v>0</v>
      </c>
      <c r="EK39" s="3">
        <v>0</v>
      </c>
      <c r="EL39" s="3">
        <v>0</v>
      </c>
      <c r="EM39" s="3">
        <v>0</v>
      </c>
      <c r="EN39" s="3">
        <v>0</v>
      </c>
      <c r="EO39" s="4">
        <f t="shared" si="20"/>
        <v>0</v>
      </c>
      <c r="EP39" s="8">
        <f t="shared" si="21"/>
        <v>1</v>
      </c>
      <c r="EQ39" s="181">
        <f>IFERROR(VLOOKUP(I39,CEI_012018!$A$1:$U$509,9,FALSE),0)</f>
        <v>0</v>
      </c>
      <c r="ER39" s="181">
        <f>IFERROR(VLOOKUP(I39,CEI_022018!$A$1:$U$509,9,FALSE),0)</f>
        <v>0</v>
      </c>
      <c r="ES39" s="181">
        <f>IFERROR(VLOOKUP(I39,CEI_032018!$A$1:$U$509,9,FALSE),0)</f>
        <v>0</v>
      </c>
      <c r="ET39" s="181">
        <f>IFERROR(VLOOKUP(I39,CEI_042018!$A$1:$U$491,9,FALSE),0)</f>
        <v>0</v>
      </c>
      <c r="EU39" s="181">
        <f>IFERROR(VLOOKUP(I39,CEI_052018!$A$1:$U$489,9,FALSE),0)</f>
        <v>0</v>
      </c>
      <c r="EV39" s="181">
        <f>IFERROR(VLOOKUP(I39,CEI_062018!$A$1:$U$489,9,FALSE),0)</f>
        <v>0</v>
      </c>
      <c r="EW39" s="181">
        <f>IFERROR(VLOOKUP(I39,CEI_072018!$A$1:$U$489,9,FALSE),0)</f>
        <v>0</v>
      </c>
      <c r="EX39" s="181">
        <f>IFERROR(VLOOKUP(I39,CEI_082018!$A$1:$U$489,9,FALSE),0)</f>
        <v>0</v>
      </c>
      <c r="EY39" s="181">
        <f>IFERROR(VLOOKUP(I39,CEI_092018!$A$1:$U$489,9,FALSE),0)</f>
        <v>0</v>
      </c>
      <c r="EZ39" s="181"/>
      <c r="FA39" s="181"/>
      <c r="FB39" s="181"/>
      <c r="FC39" s="181">
        <f>IFERROR(VLOOKUP(I39,CEI_092018!$A$1:$U$489,12,FALSE),0)</f>
        <v>21.477760314941406</v>
      </c>
      <c r="FD39" s="181">
        <f t="shared" si="14"/>
        <v>21.477760314941406</v>
      </c>
      <c r="FE39" s="181">
        <f t="shared" si="15"/>
        <v>5.913239685058592</v>
      </c>
      <c r="FF39"/>
      <c r="FG39"/>
      <c r="FH39"/>
      <c r="FI39"/>
      <c r="FJ39"/>
      <c r="FK39"/>
      <c r="FL39"/>
      <c r="FM39"/>
      <c r="FN39"/>
      <c r="FO39"/>
      <c r="FP39"/>
      <c r="FQ39"/>
      <c r="FR39"/>
      <c r="FS39"/>
      <c r="FT39"/>
      <c r="FU39"/>
      <c r="FV39"/>
      <c r="FW39"/>
      <c r="FX39"/>
      <c r="FY39"/>
      <c r="FZ39"/>
      <c r="GA39"/>
      <c r="GB39"/>
      <c r="GC39"/>
    </row>
    <row r="40" spans="1:185" ht="12.95" customHeight="1" x14ac:dyDescent="0.25">
      <c r="A40" s="202"/>
      <c r="B40" s="22" t="s">
        <v>54</v>
      </c>
      <c r="C40" s="34" t="s">
        <v>33</v>
      </c>
      <c r="D40" s="22" t="s">
        <v>58</v>
      </c>
      <c r="E40" s="25" t="s">
        <v>484</v>
      </c>
      <c r="F40" s="25" t="s">
        <v>58</v>
      </c>
      <c r="G40" s="25" t="s">
        <v>484</v>
      </c>
      <c r="H40" s="22" t="s">
        <v>56</v>
      </c>
      <c r="I40" s="423" t="s">
        <v>565</v>
      </c>
      <c r="J40" s="37"/>
      <c r="K40" s="23" t="s">
        <v>583</v>
      </c>
      <c r="L40" s="121" t="s">
        <v>679</v>
      </c>
      <c r="M40" s="121" t="s">
        <v>682</v>
      </c>
      <c r="N40" s="380" t="s">
        <v>1765</v>
      </c>
      <c r="O40" s="2"/>
      <c r="P40" s="2"/>
      <c r="Q40" s="2"/>
      <c r="R40" s="2"/>
      <c r="S40" s="2"/>
      <c r="T40" s="116">
        <f t="shared" si="0"/>
        <v>0</v>
      </c>
      <c r="U40" s="324"/>
      <c r="V40" s="324"/>
      <c r="W40" s="324"/>
      <c r="X40" s="324"/>
      <c r="Y40" s="324"/>
      <c r="Z40" s="324"/>
      <c r="AA40" s="324">
        <v>102.5</v>
      </c>
      <c r="AB40" s="324"/>
      <c r="AC40" s="324"/>
      <c r="AD40" s="324"/>
      <c r="AE40" s="324"/>
      <c r="AF40" s="324"/>
      <c r="AG40" s="140">
        <f t="shared" si="1"/>
        <v>102.5</v>
      </c>
      <c r="AH40" s="324"/>
      <c r="AI40" s="324"/>
      <c r="AJ40" s="324"/>
      <c r="AK40" s="324"/>
      <c r="AL40" s="324"/>
      <c r="AM40" s="324"/>
      <c r="AN40" s="324"/>
      <c r="AO40" s="324"/>
      <c r="AP40" s="324"/>
      <c r="AQ40" s="324"/>
      <c r="AR40" s="324"/>
      <c r="AS40" s="324"/>
      <c r="AT40" s="140">
        <f t="shared" si="2"/>
        <v>0</v>
      </c>
      <c r="AU40" s="324"/>
      <c r="AV40" s="324"/>
      <c r="AW40" s="324"/>
      <c r="AX40" s="324"/>
      <c r="AY40" s="324"/>
      <c r="AZ40" s="324"/>
      <c r="BA40" s="324"/>
      <c r="BB40" s="324"/>
      <c r="BC40" s="324"/>
      <c r="BD40" s="324"/>
      <c r="BE40" s="324"/>
      <c r="BF40" s="324"/>
      <c r="BG40" s="140">
        <f t="shared" si="3"/>
        <v>0</v>
      </c>
      <c r="BH40" s="324"/>
      <c r="BI40" s="324"/>
      <c r="BJ40" s="324"/>
      <c r="BK40" s="324"/>
      <c r="BL40" s="324"/>
      <c r="BM40" s="324"/>
      <c r="BN40" s="324"/>
      <c r="BO40" s="324"/>
      <c r="BP40" s="324"/>
      <c r="BQ40" s="324"/>
      <c r="BR40" s="324"/>
      <c r="BS40" s="324"/>
      <c r="BT40" s="140">
        <f t="shared" si="4"/>
        <v>0</v>
      </c>
      <c r="BU40" s="114">
        <f t="shared" si="5"/>
        <v>102.5</v>
      </c>
      <c r="BV40" s="432"/>
      <c r="BW40" s="432"/>
      <c r="BX40" s="432"/>
      <c r="BY40" s="432"/>
      <c r="BZ40" s="433"/>
      <c r="CA40" s="434"/>
      <c r="CB40" s="7" t="s">
        <v>1150</v>
      </c>
      <c r="CC40" s="3"/>
      <c r="CD40" s="3"/>
      <c r="CE40" s="3"/>
      <c r="CF40" s="3"/>
      <c r="CG40" s="3"/>
      <c r="CH40" s="3"/>
      <c r="CI40" s="3"/>
      <c r="CJ40" s="3"/>
      <c r="CK40" s="3"/>
      <c r="CL40" s="3"/>
      <c r="CM40" s="3"/>
      <c r="CN40" s="3">
        <v>1</v>
      </c>
      <c r="CO40" s="4">
        <f t="shared" si="16"/>
        <v>1</v>
      </c>
      <c r="CP40" s="3"/>
      <c r="CQ40" s="3"/>
      <c r="CR40" s="3"/>
      <c r="CS40" s="3"/>
      <c r="CT40" s="3"/>
      <c r="CU40" s="3"/>
      <c r="CV40" s="3"/>
      <c r="CW40" s="3"/>
      <c r="CX40" s="3"/>
      <c r="CY40" s="3"/>
      <c r="CZ40" s="3"/>
      <c r="DA40" s="3"/>
      <c r="DB40" s="4">
        <f t="shared" si="17"/>
        <v>0</v>
      </c>
      <c r="DC40" s="3"/>
      <c r="DD40" s="3"/>
      <c r="DE40" s="3"/>
      <c r="DF40" s="3"/>
      <c r="DG40" s="3"/>
      <c r="DH40" s="3"/>
      <c r="DI40" s="3"/>
      <c r="DJ40" s="3"/>
      <c r="DK40" s="3"/>
      <c r="DL40" s="3"/>
      <c r="DM40" s="3"/>
      <c r="DN40" s="3"/>
      <c r="DO40" s="4">
        <f t="shared" si="18"/>
        <v>0</v>
      </c>
      <c r="DP40" s="3"/>
      <c r="DQ40" s="3"/>
      <c r="DR40" s="3"/>
      <c r="DS40" s="3"/>
      <c r="DT40" s="3"/>
      <c r="DU40" s="3"/>
      <c r="DV40" s="3"/>
      <c r="DW40" s="3"/>
      <c r="DX40" s="3"/>
      <c r="DY40" s="3"/>
      <c r="DZ40" s="3"/>
      <c r="EA40" s="3"/>
      <c r="EB40" s="4">
        <f t="shared" si="19"/>
        <v>0</v>
      </c>
      <c r="EC40" s="3"/>
      <c r="ED40" s="3"/>
      <c r="EE40" s="3"/>
      <c r="EF40" s="3"/>
      <c r="EG40" s="3"/>
      <c r="EH40" s="3"/>
      <c r="EI40" s="3"/>
      <c r="EJ40" s="3"/>
      <c r="EK40" s="3"/>
      <c r="EL40" s="3"/>
      <c r="EM40" s="3"/>
      <c r="EN40" s="3"/>
      <c r="EO40" s="4">
        <f t="shared" si="20"/>
        <v>0</v>
      </c>
      <c r="EP40" s="8">
        <f t="shared" si="21"/>
        <v>1</v>
      </c>
      <c r="EQ40" s="181">
        <f>IFERROR(VLOOKUP(I40,CEI_012018!$A$1:$U$509,9,FALSE),0)</f>
        <v>0</v>
      </c>
      <c r="ER40" s="181">
        <f>IFERROR(VLOOKUP(I40,CEI_022018!$A$1:$U$509,9,FALSE),0)</f>
        <v>0</v>
      </c>
      <c r="ES40" s="181">
        <f>IFERROR(VLOOKUP(I40,CEI_032018!$A$1:$U$509,9,FALSE),0)</f>
        <v>0</v>
      </c>
      <c r="ET40" s="181">
        <f>IFERROR(VLOOKUP(I40,CEI_042018!$A$1:$U$491,9,FALSE),0)</f>
        <v>0</v>
      </c>
      <c r="EU40" s="181">
        <f>IFERROR(VLOOKUP(I40,CEI_052018!$A$1:$U$489,9,FALSE),0)</f>
        <v>0</v>
      </c>
      <c r="EV40" s="181">
        <f>IFERROR(VLOOKUP(I40,CEI_062018!$A$1:$U$489,9,FALSE),0)</f>
        <v>0</v>
      </c>
      <c r="EW40" s="181">
        <f>IFERROR(VLOOKUP(I40,CEI_072018!$A$1:$U$489,9,FALSE),0)</f>
        <v>0</v>
      </c>
      <c r="EX40" s="181">
        <f>IFERROR(VLOOKUP(I40,CEI_082018!$A$1:$U$489,9,FALSE),0)</f>
        <v>0</v>
      </c>
      <c r="EY40" s="181">
        <f>IFERROR(VLOOKUP(I40,CEI_092018!$A$1:$U$489,9,FALSE),0)</f>
        <v>0</v>
      </c>
      <c r="EZ40" s="181"/>
      <c r="FA40" s="181"/>
      <c r="FB40" s="181"/>
      <c r="FC40" s="181">
        <f>IFERROR(VLOOKUP(I40,CEI_092018!$A$1:$U$489,12,FALSE),0)</f>
        <v>0</v>
      </c>
      <c r="FD40" s="181">
        <f t="shared" si="14"/>
        <v>0</v>
      </c>
      <c r="FE40" s="181">
        <f t="shared" si="15"/>
        <v>0</v>
      </c>
      <c r="FF40"/>
      <c r="FG40"/>
      <c r="FH40"/>
      <c r="FI40"/>
      <c r="FJ40"/>
      <c r="FK40"/>
      <c r="FL40"/>
      <c r="FM40"/>
      <c r="FN40"/>
      <c r="FO40"/>
      <c r="FP40"/>
      <c r="FQ40"/>
      <c r="FR40"/>
      <c r="FS40"/>
      <c r="FT40"/>
      <c r="FU40"/>
      <c r="FV40"/>
      <c r="FW40"/>
      <c r="FX40"/>
      <c r="FY40"/>
      <c r="FZ40"/>
      <c r="GA40"/>
      <c r="GB40"/>
      <c r="GC40"/>
    </row>
    <row r="41" spans="1:185" ht="12.95" customHeight="1" x14ac:dyDescent="0.25">
      <c r="A41" s="202"/>
      <c r="B41" s="22" t="s">
        <v>54</v>
      </c>
      <c r="C41" s="34" t="s">
        <v>1492</v>
      </c>
      <c r="D41" s="22" t="s">
        <v>188</v>
      </c>
      <c r="E41" s="25" t="s">
        <v>189</v>
      </c>
      <c r="F41" s="25" t="s">
        <v>188</v>
      </c>
      <c r="G41" s="25" t="s">
        <v>189</v>
      </c>
      <c r="H41" s="22" t="s">
        <v>65</v>
      </c>
      <c r="I41" s="423" t="s">
        <v>565</v>
      </c>
      <c r="J41" s="37"/>
      <c r="K41" s="23" t="s">
        <v>670</v>
      </c>
      <c r="L41" s="23" t="s">
        <v>195</v>
      </c>
      <c r="M41" s="23" t="s">
        <v>192</v>
      </c>
      <c r="N41" s="23"/>
      <c r="O41" s="2"/>
      <c r="P41" s="2"/>
      <c r="Q41" s="2"/>
      <c r="R41" s="2"/>
      <c r="S41" s="2"/>
      <c r="T41" s="116">
        <f t="shared" si="0"/>
        <v>0</v>
      </c>
      <c r="U41" s="324"/>
      <c r="V41" s="324"/>
      <c r="W41" s="324"/>
      <c r="X41" s="324"/>
      <c r="Y41" s="324"/>
      <c r="Z41" s="324"/>
      <c r="AA41" s="324"/>
      <c r="AB41" s="324"/>
      <c r="AC41" s="324"/>
      <c r="AD41" s="324"/>
      <c r="AE41" s="324"/>
      <c r="AF41" s="324"/>
      <c r="AG41" s="140">
        <f t="shared" si="1"/>
        <v>0</v>
      </c>
      <c r="AH41" s="324">
        <v>0</v>
      </c>
      <c r="AI41" s="324">
        <v>0</v>
      </c>
      <c r="AJ41" s="324">
        <v>0</v>
      </c>
      <c r="AK41" s="324">
        <v>0</v>
      </c>
      <c r="AL41" s="324">
        <v>0</v>
      </c>
      <c r="AM41" s="324">
        <v>0</v>
      </c>
      <c r="AN41" s="324">
        <v>0</v>
      </c>
      <c r="AO41" s="324">
        <v>0</v>
      </c>
      <c r="AP41" s="324">
        <v>0</v>
      </c>
      <c r="AQ41" s="324">
        <v>0</v>
      </c>
      <c r="AR41" s="324">
        <v>0</v>
      </c>
      <c r="AS41" s="324">
        <v>0</v>
      </c>
      <c r="AT41" s="140">
        <f t="shared" si="2"/>
        <v>0</v>
      </c>
      <c r="AU41" s="324">
        <v>0</v>
      </c>
      <c r="AV41" s="324">
        <v>0</v>
      </c>
      <c r="AW41" s="324">
        <v>0</v>
      </c>
      <c r="AX41" s="324">
        <v>0</v>
      </c>
      <c r="AY41" s="324">
        <v>0</v>
      </c>
      <c r="AZ41" s="324">
        <v>0</v>
      </c>
      <c r="BA41" s="324">
        <v>0</v>
      </c>
      <c r="BB41" s="324">
        <v>0</v>
      </c>
      <c r="BC41" s="324">
        <v>400</v>
      </c>
      <c r="BD41" s="324">
        <v>0</v>
      </c>
      <c r="BE41" s="324">
        <v>0</v>
      </c>
      <c r="BF41" s="324">
        <v>0</v>
      </c>
      <c r="BG41" s="140">
        <f t="shared" si="3"/>
        <v>400</v>
      </c>
      <c r="BH41" s="324">
        <v>0</v>
      </c>
      <c r="BI41" s="324">
        <v>0</v>
      </c>
      <c r="BJ41" s="324">
        <v>0</v>
      </c>
      <c r="BK41" s="324">
        <v>0</v>
      </c>
      <c r="BL41" s="324">
        <v>0</v>
      </c>
      <c r="BM41" s="324">
        <v>0</v>
      </c>
      <c r="BN41" s="324">
        <v>0</v>
      </c>
      <c r="BO41" s="324">
        <v>0</v>
      </c>
      <c r="BP41" s="324">
        <v>0</v>
      </c>
      <c r="BQ41" s="324">
        <v>0</v>
      </c>
      <c r="BR41" s="324">
        <v>0</v>
      </c>
      <c r="BS41" s="324">
        <v>0</v>
      </c>
      <c r="BT41" s="140">
        <f t="shared" si="4"/>
        <v>0</v>
      </c>
      <c r="BU41" s="114">
        <f t="shared" si="5"/>
        <v>400</v>
      </c>
      <c r="BV41" s="432"/>
      <c r="BW41" s="432"/>
      <c r="BX41" s="432"/>
      <c r="BY41" s="432"/>
      <c r="BZ41" s="433"/>
      <c r="CA41" s="434"/>
      <c r="CB41" s="7" t="s">
        <v>109</v>
      </c>
      <c r="CC41" s="3"/>
      <c r="CD41" s="3"/>
      <c r="CE41" s="3"/>
      <c r="CF41" s="3"/>
      <c r="CG41" s="3"/>
      <c r="CH41" s="3"/>
      <c r="CI41" s="3"/>
      <c r="CJ41" s="3"/>
      <c r="CK41" s="3"/>
      <c r="CL41" s="3"/>
      <c r="CM41" s="3"/>
      <c r="CN41" s="3"/>
      <c r="CO41" s="4">
        <f t="shared" si="16"/>
        <v>0</v>
      </c>
      <c r="CP41" s="3"/>
      <c r="CQ41" s="3"/>
      <c r="CR41" s="3"/>
      <c r="CS41" s="3"/>
      <c r="CT41" s="3"/>
      <c r="CU41" s="3"/>
      <c r="CV41" s="3"/>
      <c r="CW41" s="3"/>
      <c r="CX41" s="3"/>
      <c r="CY41" s="3"/>
      <c r="CZ41" s="3"/>
      <c r="DA41" s="3"/>
      <c r="DB41" s="4">
        <f t="shared" si="17"/>
        <v>0</v>
      </c>
      <c r="DC41" s="3"/>
      <c r="DD41" s="3"/>
      <c r="DE41" s="3"/>
      <c r="DF41" s="3"/>
      <c r="DG41" s="3"/>
      <c r="DH41" s="3"/>
      <c r="DI41" s="3"/>
      <c r="DJ41" s="3"/>
      <c r="DK41" s="3"/>
      <c r="DL41" s="3"/>
      <c r="DM41" s="3"/>
      <c r="DN41" s="3"/>
      <c r="DO41" s="4">
        <f t="shared" si="18"/>
        <v>0</v>
      </c>
      <c r="DP41" s="3"/>
      <c r="DQ41" s="3"/>
      <c r="DR41" s="3"/>
      <c r="DS41" s="3"/>
      <c r="DT41" s="3"/>
      <c r="DU41" s="3"/>
      <c r="DV41" s="3"/>
      <c r="DW41" s="3"/>
      <c r="DX41" s="3">
        <v>1</v>
      </c>
      <c r="DY41" s="3"/>
      <c r="DZ41" s="3"/>
      <c r="EA41" s="3"/>
      <c r="EB41" s="4">
        <f t="shared" si="19"/>
        <v>1</v>
      </c>
      <c r="EC41" s="3"/>
      <c r="ED41" s="3"/>
      <c r="EE41" s="3"/>
      <c r="EF41" s="3"/>
      <c r="EG41" s="3"/>
      <c r="EH41" s="3"/>
      <c r="EI41" s="3"/>
      <c r="EJ41" s="3"/>
      <c r="EK41" s="3"/>
      <c r="EL41" s="3"/>
      <c r="EM41" s="3"/>
      <c r="EN41" s="3"/>
      <c r="EO41" s="4">
        <f t="shared" si="20"/>
        <v>0</v>
      </c>
      <c r="EP41" s="8">
        <f t="shared" si="21"/>
        <v>1</v>
      </c>
      <c r="EQ41" s="181">
        <f>IFERROR(VLOOKUP(I41,CEI_012018!$A$1:$U$509,9,FALSE),0)</f>
        <v>0</v>
      </c>
      <c r="ER41" s="181">
        <f>IFERROR(VLOOKUP(I41,CEI_022018!$A$1:$U$509,9,FALSE),0)</f>
        <v>0</v>
      </c>
      <c r="ES41" s="181">
        <f>IFERROR(VLOOKUP(I41,CEI_032018!$A$1:$U$509,9,FALSE),0)</f>
        <v>0</v>
      </c>
      <c r="ET41" s="181">
        <f>IFERROR(VLOOKUP(I41,CEI_042018!$A$1:$U$491,9,FALSE),0)</f>
        <v>0</v>
      </c>
      <c r="EU41" s="181">
        <f>IFERROR(VLOOKUP(I41,CEI_052018!$A$1:$U$489,9,FALSE),0)</f>
        <v>0</v>
      </c>
      <c r="EV41" s="181">
        <f>IFERROR(VLOOKUP(I41,CEI_062018!$A$1:$U$489,9,FALSE),0)</f>
        <v>0</v>
      </c>
      <c r="EW41" s="181">
        <f>IFERROR(VLOOKUP(I41,CEI_072018!$A$1:$U$489,9,FALSE),0)</f>
        <v>0</v>
      </c>
      <c r="EX41" s="181">
        <f>IFERROR(VLOOKUP(I41,CEI_082018!$A$1:$U$489,9,FALSE),0)</f>
        <v>0</v>
      </c>
      <c r="EY41" s="181">
        <f>IFERROR(VLOOKUP(I41,CEI_092018!$A$1:$U$489,9,FALSE),0)</f>
        <v>0</v>
      </c>
      <c r="EZ41" s="181"/>
      <c r="FA41" s="181"/>
      <c r="FB41" s="181"/>
      <c r="FC41" s="181">
        <f>IFERROR(VLOOKUP(I41,CEI_092018!$A$1:$U$489,12,FALSE),0)</f>
        <v>0</v>
      </c>
      <c r="FD41" s="181">
        <f t="shared" si="14"/>
        <v>0</v>
      </c>
      <c r="FE41" s="181">
        <f t="shared" si="15"/>
        <v>0</v>
      </c>
      <c r="FF41"/>
      <c r="FG41"/>
      <c r="FH41"/>
      <c r="FI41"/>
      <c r="FJ41"/>
      <c r="FK41"/>
      <c r="FL41"/>
      <c r="FM41"/>
      <c r="FN41"/>
      <c r="FO41"/>
      <c r="FP41"/>
      <c r="FQ41"/>
      <c r="FR41"/>
      <c r="FS41"/>
      <c r="FT41"/>
      <c r="FU41"/>
      <c r="FV41"/>
      <c r="FW41"/>
      <c r="FX41"/>
      <c r="FY41"/>
      <c r="FZ41"/>
      <c r="GA41"/>
      <c r="GB41"/>
      <c r="GC41"/>
    </row>
    <row r="42" spans="1:185" ht="12.95" customHeight="1" x14ac:dyDescent="0.25">
      <c r="A42" s="202"/>
      <c r="B42" s="22" t="s">
        <v>54</v>
      </c>
      <c r="C42" s="34" t="s">
        <v>1492</v>
      </c>
      <c r="D42" s="22" t="s">
        <v>188</v>
      </c>
      <c r="E42" s="25" t="s">
        <v>175</v>
      </c>
      <c r="F42" s="25" t="s">
        <v>188</v>
      </c>
      <c r="G42" s="25" t="s">
        <v>175</v>
      </c>
      <c r="H42" s="22" t="s">
        <v>65</v>
      </c>
      <c r="I42" s="423" t="s">
        <v>565</v>
      </c>
      <c r="J42" s="192"/>
      <c r="K42" s="23" t="s">
        <v>1568</v>
      </c>
      <c r="L42" s="23" t="s">
        <v>1567</v>
      </c>
      <c r="M42" s="23" t="s">
        <v>204</v>
      </c>
      <c r="N42" s="23"/>
      <c r="O42" s="2"/>
      <c r="P42" s="2"/>
      <c r="Q42" s="2"/>
      <c r="R42" s="2"/>
      <c r="S42" s="2"/>
      <c r="T42" s="116">
        <f t="shared" si="0"/>
        <v>0</v>
      </c>
      <c r="U42" s="324"/>
      <c r="V42" s="324"/>
      <c r="W42" s="324"/>
      <c r="X42" s="324"/>
      <c r="Y42" s="324"/>
      <c r="Z42" s="324">
        <v>30</v>
      </c>
      <c r="AA42" s="324"/>
      <c r="AB42" s="324"/>
      <c r="AC42" s="324"/>
      <c r="AD42" s="324"/>
      <c r="AE42" s="324"/>
      <c r="AF42" s="324"/>
      <c r="AG42" s="140">
        <f t="shared" si="1"/>
        <v>30</v>
      </c>
      <c r="AH42" s="324">
        <v>0</v>
      </c>
      <c r="AI42" s="324">
        <v>0</v>
      </c>
      <c r="AJ42" s="324">
        <v>0</v>
      </c>
      <c r="AK42" s="324">
        <v>0</v>
      </c>
      <c r="AL42" s="324">
        <v>0</v>
      </c>
      <c r="AM42" s="324">
        <v>0</v>
      </c>
      <c r="AN42" s="324">
        <v>0</v>
      </c>
      <c r="AO42" s="324">
        <v>289</v>
      </c>
      <c r="AP42" s="324">
        <v>0</v>
      </c>
      <c r="AQ42" s="324">
        <v>0</v>
      </c>
      <c r="AR42" s="324">
        <v>0</v>
      </c>
      <c r="AS42" s="324">
        <v>0</v>
      </c>
      <c r="AT42" s="140">
        <f t="shared" si="2"/>
        <v>289</v>
      </c>
      <c r="AU42" s="324">
        <v>0</v>
      </c>
      <c r="AV42" s="324">
        <v>0</v>
      </c>
      <c r="AW42" s="324">
        <v>0</v>
      </c>
      <c r="AX42" s="324">
        <v>0</v>
      </c>
      <c r="AY42" s="324">
        <v>0</v>
      </c>
      <c r="AZ42" s="324">
        <v>0</v>
      </c>
      <c r="BA42" s="324">
        <v>0</v>
      </c>
      <c r="BB42" s="324">
        <v>0</v>
      </c>
      <c r="BC42" s="324">
        <v>0</v>
      </c>
      <c r="BD42" s="324">
        <v>0</v>
      </c>
      <c r="BE42" s="324">
        <v>0</v>
      </c>
      <c r="BF42" s="324">
        <v>0</v>
      </c>
      <c r="BG42" s="140">
        <f t="shared" si="3"/>
        <v>0</v>
      </c>
      <c r="BH42" s="324">
        <v>0</v>
      </c>
      <c r="BI42" s="324">
        <v>0</v>
      </c>
      <c r="BJ42" s="324">
        <v>0</v>
      </c>
      <c r="BK42" s="324">
        <v>0</v>
      </c>
      <c r="BL42" s="324">
        <v>0</v>
      </c>
      <c r="BM42" s="324">
        <v>0</v>
      </c>
      <c r="BN42" s="324">
        <v>0</v>
      </c>
      <c r="BO42" s="324">
        <v>0</v>
      </c>
      <c r="BP42" s="324">
        <v>0</v>
      </c>
      <c r="BQ42" s="324">
        <v>0</v>
      </c>
      <c r="BR42" s="324">
        <v>0</v>
      </c>
      <c r="BS42" s="324">
        <v>0</v>
      </c>
      <c r="BT42" s="140">
        <f t="shared" si="4"/>
        <v>0</v>
      </c>
      <c r="BU42" s="114">
        <f t="shared" si="5"/>
        <v>319</v>
      </c>
      <c r="BV42" s="432"/>
      <c r="BW42" s="432"/>
      <c r="BX42" s="432"/>
      <c r="BY42" s="432"/>
      <c r="BZ42" s="433"/>
      <c r="CA42" s="434"/>
      <c r="CB42" s="7" t="s">
        <v>109</v>
      </c>
      <c r="CC42" s="3"/>
      <c r="CD42" s="3"/>
      <c r="CE42" s="3"/>
      <c r="CF42" s="3"/>
      <c r="CG42" s="3"/>
      <c r="CH42" s="3"/>
      <c r="CI42" s="3"/>
      <c r="CJ42" s="3"/>
      <c r="CK42" s="3"/>
      <c r="CL42" s="3"/>
      <c r="CM42" s="3"/>
      <c r="CN42" s="3"/>
      <c r="CO42" s="4">
        <f t="shared" si="16"/>
        <v>0</v>
      </c>
      <c r="CP42" s="3"/>
      <c r="CQ42" s="3"/>
      <c r="CR42" s="3"/>
      <c r="CS42" s="3"/>
      <c r="CT42" s="3"/>
      <c r="CU42" s="3"/>
      <c r="CV42" s="3"/>
      <c r="CW42" s="3"/>
      <c r="CX42" s="3"/>
      <c r="CY42" s="3"/>
      <c r="CZ42" s="3"/>
      <c r="DA42" s="3"/>
      <c r="DB42" s="4">
        <f t="shared" si="17"/>
        <v>0</v>
      </c>
      <c r="DC42" s="3"/>
      <c r="DD42" s="3"/>
      <c r="DE42" s="3"/>
      <c r="DF42" s="3"/>
      <c r="DG42" s="3"/>
      <c r="DH42" s="3"/>
      <c r="DI42" s="3"/>
      <c r="DJ42" s="3"/>
      <c r="DK42" s="3"/>
      <c r="DL42" s="3"/>
      <c r="DM42" s="3"/>
      <c r="DN42" s="3"/>
      <c r="DO42" s="4">
        <f t="shared" si="18"/>
        <v>0</v>
      </c>
      <c r="DP42" s="3"/>
      <c r="DQ42" s="3"/>
      <c r="DR42" s="3"/>
      <c r="DS42" s="3"/>
      <c r="DT42" s="3"/>
      <c r="DU42" s="3"/>
      <c r="DV42" s="3"/>
      <c r="DW42" s="3"/>
      <c r="DX42" s="3"/>
      <c r="DY42" s="3"/>
      <c r="DZ42" s="3"/>
      <c r="EA42" s="3"/>
      <c r="EB42" s="4">
        <f t="shared" si="19"/>
        <v>0</v>
      </c>
      <c r="EC42" s="3"/>
      <c r="ED42" s="3"/>
      <c r="EE42" s="3"/>
      <c r="EF42" s="3"/>
      <c r="EG42" s="3"/>
      <c r="EH42" s="3"/>
      <c r="EI42" s="3"/>
      <c r="EJ42" s="3"/>
      <c r="EK42" s="3"/>
      <c r="EL42" s="3"/>
      <c r="EM42" s="3"/>
      <c r="EN42" s="3"/>
      <c r="EO42" s="4">
        <f t="shared" si="20"/>
        <v>0</v>
      </c>
      <c r="EP42" s="8">
        <f t="shared" si="21"/>
        <v>0</v>
      </c>
      <c r="EQ42" s="181">
        <f>IFERROR(VLOOKUP(I42,CEI_012018!$A$1:$U$509,9,FALSE),0)</f>
        <v>0</v>
      </c>
      <c r="ER42" s="181">
        <f>IFERROR(VLOOKUP(I42,CEI_022018!$A$1:$U$509,9,FALSE),0)</f>
        <v>0</v>
      </c>
      <c r="ES42" s="181">
        <f>IFERROR(VLOOKUP(I42,CEI_032018!$A$1:$U$509,9,FALSE),0)</f>
        <v>0</v>
      </c>
      <c r="ET42" s="181">
        <f>IFERROR(VLOOKUP(I42,CEI_042018!$A$1:$U$491,9,FALSE),0)</f>
        <v>0</v>
      </c>
      <c r="EU42" s="181">
        <f>IFERROR(VLOOKUP(I42,CEI_052018!$A$1:$U$489,9,FALSE),0)</f>
        <v>0</v>
      </c>
      <c r="EV42" s="181">
        <f>IFERROR(VLOOKUP(I42,CEI_062018!$A$1:$U$489,9,FALSE),0)</f>
        <v>0</v>
      </c>
      <c r="EW42" s="181">
        <f>IFERROR(VLOOKUP(I42,CEI_072018!$A$1:$U$489,9,FALSE),0)</f>
        <v>0</v>
      </c>
      <c r="EX42" s="181">
        <f>IFERROR(VLOOKUP(I42,CEI_082018!$A$1:$U$489,9,FALSE),0)</f>
        <v>0</v>
      </c>
      <c r="EY42" s="181">
        <f>IFERROR(VLOOKUP(I42,CEI_092018!$A$1:$U$489,9,FALSE),0)</f>
        <v>0</v>
      </c>
      <c r="EZ42" s="181"/>
      <c r="FA42" s="181"/>
      <c r="FB42" s="181"/>
      <c r="FC42" s="181">
        <f>IFERROR(VLOOKUP(I42,CEI_092018!$A$1:$U$489,12,FALSE),0)</f>
        <v>0</v>
      </c>
      <c r="FD42" s="181">
        <f t="shared" si="14"/>
        <v>0</v>
      </c>
      <c r="FE42" s="181">
        <f t="shared" si="15"/>
        <v>0</v>
      </c>
      <c r="FF42"/>
      <c r="FG42"/>
      <c r="FH42"/>
      <c r="FI42"/>
      <c r="FJ42"/>
      <c r="FK42"/>
      <c r="FL42"/>
      <c r="FM42"/>
      <c r="FN42"/>
      <c r="FO42"/>
      <c r="FP42"/>
      <c r="FQ42"/>
      <c r="FR42"/>
      <c r="FS42"/>
      <c r="FT42"/>
      <c r="FU42"/>
      <c r="FV42"/>
      <c r="FW42"/>
      <c r="FX42"/>
      <c r="FY42"/>
      <c r="FZ42"/>
      <c r="GA42"/>
      <c r="GB42"/>
      <c r="GC42"/>
    </row>
    <row r="43" spans="1:185" ht="12.95" customHeight="1" x14ac:dyDescent="0.25">
      <c r="A43" s="202"/>
      <c r="B43" s="22" t="s">
        <v>54</v>
      </c>
      <c r="C43" s="34" t="s">
        <v>1492</v>
      </c>
      <c r="D43" s="22" t="s">
        <v>188</v>
      </c>
      <c r="E43" s="25" t="s">
        <v>189</v>
      </c>
      <c r="F43" s="25" t="s">
        <v>188</v>
      </c>
      <c r="G43" s="25" t="s">
        <v>189</v>
      </c>
      <c r="H43" s="22" t="s">
        <v>65</v>
      </c>
      <c r="I43" s="423" t="s">
        <v>1233</v>
      </c>
      <c r="J43" s="192" t="s">
        <v>1235</v>
      </c>
      <c r="K43" s="23" t="s">
        <v>1565</v>
      </c>
      <c r="L43" s="23" t="s">
        <v>1559</v>
      </c>
      <c r="M43" s="23"/>
      <c r="N43" s="23"/>
      <c r="O43" s="2">
        <v>88.91908073425293</v>
      </c>
      <c r="P43" s="2"/>
      <c r="Q43" s="2">
        <v>31.31796932220459</v>
      </c>
      <c r="R43" s="2">
        <v>57.949951171875</v>
      </c>
      <c r="S43" s="2">
        <v>90.812998771667196</v>
      </c>
      <c r="T43" s="116">
        <f t="shared" si="0"/>
        <v>268.99999999999972</v>
      </c>
      <c r="U43" s="324"/>
      <c r="V43" s="324"/>
      <c r="W43" s="324"/>
      <c r="X43" s="324"/>
      <c r="Y43" s="324"/>
      <c r="Z43" s="324"/>
      <c r="AA43" s="324"/>
      <c r="AB43" s="324"/>
      <c r="AC43" s="324"/>
      <c r="AD43" s="324"/>
      <c r="AE43" s="324"/>
      <c r="AF43" s="324"/>
      <c r="AG43" s="140">
        <f t="shared" si="1"/>
        <v>0</v>
      </c>
      <c r="AH43" s="324"/>
      <c r="AI43" s="324"/>
      <c r="AJ43" s="324"/>
      <c r="AK43" s="324"/>
      <c r="AL43" s="324"/>
      <c r="AM43" s="324"/>
      <c r="AN43" s="324"/>
      <c r="AO43" s="324"/>
      <c r="AP43" s="324"/>
      <c r="AQ43" s="324"/>
      <c r="AR43" s="324"/>
      <c r="AS43" s="324"/>
      <c r="AT43" s="140">
        <f t="shared" si="2"/>
        <v>0</v>
      </c>
      <c r="AU43" s="324"/>
      <c r="AV43" s="324"/>
      <c r="AW43" s="324"/>
      <c r="AX43" s="324"/>
      <c r="AY43" s="324"/>
      <c r="AZ43" s="324"/>
      <c r="BA43" s="324"/>
      <c r="BB43" s="324"/>
      <c r="BC43" s="324"/>
      <c r="BD43" s="324"/>
      <c r="BE43" s="324"/>
      <c r="BF43" s="324"/>
      <c r="BG43" s="140">
        <f t="shared" si="3"/>
        <v>0</v>
      </c>
      <c r="BH43" s="324"/>
      <c r="BI43" s="324"/>
      <c r="BJ43" s="324"/>
      <c r="BK43" s="324"/>
      <c r="BL43" s="324"/>
      <c r="BM43" s="324"/>
      <c r="BN43" s="324"/>
      <c r="BO43" s="324"/>
      <c r="BP43" s="324"/>
      <c r="BQ43" s="324"/>
      <c r="BR43" s="324"/>
      <c r="BS43" s="324"/>
      <c r="BT43" s="140">
        <f t="shared" si="4"/>
        <v>0</v>
      </c>
      <c r="BU43" s="114">
        <f t="shared" si="5"/>
        <v>268.99999999999972</v>
      </c>
      <c r="BV43" s="372">
        <v>1</v>
      </c>
      <c r="BW43" s="372">
        <v>1</v>
      </c>
      <c r="BX43" s="372">
        <v>1</v>
      </c>
      <c r="BY43" s="372">
        <v>1</v>
      </c>
      <c r="BZ43" s="436">
        <f>IFERROR((EX43/T43%),0)</f>
        <v>33.055420347305954</v>
      </c>
      <c r="CA43" s="428">
        <f>IFERROR((FD43/T43%),0)</f>
        <v>36.84681073440499</v>
      </c>
      <c r="CB43" s="7" t="s">
        <v>1569</v>
      </c>
      <c r="CC43" s="3"/>
      <c r="CD43" s="3"/>
      <c r="CE43" s="3"/>
      <c r="CF43" s="3">
        <v>1</v>
      </c>
      <c r="CG43" s="3"/>
      <c r="CH43" s="3"/>
      <c r="CI43" s="3"/>
      <c r="CJ43" s="3">
        <v>12</v>
      </c>
      <c r="CK43" s="3">
        <v>17</v>
      </c>
      <c r="CL43" s="3"/>
      <c r="CM43" s="3"/>
      <c r="CN43" s="3"/>
      <c r="CO43" s="4">
        <f t="shared" si="16"/>
        <v>30</v>
      </c>
      <c r="CP43" s="3"/>
      <c r="CQ43" s="3"/>
      <c r="CR43" s="3"/>
      <c r="CS43" s="3"/>
      <c r="CT43" s="3"/>
      <c r="CU43" s="3"/>
      <c r="CV43" s="3"/>
      <c r="CW43" s="3"/>
      <c r="CX43" s="3"/>
      <c r="CY43" s="3"/>
      <c r="CZ43" s="3"/>
      <c r="DA43" s="3"/>
      <c r="DB43" s="4">
        <f t="shared" si="17"/>
        <v>0</v>
      </c>
      <c r="DC43" s="3"/>
      <c r="DD43" s="3"/>
      <c r="DE43" s="3"/>
      <c r="DF43" s="3"/>
      <c r="DG43" s="3"/>
      <c r="DH43" s="3"/>
      <c r="DI43" s="3"/>
      <c r="DJ43" s="3"/>
      <c r="DK43" s="3"/>
      <c r="DL43" s="3"/>
      <c r="DM43" s="3"/>
      <c r="DN43" s="3"/>
      <c r="DO43" s="4">
        <f t="shared" si="18"/>
        <v>0</v>
      </c>
      <c r="DP43" s="3"/>
      <c r="DQ43" s="3"/>
      <c r="DR43" s="3"/>
      <c r="DS43" s="3"/>
      <c r="DT43" s="3"/>
      <c r="DU43" s="3"/>
      <c r="DV43" s="3"/>
      <c r="DW43" s="3"/>
      <c r="DX43" s="3"/>
      <c r="DY43" s="3"/>
      <c r="DZ43" s="3"/>
      <c r="EA43" s="3"/>
      <c r="EB43" s="4">
        <f t="shared" si="19"/>
        <v>0</v>
      </c>
      <c r="EC43" s="3"/>
      <c r="ED43" s="3"/>
      <c r="EE43" s="3"/>
      <c r="EF43" s="3"/>
      <c r="EG43" s="3"/>
      <c r="EH43" s="3"/>
      <c r="EI43" s="3"/>
      <c r="EJ43" s="3"/>
      <c r="EK43" s="3"/>
      <c r="EL43" s="3"/>
      <c r="EM43" s="3"/>
      <c r="EN43" s="3"/>
      <c r="EO43" s="4">
        <f t="shared" si="20"/>
        <v>0</v>
      </c>
      <c r="EP43" s="8">
        <f t="shared" si="21"/>
        <v>30</v>
      </c>
      <c r="EQ43" s="181">
        <f>IFERROR(VLOOKUP(I43,CEI_012018!$A$1:$U$509,9,FALSE),0)</f>
        <v>0</v>
      </c>
      <c r="ER43" s="181">
        <f>IFERROR(VLOOKUP(I43,CEI_022018!$A$1:$U$509,9,FALSE),0)</f>
        <v>0</v>
      </c>
      <c r="ES43" s="181">
        <f>IFERROR(VLOOKUP(I43,CEI_032018!$A$1:$U$509,9,FALSE),0)</f>
        <v>0</v>
      </c>
      <c r="ET43" s="181">
        <f>IFERROR(VLOOKUP(I43,CEI_042018!$A$1:$U$491,9,FALSE),0)</f>
        <v>9.8500003814697266</v>
      </c>
      <c r="EU43" s="181">
        <f>IFERROR(VLOOKUP(I43,CEI_052018!$A$1:$U$489,9,FALSE),0)</f>
        <v>9.8500003814697266</v>
      </c>
      <c r="EV43" s="181">
        <f>IFERROR(VLOOKUP(I43,CEI_062018!$A$1:$U$489,9,FALSE),0)</f>
        <v>9.8500003814697266</v>
      </c>
      <c r="EW43" s="181">
        <f>IFERROR(VLOOKUP(I43,CEI_072018!$A$1:$U$489,9,FALSE),0)</f>
        <v>9.8500003814697266</v>
      </c>
      <c r="EX43" s="181">
        <f>IFERROR(VLOOKUP(I43,CEI_082018!$A$1:$U$489,9,FALSE),0)</f>
        <v>88.91908073425293</v>
      </c>
      <c r="EY43" s="181">
        <f>IFERROR(VLOOKUP(I43,CEI_092018!$A$1:$U$489,9,FALSE),0)</f>
        <v>88.91908073425293</v>
      </c>
      <c r="EZ43" s="181"/>
      <c r="FA43" s="181"/>
      <c r="FB43" s="181"/>
      <c r="FC43" s="181">
        <f>IFERROR(VLOOKUP(I43,CEI_092018!$A$1:$U$489,12,FALSE),0)</f>
        <v>89.26792049407959</v>
      </c>
      <c r="FD43" s="181">
        <f t="shared" si="14"/>
        <v>99.117920875549316</v>
      </c>
      <c r="FE43" s="181">
        <f t="shared" si="15"/>
        <v>169.8820791244504</v>
      </c>
      <c r="FF43"/>
      <c r="FG43"/>
      <c r="FH43"/>
      <c r="FI43"/>
      <c r="FJ43"/>
      <c r="FK43"/>
      <c r="FL43"/>
      <c r="FM43"/>
      <c r="FN43"/>
      <c r="FO43"/>
      <c r="FP43"/>
      <c r="FQ43"/>
      <c r="FR43"/>
      <c r="FS43"/>
      <c r="FT43"/>
      <c r="FU43"/>
      <c r="FV43"/>
      <c r="FW43"/>
      <c r="FX43"/>
      <c r="FY43"/>
      <c r="FZ43"/>
      <c r="GA43"/>
      <c r="GB43"/>
      <c r="GC43"/>
    </row>
    <row r="44" spans="1:185" ht="12.95" customHeight="1" x14ac:dyDescent="0.25">
      <c r="A44" s="202"/>
      <c r="B44" s="22" t="s">
        <v>54</v>
      </c>
      <c r="C44" s="34" t="s">
        <v>1492</v>
      </c>
      <c r="D44" s="22" t="s">
        <v>188</v>
      </c>
      <c r="E44" s="25" t="s">
        <v>189</v>
      </c>
      <c r="F44" s="25" t="s">
        <v>188</v>
      </c>
      <c r="G44" s="25" t="s">
        <v>189</v>
      </c>
      <c r="H44" s="22" t="s">
        <v>65</v>
      </c>
      <c r="I44" s="423" t="s">
        <v>565</v>
      </c>
      <c r="J44" s="37"/>
      <c r="K44" s="23" t="s">
        <v>193</v>
      </c>
      <c r="L44" s="23" t="s">
        <v>194</v>
      </c>
      <c r="M44" s="23" t="s">
        <v>192</v>
      </c>
      <c r="N44" s="23"/>
      <c r="O44" s="2"/>
      <c r="P44" s="2"/>
      <c r="Q44" s="2"/>
      <c r="R44" s="2"/>
      <c r="S44" s="2"/>
      <c r="T44" s="116">
        <f t="shared" si="0"/>
        <v>0</v>
      </c>
      <c r="U44" s="324"/>
      <c r="V44" s="324"/>
      <c r="W44" s="324"/>
      <c r="X44" s="324"/>
      <c r="Y44" s="324"/>
      <c r="Z44" s="324"/>
      <c r="AA44" s="324"/>
      <c r="AB44" s="324"/>
      <c r="AC44" s="324"/>
      <c r="AD44" s="324"/>
      <c r="AE44" s="324"/>
      <c r="AF44" s="324"/>
      <c r="AG44" s="140">
        <f t="shared" si="1"/>
        <v>0</v>
      </c>
      <c r="AH44" s="324">
        <v>0</v>
      </c>
      <c r="AI44" s="324">
        <v>0</v>
      </c>
      <c r="AJ44" s="324">
        <v>0</v>
      </c>
      <c r="AK44" s="324">
        <v>0</v>
      </c>
      <c r="AL44" s="324">
        <v>0</v>
      </c>
      <c r="AM44" s="324">
        <v>0</v>
      </c>
      <c r="AN44" s="324">
        <v>190</v>
      </c>
      <c r="AO44" s="324">
        <v>0</v>
      </c>
      <c r="AP44" s="324">
        <v>0</v>
      </c>
      <c r="AQ44" s="324">
        <v>0</v>
      </c>
      <c r="AR44" s="324">
        <v>0</v>
      </c>
      <c r="AS44" s="324">
        <v>0</v>
      </c>
      <c r="AT44" s="140">
        <f t="shared" si="2"/>
        <v>190</v>
      </c>
      <c r="AU44" s="324">
        <v>0</v>
      </c>
      <c r="AV44" s="324">
        <v>0</v>
      </c>
      <c r="AW44" s="324">
        <v>0</v>
      </c>
      <c r="AX44" s="324">
        <v>0</v>
      </c>
      <c r="AY44" s="324">
        <v>0</v>
      </c>
      <c r="AZ44" s="324">
        <v>0</v>
      </c>
      <c r="BA44" s="324">
        <v>0</v>
      </c>
      <c r="BB44" s="324">
        <v>0</v>
      </c>
      <c r="BC44" s="324">
        <v>0</v>
      </c>
      <c r="BD44" s="324">
        <v>0</v>
      </c>
      <c r="BE44" s="324">
        <v>0</v>
      </c>
      <c r="BF44" s="324">
        <v>0</v>
      </c>
      <c r="BG44" s="140">
        <f t="shared" si="3"/>
        <v>0</v>
      </c>
      <c r="BH44" s="324">
        <v>0</v>
      </c>
      <c r="BI44" s="324">
        <v>0</v>
      </c>
      <c r="BJ44" s="324">
        <v>0</v>
      </c>
      <c r="BK44" s="324">
        <v>0</v>
      </c>
      <c r="BL44" s="324">
        <v>0</v>
      </c>
      <c r="BM44" s="324">
        <v>0</v>
      </c>
      <c r="BN44" s="324">
        <v>0</v>
      </c>
      <c r="BO44" s="324">
        <v>0</v>
      </c>
      <c r="BP44" s="324">
        <v>0</v>
      </c>
      <c r="BQ44" s="324">
        <v>0</v>
      </c>
      <c r="BR44" s="324">
        <v>0</v>
      </c>
      <c r="BS44" s="324">
        <v>0</v>
      </c>
      <c r="BT44" s="140">
        <f t="shared" si="4"/>
        <v>0</v>
      </c>
      <c r="BU44" s="114">
        <f t="shared" si="5"/>
        <v>190</v>
      </c>
      <c r="BV44" s="432"/>
      <c r="BW44" s="432"/>
      <c r="BX44" s="432"/>
      <c r="BY44" s="432"/>
      <c r="BZ44" s="433"/>
      <c r="CA44" s="434"/>
      <c r="CB44" s="7" t="s">
        <v>109</v>
      </c>
      <c r="CC44" s="3"/>
      <c r="CD44" s="3"/>
      <c r="CE44" s="3"/>
      <c r="CF44" s="3"/>
      <c r="CG44" s="3"/>
      <c r="CH44" s="3"/>
      <c r="CI44" s="3"/>
      <c r="CJ44" s="3"/>
      <c r="CK44" s="3"/>
      <c r="CL44" s="3"/>
      <c r="CM44" s="3"/>
      <c r="CN44" s="3"/>
      <c r="CO44" s="4">
        <f t="shared" si="16"/>
        <v>0</v>
      </c>
      <c r="CP44" s="3"/>
      <c r="CQ44" s="3"/>
      <c r="CR44" s="3"/>
      <c r="CS44" s="3"/>
      <c r="CT44" s="3"/>
      <c r="CU44" s="3"/>
      <c r="CV44" s="3"/>
      <c r="CW44" s="3"/>
      <c r="CX44" s="3"/>
      <c r="CY44" s="3"/>
      <c r="CZ44" s="3"/>
      <c r="DA44" s="3"/>
      <c r="DB44" s="4">
        <f t="shared" si="17"/>
        <v>0</v>
      </c>
      <c r="DC44" s="3"/>
      <c r="DD44" s="3"/>
      <c r="DE44" s="3"/>
      <c r="DF44" s="3"/>
      <c r="DG44" s="3"/>
      <c r="DH44" s="3"/>
      <c r="DI44" s="3"/>
      <c r="DJ44" s="3"/>
      <c r="DK44" s="3"/>
      <c r="DL44" s="3">
        <v>3</v>
      </c>
      <c r="DM44" s="3"/>
      <c r="DN44" s="3"/>
      <c r="DO44" s="4">
        <f t="shared" si="18"/>
        <v>3</v>
      </c>
      <c r="DP44" s="3"/>
      <c r="DQ44" s="3"/>
      <c r="DR44" s="3"/>
      <c r="DS44" s="3"/>
      <c r="DT44" s="3"/>
      <c r="DU44" s="3"/>
      <c r="DV44" s="3"/>
      <c r="DW44" s="3"/>
      <c r="DX44" s="3"/>
      <c r="DY44" s="3"/>
      <c r="DZ44" s="3"/>
      <c r="EA44" s="3"/>
      <c r="EB44" s="4">
        <f t="shared" si="19"/>
        <v>0</v>
      </c>
      <c r="EC44" s="3"/>
      <c r="ED44" s="3"/>
      <c r="EE44" s="3"/>
      <c r="EF44" s="3"/>
      <c r="EG44" s="3"/>
      <c r="EH44" s="3"/>
      <c r="EI44" s="3"/>
      <c r="EJ44" s="3"/>
      <c r="EK44" s="3"/>
      <c r="EL44" s="3"/>
      <c r="EM44" s="3"/>
      <c r="EN44" s="3"/>
      <c r="EO44" s="4">
        <f t="shared" si="20"/>
        <v>0</v>
      </c>
      <c r="EP44" s="8">
        <f t="shared" si="21"/>
        <v>3</v>
      </c>
      <c r="EQ44" s="181">
        <f>IFERROR(VLOOKUP(I44,CEI_012018!$A$1:$U$509,9,FALSE),0)</f>
        <v>0</v>
      </c>
      <c r="ER44" s="181">
        <f>IFERROR(VLOOKUP(I44,CEI_022018!$A$1:$U$509,9,FALSE),0)</f>
        <v>0</v>
      </c>
      <c r="ES44" s="181">
        <f>IFERROR(VLOOKUP(I44,CEI_032018!$A$1:$U$509,9,FALSE),0)</f>
        <v>0</v>
      </c>
      <c r="ET44" s="181">
        <f>IFERROR(VLOOKUP(I44,CEI_042018!$A$1:$U$491,9,FALSE),0)</f>
        <v>0</v>
      </c>
      <c r="EU44" s="181">
        <f>IFERROR(VLOOKUP(I44,CEI_052018!$A$1:$U$489,9,FALSE),0)</f>
        <v>0</v>
      </c>
      <c r="EV44" s="181">
        <f>IFERROR(VLOOKUP(I44,CEI_062018!$A$1:$U$489,9,FALSE),0)</f>
        <v>0</v>
      </c>
      <c r="EW44" s="181">
        <f>IFERROR(VLOOKUP(I44,CEI_072018!$A$1:$U$489,9,FALSE),0)</f>
        <v>0</v>
      </c>
      <c r="EX44" s="181">
        <f>IFERROR(VLOOKUP(I44,CEI_082018!$A$1:$U$489,9,FALSE),0)</f>
        <v>0</v>
      </c>
      <c r="EY44" s="181">
        <f>IFERROR(VLOOKUP(I44,CEI_092018!$A$1:$U$489,9,FALSE),0)</f>
        <v>0</v>
      </c>
      <c r="EZ44" s="181"/>
      <c r="FA44" s="181"/>
      <c r="FB44" s="181"/>
      <c r="FC44" s="181">
        <f>IFERROR(VLOOKUP(I44,CEI_092018!$A$1:$U$489,12,FALSE),0)</f>
        <v>0</v>
      </c>
      <c r="FD44" s="181">
        <f t="shared" si="14"/>
        <v>0</v>
      </c>
      <c r="FE44" s="181">
        <f t="shared" si="15"/>
        <v>0</v>
      </c>
      <c r="FF44"/>
      <c r="FG44"/>
      <c r="FH44"/>
      <c r="FI44"/>
      <c r="FJ44"/>
      <c r="FK44"/>
      <c r="FL44"/>
      <c r="FM44"/>
      <c r="FN44"/>
      <c r="FO44"/>
      <c r="FP44"/>
      <c r="FQ44"/>
      <c r="FR44"/>
      <c r="FS44"/>
      <c r="FT44"/>
      <c r="FU44"/>
      <c r="FV44"/>
      <c r="FW44"/>
      <c r="FX44"/>
      <c r="FY44"/>
      <c r="FZ44"/>
      <c r="GA44"/>
      <c r="GB44"/>
      <c r="GC44"/>
    </row>
    <row r="45" spans="1:185" ht="12.95" customHeight="1" x14ac:dyDescent="0.25">
      <c r="A45" s="202"/>
      <c r="B45" s="22" t="s">
        <v>54</v>
      </c>
      <c r="C45" s="34" t="s">
        <v>1492</v>
      </c>
      <c r="D45" s="22" t="s">
        <v>110</v>
      </c>
      <c r="E45" s="25" t="s">
        <v>111</v>
      </c>
      <c r="F45" s="25" t="s">
        <v>110</v>
      </c>
      <c r="G45" s="25" t="s">
        <v>111</v>
      </c>
      <c r="H45" s="22" t="s">
        <v>65</v>
      </c>
      <c r="I45" s="423" t="s">
        <v>2022</v>
      </c>
      <c r="J45" s="37" t="s">
        <v>2023</v>
      </c>
      <c r="K45" s="23" t="s">
        <v>2024</v>
      </c>
      <c r="L45" s="23" t="s">
        <v>2025</v>
      </c>
      <c r="M45" s="23"/>
      <c r="N45" s="23"/>
      <c r="O45" s="2">
        <v>0</v>
      </c>
      <c r="P45" s="2">
        <v>0</v>
      </c>
      <c r="Q45" s="2">
        <v>0</v>
      </c>
      <c r="R45" s="2">
        <v>0</v>
      </c>
      <c r="S45" s="2">
        <v>0</v>
      </c>
      <c r="T45" s="116">
        <f t="shared" si="0"/>
        <v>0</v>
      </c>
      <c r="U45" s="324">
        <v>0</v>
      </c>
      <c r="V45" s="324">
        <v>0</v>
      </c>
      <c r="W45" s="324">
        <v>412.91641142857134</v>
      </c>
      <c r="X45" s="324">
        <v>0</v>
      </c>
      <c r="Y45" s="324">
        <v>0</v>
      </c>
      <c r="Z45" s="324"/>
      <c r="AA45" s="324"/>
      <c r="AB45" s="324"/>
      <c r="AC45" s="324"/>
      <c r="AD45" s="324"/>
      <c r="AE45" s="324"/>
      <c r="AF45" s="324"/>
      <c r="AG45" s="140">
        <f t="shared" si="1"/>
        <v>412.91641142857134</v>
      </c>
      <c r="AH45" s="324">
        <v>0</v>
      </c>
      <c r="AI45" s="324">
        <v>0</v>
      </c>
      <c r="AJ45" s="324">
        <v>0</v>
      </c>
      <c r="AK45" s="324">
        <v>0</v>
      </c>
      <c r="AL45" s="324">
        <v>0</v>
      </c>
      <c r="AM45" s="324">
        <v>0</v>
      </c>
      <c r="AN45" s="324">
        <v>0</v>
      </c>
      <c r="AO45" s="324">
        <v>0</v>
      </c>
      <c r="AP45" s="324">
        <v>0</v>
      </c>
      <c r="AQ45" s="324">
        <v>0</v>
      </c>
      <c r="AR45" s="324">
        <v>0</v>
      </c>
      <c r="AS45" s="324">
        <v>0</v>
      </c>
      <c r="AT45" s="140">
        <f t="shared" si="2"/>
        <v>0</v>
      </c>
      <c r="AU45" s="324">
        <v>0</v>
      </c>
      <c r="AV45" s="324">
        <v>0</v>
      </c>
      <c r="AW45" s="324">
        <v>0</v>
      </c>
      <c r="AX45" s="324">
        <v>0</v>
      </c>
      <c r="AY45" s="324">
        <v>0</v>
      </c>
      <c r="AZ45" s="324">
        <v>0</v>
      </c>
      <c r="BA45" s="324">
        <v>0</v>
      </c>
      <c r="BB45" s="324">
        <v>0</v>
      </c>
      <c r="BC45" s="324">
        <v>0</v>
      </c>
      <c r="BD45" s="324">
        <v>0</v>
      </c>
      <c r="BE45" s="324">
        <v>0</v>
      </c>
      <c r="BF45" s="324">
        <v>0</v>
      </c>
      <c r="BG45" s="140">
        <f t="shared" si="3"/>
        <v>0</v>
      </c>
      <c r="BH45" s="324">
        <v>0</v>
      </c>
      <c r="BI45" s="324">
        <v>0</v>
      </c>
      <c r="BJ45" s="324">
        <v>0</v>
      </c>
      <c r="BK45" s="324">
        <v>0</v>
      </c>
      <c r="BL45" s="324">
        <v>0</v>
      </c>
      <c r="BM45" s="324">
        <v>0</v>
      </c>
      <c r="BN45" s="324">
        <v>0</v>
      </c>
      <c r="BO45" s="324">
        <v>0</v>
      </c>
      <c r="BP45" s="324">
        <v>0</v>
      </c>
      <c r="BQ45" s="324">
        <v>0</v>
      </c>
      <c r="BR45" s="324">
        <v>0</v>
      </c>
      <c r="BS45" s="324">
        <v>0</v>
      </c>
      <c r="BT45" s="140">
        <f t="shared" si="4"/>
        <v>0</v>
      </c>
      <c r="BU45" s="114">
        <f t="shared" si="5"/>
        <v>412.91641142857134</v>
      </c>
      <c r="BV45" s="432"/>
      <c r="BW45" s="432"/>
      <c r="BX45" s="432"/>
      <c r="BY45" s="432"/>
      <c r="BZ45" s="433"/>
      <c r="CA45" s="434"/>
      <c r="CB45" s="7" t="s">
        <v>73</v>
      </c>
      <c r="CC45" s="3"/>
      <c r="CD45" s="3"/>
      <c r="CE45" s="3"/>
      <c r="CF45" s="3"/>
      <c r="CG45" s="3"/>
      <c r="CH45" s="3"/>
      <c r="CI45" s="3"/>
      <c r="CJ45" s="3"/>
      <c r="CK45" s="3"/>
      <c r="CL45" s="3"/>
      <c r="CM45" s="3"/>
      <c r="CN45" s="3"/>
      <c r="CO45" s="4">
        <f>SUM(CC45:CN45)</f>
        <v>0</v>
      </c>
      <c r="CP45" s="3"/>
      <c r="CQ45" s="3"/>
      <c r="CR45" s="3"/>
      <c r="CS45" s="3"/>
      <c r="CT45" s="3"/>
      <c r="CU45" s="3"/>
      <c r="CV45" s="3"/>
      <c r="CW45" s="3"/>
      <c r="CX45" s="3"/>
      <c r="CY45" s="3"/>
      <c r="CZ45" s="3"/>
      <c r="DA45" s="3">
        <v>1</v>
      </c>
      <c r="DB45" s="4">
        <v>19</v>
      </c>
      <c r="DC45" s="3"/>
      <c r="DD45" s="3"/>
      <c r="DE45" s="3"/>
      <c r="DF45" s="3"/>
      <c r="DG45" s="3"/>
      <c r="DH45" s="3"/>
      <c r="DI45" s="3"/>
      <c r="DJ45" s="3"/>
      <c r="DK45" s="3"/>
      <c r="DL45" s="3"/>
      <c r="DM45" s="3"/>
      <c r="DN45" s="3"/>
      <c r="DO45" s="4">
        <f t="shared" si="18"/>
        <v>0</v>
      </c>
      <c r="DP45" s="3"/>
      <c r="DQ45" s="3"/>
      <c r="DR45" s="3"/>
      <c r="DS45" s="3"/>
      <c r="DT45" s="3"/>
      <c r="DU45" s="3"/>
      <c r="DV45" s="3"/>
      <c r="DW45" s="3"/>
      <c r="DX45" s="3"/>
      <c r="DY45" s="3"/>
      <c r="DZ45" s="3"/>
      <c r="EA45" s="3"/>
      <c r="EB45" s="4">
        <f t="shared" si="19"/>
        <v>0</v>
      </c>
      <c r="EC45" s="3"/>
      <c r="ED45" s="3"/>
      <c r="EE45" s="3"/>
      <c r="EF45" s="3"/>
      <c r="EG45" s="3"/>
      <c r="EH45" s="3"/>
      <c r="EI45" s="3"/>
      <c r="EJ45" s="3"/>
      <c r="EK45" s="3"/>
      <c r="EL45" s="3"/>
      <c r="EM45" s="3"/>
      <c r="EN45" s="3"/>
      <c r="EO45" s="4">
        <f t="shared" si="20"/>
        <v>0</v>
      </c>
      <c r="EP45" s="8">
        <f>SUM(EO45,EB45,DO45,DB45,CO45)</f>
        <v>19</v>
      </c>
      <c r="EQ45" s="181">
        <f>IFERROR(VLOOKUP(I45,CEI_012018!$A$1:$U$509,9,FALSE),0)</f>
        <v>0</v>
      </c>
      <c r="ER45" s="181">
        <f>IFERROR(VLOOKUP(I45,CEI_022018!$A$1:$U$509,9,FALSE),0)</f>
        <v>0</v>
      </c>
      <c r="ES45" s="181">
        <f>IFERROR(VLOOKUP(I45,CEI_032018!$A$1:$U$509,9,FALSE),0)</f>
        <v>0</v>
      </c>
      <c r="ET45" s="181">
        <f>IFERROR(VLOOKUP(I45,CEI_042018!$A$1:$U$491,9,FALSE),0)</f>
        <v>0</v>
      </c>
      <c r="EU45" s="181">
        <f>IFERROR(VLOOKUP(I45,CEI_052018!$A$1:$U$489,9,FALSE),0)</f>
        <v>0</v>
      </c>
      <c r="EV45" s="181">
        <f>IFERROR(VLOOKUP(I45,CEI_062018!$A$1:$U$489,9,FALSE),0)</f>
        <v>0</v>
      </c>
      <c r="EW45" s="181">
        <f>IFERROR(VLOOKUP(I45,CEI_072018!$A$1:$U$489,9,FALSE),0)</f>
        <v>0</v>
      </c>
      <c r="EX45" s="181">
        <f>IFERROR(VLOOKUP(I45,CEI_082018!$A$1:$U$489,9,FALSE),0)</f>
        <v>0</v>
      </c>
      <c r="EY45" s="181">
        <f>IFERROR(VLOOKUP(I45,CEI_092018!$A$1:$U$489,9,FALSE),0)</f>
        <v>0</v>
      </c>
      <c r="EZ45" s="181"/>
      <c r="FA45" s="181"/>
      <c r="FB45" s="181"/>
      <c r="FC45" s="181">
        <f>IFERROR(VLOOKUP(I45,CEI_092018!$A$1:$U$489,12,FALSE),0)</f>
        <v>0</v>
      </c>
      <c r="FD45" s="181">
        <f t="shared" si="14"/>
        <v>0</v>
      </c>
      <c r="FE45" s="181">
        <f t="shared" si="15"/>
        <v>0</v>
      </c>
      <c r="FF45"/>
      <c r="FG45"/>
      <c r="FH45"/>
      <c r="FI45"/>
      <c r="FJ45"/>
      <c r="FK45"/>
      <c r="FL45"/>
      <c r="FM45"/>
      <c r="FN45"/>
      <c r="FO45"/>
      <c r="FP45"/>
      <c r="FQ45"/>
      <c r="FR45"/>
      <c r="FS45"/>
      <c r="FT45"/>
      <c r="FU45"/>
      <c r="FV45"/>
      <c r="FW45"/>
      <c r="FX45"/>
      <c r="FY45"/>
      <c r="FZ45"/>
      <c r="GA45"/>
      <c r="GB45"/>
      <c r="GC45"/>
    </row>
    <row r="46" spans="1:185" ht="12.95" customHeight="1" x14ac:dyDescent="0.25">
      <c r="A46" s="202"/>
      <c r="B46" s="22" t="s">
        <v>54</v>
      </c>
      <c r="C46" s="34" t="s">
        <v>1492</v>
      </c>
      <c r="D46" s="22" t="s">
        <v>169</v>
      </c>
      <c r="E46" s="25" t="s">
        <v>170</v>
      </c>
      <c r="F46" s="25" t="s">
        <v>169</v>
      </c>
      <c r="G46" s="25" t="s">
        <v>170</v>
      </c>
      <c r="H46" s="22" t="s">
        <v>65</v>
      </c>
      <c r="I46" s="423" t="s">
        <v>565</v>
      </c>
      <c r="J46" s="37"/>
      <c r="K46" s="23" t="s">
        <v>2026</v>
      </c>
      <c r="L46" s="23" t="s">
        <v>171</v>
      </c>
      <c r="M46" s="23" t="s">
        <v>172</v>
      </c>
      <c r="N46" s="23"/>
      <c r="O46" s="2"/>
      <c r="P46" s="2"/>
      <c r="Q46" s="2"/>
      <c r="R46" s="2"/>
      <c r="S46" s="2"/>
      <c r="T46" s="116">
        <f t="shared" si="0"/>
        <v>0</v>
      </c>
      <c r="U46" s="324"/>
      <c r="V46" s="324"/>
      <c r="W46" s="324"/>
      <c r="X46" s="324"/>
      <c r="Y46" s="324"/>
      <c r="Z46" s="324"/>
      <c r="AA46" s="324"/>
      <c r="AB46" s="324"/>
      <c r="AC46" s="324"/>
      <c r="AD46" s="324"/>
      <c r="AE46" s="324"/>
      <c r="AF46" s="324"/>
      <c r="AG46" s="140">
        <f t="shared" si="1"/>
        <v>0</v>
      </c>
      <c r="AH46" s="324"/>
      <c r="AI46" s="324"/>
      <c r="AJ46" s="324"/>
      <c r="AK46" s="324"/>
      <c r="AL46" s="324"/>
      <c r="AM46" s="324"/>
      <c r="AN46" s="324"/>
      <c r="AO46" s="324"/>
      <c r="AP46" s="324"/>
      <c r="AQ46" s="324">
        <v>5</v>
      </c>
      <c r="AR46" s="324"/>
      <c r="AS46" s="324"/>
      <c r="AT46" s="140">
        <f t="shared" si="2"/>
        <v>5</v>
      </c>
      <c r="AU46" s="324"/>
      <c r="AV46" s="324"/>
      <c r="AW46" s="324"/>
      <c r="AX46" s="324"/>
      <c r="AY46" s="324"/>
      <c r="AZ46" s="324"/>
      <c r="BA46" s="324"/>
      <c r="BB46" s="324"/>
      <c r="BC46" s="324"/>
      <c r="BD46" s="324">
        <v>5</v>
      </c>
      <c r="BE46" s="324"/>
      <c r="BF46" s="324"/>
      <c r="BG46" s="140">
        <f t="shared" si="3"/>
        <v>5</v>
      </c>
      <c r="BH46" s="324"/>
      <c r="BI46" s="324"/>
      <c r="BJ46" s="324"/>
      <c r="BK46" s="324"/>
      <c r="BL46" s="324"/>
      <c r="BM46" s="324"/>
      <c r="BN46" s="324"/>
      <c r="BO46" s="324"/>
      <c r="BP46" s="324"/>
      <c r="BQ46" s="324"/>
      <c r="BR46" s="324"/>
      <c r="BS46" s="324"/>
      <c r="BT46" s="140">
        <f t="shared" si="4"/>
        <v>0</v>
      </c>
      <c r="BU46" s="114">
        <f t="shared" si="5"/>
        <v>10</v>
      </c>
      <c r="BV46" s="432"/>
      <c r="BW46" s="432"/>
      <c r="BX46" s="432"/>
      <c r="BY46" s="432"/>
      <c r="BZ46" s="433"/>
      <c r="CA46" s="434"/>
      <c r="CB46" s="7" t="s">
        <v>73</v>
      </c>
      <c r="CC46" s="3"/>
      <c r="CD46" s="3"/>
      <c r="CE46" s="3"/>
      <c r="CF46" s="3"/>
      <c r="CG46" s="3"/>
      <c r="CH46" s="3"/>
      <c r="CI46" s="3"/>
      <c r="CJ46" s="3"/>
      <c r="CK46" s="3"/>
      <c r="CL46" s="3"/>
      <c r="CM46" s="3"/>
      <c r="CN46" s="3"/>
      <c r="CO46" s="4">
        <f>SUM(CC46:CN46)</f>
        <v>0</v>
      </c>
      <c r="CP46" s="3"/>
      <c r="CQ46" s="3"/>
      <c r="CR46" s="3"/>
      <c r="CS46" s="3"/>
      <c r="CT46" s="3"/>
      <c r="CU46" s="3"/>
      <c r="CV46" s="3"/>
      <c r="CW46" s="3"/>
      <c r="CX46" s="3"/>
      <c r="CY46" s="3"/>
      <c r="CZ46" s="3"/>
      <c r="DA46" s="3"/>
      <c r="DB46" s="4">
        <v>19</v>
      </c>
      <c r="DC46" s="3"/>
      <c r="DD46" s="3"/>
      <c r="DE46" s="3"/>
      <c r="DF46" s="3"/>
      <c r="DG46" s="3"/>
      <c r="DH46" s="3"/>
      <c r="DI46" s="3"/>
      <c r="DJ46" s="3"/>
      <c r="DK46" s="3"/>
      <c r="DL46" s="3">
        <v>1</v>
      </c>
      <c r="DM46" s="3"/>
      <c r="DN46" s="3"/>
      <c r="DO46" s="4">
        <f t="shared" si="18"/>
        <v>1</v>
      </c>
      <c r="DP46" s="3"/>
      <c r="DQ46" s="3"/>
      <c r="DR46" s="3"/>
      <c r="DS46" s="3"/>
      <c r="DT46" s="3"/>
      <c r="DU46" s="3"/>
      <c r="DV46" s="3"/>
      <c r="DW46" s="3"/>
      <c r="DX46" s="3"/>
      <c r="DY46" s="3">
        <v>1</v>
      </c>
      <c r="DZ46" s="3"/>
      <c r="EA46" s="3"/>
      <c r="EB46" s="4">
        <f t="shared" si="19"/>
        <v>1</v>
      </c>
      <c r="EC46" s="3"/>
      <c r="ED46" s="3"/>
      <c r="EE46" s="3"/>
      <c r="EF46" s="3"/>
      <c r="EG46" s="3"/>
      <c r="EH46" s="3"/>
      <c r="EI46" s="3"/>
      <c r="EJ46" s="3"/>
      <c r="EK46" s="3"/>
      <c r="EL46" s="3"/>
      <c r="EM46" s="3"/>
      <c r="EN46" s="3"/>
      <c r="EO46" s="4">
        <f t="shared" si="20"/>
        <v>0</v>
      </c>
      <c r="EP46" s="8">
        <f t="shared" ref="EP46:EP47" si="25">SUM(EO46,EB46,DO46,DB46,CO46)</f>
        <v>21</v>
      </c>
      <c r="EQ46" s="181">
        <f>IFERROR(VLOOKUP(I46,CEI_012018!$A$1:$U$509,9,FALSE),0)</f>
        <v>0</v>
      </c>
      <c r="ER46" s="181">
        <f>IFERROR(VLOOKUP(I46,CEI_022018!$A$1:$U$509,9,FALSE),0)</f>
        <v>0</v>
      </c>
      <c r="ES46" s="181">
        <f>IFERROR(VLOOKUP(I46,CEI_032018!$A$1:$U$509,9,FALSE),0)</f>
        <v>0</v>
      </c>
      <c r="ET46" s="181">
        <f>IFERROR(VLOOKUP(I46,CEI_042018!$A$1:$U$491,9,FALSE),0)</f>
        <v>0</v>
      </c>
      <c r="EU46" s="181">
        <f>IFERROR(VLOOKUP(I46,CEI_052018!$A$1:$U$489,9,FALSE),0)</f>
        <v>0</v>
      </c>
      <c r="EV46" s="181">
        <f>IFERROR(VLOOKUP(I46,CEI_062018!$A$1:$U$489,9,FALSE),0)</f>
        <v>0</v>
      </c>
      <c r="EW46" s="181">
        <f>IFERROR(VLOOKUP(I46,CEI_072018!$A$1:$U$489,9,FALSE),0)</f>
        <v>0</v>
      </c>
      <c r="EX46" s="181">
        <f>IFERROR(VLOOKUP(I46,CEI_082018!$A$1:$U$489,9,FALSE),0)</f>
        <v>0</v>
      </c>
      <c r="EY46" s="181">
        <f>IFERROR(VLOOKUP(I46,CEI_092018!$A$1:$U$489,9,FALSE),0)</f>
        <v>0</v>
      </c>
      <c r="EZ46" s="181"/>
      <c r="FA46" s="181"/>
      <c r="FB46" s="181"/>
      <c r="FC46" s="181">
        <f>IFERROR(VLOOKUP(I46,CEI_092018!$A$1:$U$489,12,FALSE),0)</f>
        <v>0</v>
      </c>
      <c r="FD46" s="181">
        <f t="shared" ref="FD46" si="26">EW46+FC46</f>
        <v>0</v>
      </c>
      <c r="FE46" s="181">
        <f t="shared" ref="FE46" si="27">SUM(T46-FD46)</f>
        <v>0</v>
      </c>
      <c r="FF46"/>
      <c r="FG46"/>
      <c r="FH46"/>
      <c r="FI46"/>
      <c r="FJ46"/>
      <c r="FK46"/>
      <c r="FL46"/>
      <c r="FM46"/>
      <c r="FN46"/>
      <c r="FO46"/>
      <c r="FP46"/>
      <c r="FQ46"/>
      <c r="FR46"/>
      <c r="FS46"/>
      <c r="FT46"/>
      <c r="FU46"/>
      <c r="FV46"/>
      <c r="FW46"/>
      <c r="FX46"/>
      <c r="FY46"/>
      <c r="FZ46"/>
      <c r="GA46"/>
      <c r="GB46"/>
      <c r="GC46"/>
    </row>
    <row r="47" spans="1:185" ht="12.95" customHeight="1" x14ac:dyDescent="0.25">
      <c r="A47" s="202"/>
      <c r="B47" s="22" t="s">
        <v>54</v>
      </c>
      <c r="C47" s="34" t="s">
        <v>1492</v>
      </c>
      <c r="D47" s="22" t="s">
        <v>179</v>
      </c>
      <c r="E47" s="25" t="s">
        <v>1675</v>
      </c>
      <c r="F47" s="25" t="s">
        <v>179</v>
      </c>
      <c r="G47" s="25" t="s">
        <v>1675</v>
      </c>
      <c r="H47" s="22" t="s">
        <v>65</v>
      </c>
      <c r="I47" s="435" t="s">
        <v>1223</v>
      </c>
      <c r="J47" s="37" t="s">
        <v>1225</v>
      </c>
      <c r="K47" s="23" t="s">
        <v>1224</v>
      </c>
      <c r="L47" s="23" t="s">
        <v>1566</v>
      </c>
      <c r="M47" s="23"/>
      <c r="N47" s="23"/>
      <c r="O47" s="2">
        <v>10.290000200271606</v>
      </c>
      <c r="P47" s="356"/>
      <c r="Q47" s="2"/>
      <c r="R47" s="2">
        <v>67</v>
      </c>
      <c r="S47" s="2"/>
      <c r="T47" s="116">
        <f t="shared" si="0"/>
        <v>77.290000200271606</v>
      </c>
      <c r="U47" s="324"/>
      <c r="V47" s="324"/>
      <c r="W47" s="324"/>
      <c r="X47" s="324"/>
      <c r="Y47" s="324"/>
      <c r="Z47" s="324"/>
      <c r="AA47" s="324">
        <v>93.710002294845495</v>
      </c>
      <c r="AB47" s="324"/>
      <c r="AC47" s="324"/>
      <c r="AD47" s="324"/>
      <c r="AE47" s="324"/>
      <c r="AF47" s="324"/>
      <c r="AG47" s="140">
        <f t="shared" si="1"/>
        <v>93.710002294845495</v>
      </c>
      <c r="AH47" s="324"/>
      <c r="AI47" s="324"/>
      <c r="AJ47" s="324"/>
      <c r="AK47" s="324"/>
      <c r="AL47" s="324"/>
      <c r="AM47" s="324"/>
      <c r="AN47" s="324"/>
      <c r="AO47" s="324"/>
      <c r="AP47" s="324"/>
      <c r="AQ47" s="324"/>
      <c r="AR47" s="324"/>
      <c r="AS47" s="324"/>
      <c r="AT47" s="140">
        <f t="shared" si="2"/>
        <v>0</v>
      </c>
      <c r="AU47" s="324"/>
      <c r="AV47" s="324"/>
      <c r="AW47" s="324"/>
      <c r="AX47" s="324"/>
      <c r="AY47" s="324"/>
      <c r="AZ47" s="324"/>
      <c r="BA47" s="324"/>
      <c r="BB47" s="324"/>
      <c r="BC47" s="324"/>
      <c r="BD47" s="324"/>
      <c r="BE47" s="324"/>
      <c r="BF47" s="324"/>
      <c r="BG47" s="140">
        <f t="shared" si="3"/>
        <v>0</v>
      </c>
      <c r="BH47" s="324"/>
      <c r="BI47" s="324"/>
      <c r="BJ47" s="324"/>
      <c r="BK47" s="324"/>
      <c r="BL47" s="324"/>
      <c r="BM47" s="324"/>
      <c r="BN47" s="324"/>
      <c r="BO47" s="324"/>
      <c r="BP47" s="324"/>
      <c r="BQ47" s="324"/>
      <c r="BR47" s="324"/>
      <c r="BS47" s="324"/>
      <c r="BT47" s="140">
        <f t="shared" si="4"/>
        <v>0</v>
      </c>
      <c r="BU47" s="114">
        <f t="shared" si="5"/>
        <v>171.00000249511709</v>
      </c>
      <c r="BV47" s="372">
        <v>1</v>
      </c>
      <c r="BW47" s="372">
        <v>1</v>
      </c>
      <c r="BX47" s="372">
        <v>1</v>
      </c>
      <c r="BY47" s="372">
        <v>1</v>
      </c>
      <c r="BZ47" s="436">
        <f>IFERROR((EX47/T47%),0)</f>
        <v>13.313494855231539</v>
      </c>
      <c r="CA47" s="428">
        <f>IFERROR((FD47/T47%),0)</f>
        <v>84.396427297138715</v>
      </c>
      <c r="CB47" s="7" t="s">
        <v>1569</v>
      </c>
      <c r="CC47" s="3"/>
      <c r="CD47" s="3"/>
      <c r="CE47" s="3"/>
      <c r="CF47" s="3"/>
      <c r="CG47" s="3"/>
      <c r="CH47" s="3">
        <v>2</v>
      </c>
      <c r="CI47" s="3"/>
      <c r="CJ47" s="3"/>
      <c r="CK47" s="3">
        <v>3</v>
      </c>
      <c r="CL47" s="3"/>
      <c r="CM47" s="3"/>
      <c r="CN47" s="3"/>
      <c r="CO47" s="4">
        <f t="shared" si="16"/>
        <v>5</v>
      </c>
      <c r="CP47" s="3"/>
      <c r="CQ47" s="3"/>
      <c r="CR47" s="3"/>
      <c r="CS47" s="3"/>
      <c r="CT47" s="3"/>
      <c r="CU47" s="3"/>
      <c r="CV47" s="3"/>
      <c r="CW47" s="3"/>
      <c r="CX47" s="3"/>
      <c r="CY47" s="3"/>
      <c r="CZ47" s="3"/>
      <c r="DA47" s="3"/>
      <c r="DB47" s="4">
        <f t="shared" si="17"/>
        <v>0</v>
      </c>
      <c r="DC47" s="3"/>
      <c r="DD47" s="3"/>
      <c r="DE47" s="3"/>
      <c r="DF47" s="3"/>
      <c r="DG47" s="3"/>
      <c r="DH47" s="3"/>
      <c r="DI47" s="3"/>
      <c r="DJ47" s="3"/>
      <c r="DK47" s="3"/>
      <c r="DL47" s="3"/>
      <c r="DM47" s="3"/>
      <c r="DN47" s="3"/>
      <c r="DO47" s="4">
        <f t="shared" si="18"/>
        <v>0</v>
      </c>
      <c r="DP47" s="3"/>
      <c r="DQ47" s="3"/>
      <c r="DR47" s="3"/>
      <c r="DS47" s="3"/>
      <c r="DT47" s="3"/>
      <c r="DU47" s="3"/>
      <c r="DV47" s="3"/>
      <c r="DW47" s="3"/>
      <c r="DX47" s="3"/>
      <c r="DY47" s="3"/>
      <c r="DZ47" s="3"/>
      <c r="EA47" s="3"/>
      <c r="EB47" s="4">
        <f t="shared" si="19"/>
        <v>0</v>
      </c>
      <c r="EC47" s="3"/>
      <c r="ED47" s="3"/>
      <c r="EE47" s="3"/>
      <c r="EF47" s="3"/>
      <c r="EG47" s="3"/>
      <c r="EH47" s="3"/>
      <c r="EI47" s="3"/>
      <c r="EJ47" s="3"/>
      <c r="EK47" s="3"/>
      <c r="EL47" s="3"/>
      <c r="EM47" s="3"/>
      <c r="EN47" s="3"/>
      <c r="EO47" s="4">
        <f t="shared" si="20"/>
        <v>0</v>
      </c>
      <c r="EP47" s="8">
        <f t="shared" si="25"/>
        <v>5</v>
      </c>
      <c r="EQ47" s="181">
        <f>IFERROR(VLOOKUP(I47,CEI_012018!$A$1:$U$509,9,FALSE),0)</f>
        <v>0</v>
      </c>
      <c r="ER47" s="181">
        <f>IFERROR(VLOOKUP(I47,CEI_022018!$A$1:$U$509,9,FALSE),0)</f>
        <v>0</v>
      </c>
      <c r="ES47" s="181">
        <f>IFERROR(VLOOKUP(I47,CEI_032018!$A$1:$U$509,9,FALSE),0)</f>
        <v>0</v>
      </c>
      <c r="ET47" s="181">
        <f>IFERROR(VLOOKUP(I47,CEI_042018!$A$1:$U$491,9,FALSE),0)</f>
        <v>0</v>
      </c>
      <c r="EU47" s="181">
        <f>IFERROR(VLOOKUP(I47,CEI_052018!$A$1:$U$489,9,FALSE),0)</f>
        <v>0</v>
      </c>
      <c r="EV47" s="181">
        <f>IFERROR(VLOOKUP(I47,CEI_062018!$A$1:$U$489,9,FALSE),0)</f>
        <v>3.7000000476837158</v>
      </c>
      <c r="EW47" s="181">
        <f>IFERROR(VLOOKUP(I47,CEI_072018!$A$1:$U$489,9,FALSE),0)</f>
        <v>10.290000200271606</v>
      </c>
      <c r="EX47" s="181">
        <f>IFERROR(VLOOKUP(I47,CEI_082018!$A$1:$U$489,9,FALSE),0)</f>
        <v>10.290000200271606</v>
      </c>
      <c r="EY47" s="181">
        <f>IFERROR(VLOOKUP(I47,CEI_092018!$A$1:$U$489,9,FALSE),0)</f>
        <v>10.290000200271606</v>
      </c>
      <c r="EZ47" s="181"/>
      <c r="FA47" s="181"/>
      <c r="FB47" s="181"/>
      <c r="FC47" s="181">
        <f>IFERROR(VLOOKUP(I47,CEI_092018!$A$1:$U$489,12,FALSE),0)</f>
        <v>54.939998626708984</v>
      </c>
      <c r="FD47" s="181">
        <f t="shared" si="14"/>
        <v>65.229998826980591</v>
      </c>
      <c r="FE47" s="181">
        <f t="shared" si="15"/>
        <v>12.060001373291016</v>
      </c>
      <c r="FF47"/>
      <c r="FG47"/>
      <c r="FH47"/>
      <c r="FI47"/>
      <c r="FJ47"/>
      <c r="FK47"/>
      <c r="FL47"/>
      <c r="FM47"/>
      <c r="FN47"/>
      <c r="FO47"/>
      <c r="FP47"/>
      <c r="FQ47"/>
      <c r="FR47"/>
      <c r="FS47"/>
      <c r="FT47"/>
      <c r="FU47"/>
      <c r="FV47"/>
      <c r="FW47"/>
      <c r="FX47"/>
      <c r="FY47"/>
      <c r="FZ47"/>
      <c r="GA47"/>
      <c r="GB47"/>
      <c r="GC47"/>
    </row>
    <row r="48" spans="1:185" ht="12.95" customHeight="1" x14ac:dyDescent="0.25">
      <c r="A48" s="202"/>
      <c r="B48" s="22" t="s">
        <v>54</v>
      </c>
      <c r="C48" s="34" t="s">
        <v>1492</v>
      </c>
      <c r="D48" s="22" t="s">
        <v>1677</v>
      </c>
      <c r="E48" s="25" t="s">
        <v>175</v>
      </c>
      <c r="F48" s="25" t="s">
        <v>1677</v>
      </c>
      <c r="G48" s="25" t="s">
        <v>175</v>
      </c>
      <c r="H48" s="22" t="s">
        <v>65</v>
      </c>
      <c r="I48" s="423" t="s">
        <v>565</v>
      </c>
      <c r="J48" s="37"/>
      <c r="K48" s="23" t="s">
        <v>176</v>
      </c>
      <c r="L48" s="23" t="s">
        <v>177</v>
      </c>
      <c r="M48" s="23" t="s">
        <v>178</v>
      </c>
      <c r="N48" s="23"/>
      <c r="O48" s="2"/>
      <c r="P48" s="2"/>
      <c r="Q48" s="2"/>
      <c r="R48" s="2"/>
      <c r="S48" s="2"/>
      <c r="T48" s="116">
        <f t="shared" si="0"/>
        <v>0</v>
      </c>
      <c r="U48" s="324"/>
      <c r="V48" s="324"/>
      <c r="W48" s="324"/>
      <c r="X48" s="324"/>
      <c r="Y48" s="324"/>
      <c r="Z48" s="324"/>
      <c r="AA48" s="324"/>
      <c r="AB48" s="324"/>
      <c r="AC48" s="324"/>
      <c r="AD48" s="324"/>
      <c r="AE48" s="324"/>
      <c r="AF48" s="324"/>
      <c r="AG48" s="140">
        <f t="shared" si="1"/>
        <v>0</v>
      </c>
      <c r="AH48" s="324"/>
      <c r="AI48" s="324"/>
      <c r="AJ48" s="324"/>
      <c r="AK48" s="324"/>
      <c r="AL48" s="324"/>
      <c r="AM48" s="324"/>
      <c r="AN48" s="324"/>
      <c r="AO48" s="324"/>
      <c r="AP48" s="324"/>
      <c r="AQ48" s="324"/>
      <c r="AR48" s="324"/>
      <c r="AS48" s="324">
        <v>50</v>
      </c>
      <c r="AT48" s="140">
        <f t="shared" si="2"/>
        <v>50</v>
      </c>
      <c r="AU48" s="324"/>
      <c r="AV48" s="324"/>
      <c r="AW48" s="324"/>
      <c r="AX48" s="324"/>
      <c r="AY48" s="324"/>
      <c r="AZ48" s="324"/>
      <c r="BA48" s="324"/>
      <c r="BB48" s="324"/>
      <c r="BC48" s="324"/>
      <c r="BD48" s="324"/>
      <c r="BE48" s="324"/>
      <c r="BF48" s="324">
        <v>63</v>
      </c>
      <c r="BG48" s="140">
        <f t="shared" si="3"/>
        <v>63</v>
      </c>
      <c r="BH48" s="324"/>
      <c r="BI48" s="324"/>
      <c r="BJ48" s="324"/>
      <c r="BK48" s="324"/>
      <c r="BL48" s="324"/>
      <c r="BM48" s="324"/>
      <c r="BN48" s="324"/>
      <c r="BO48" s="324"/>
      <c r="BP48" s="324"/>
      <c r="BQ48" s="324"/>
      <c r="BR48" s="324"/>
      <c r="BS48" s="324">
        <v>50</v>
      </c>
      <c r="BT48" s="140">
        <f t="shared" si="4"/>
        <v>50</v>
      </c>
      <c r="BU48" s="114">
        <f t="shared" si="5"/>
        <v>163</v>
      </c>
      <c r="BV48" s="432"/>
      <c r="BW48" s="432"/>
      <c r="BX48" s="432"/>
      <c r="BY48" s="432"/>
      <c r="BZ48" s="433"/>
      <c r="CA48" s="434"/>
      <c r="CB48" s="7" t="s">
        <v>73</v>
      </c>
      <c r="CC48" s="3"/>
      <c r="CD48" s="3"/>
      <c r="CE48" s="3"/>
      <c r="CF48" s="3"/>
      <c r="CG48" s="3"/>
      <c r="CH48" s="3"/>
      <c r="CI48" s="3"/>
      <c r="CJ48" s="3"/>
      <c r="CK48" s="3"/>
      <c r="CL48" s="3"/>
      <c r="CM48" s="3"/>
      <c r="CN48" s="3"/>
      <c r="CO48" s="4">
        <f t="shared" si="16"/>
        <v>0</v>
      </c>
      <c r="CP48" s="3"/>
      <c r="CQ48" s="3"/>
      <c r="CR48" s="3"/>
      <c r="CS48" s="3"/>
      <c r="CT48" s="3"/>
      <c r="CU48" s="3"/>
      <c r="CV48" s="3"/>
      <c r="CW48" s="3"/>
      <c r="CX48" s="3"/>
      <c r="CY48" s="3"/>
      <c r="CZ48" s="3"/>
      <c r="DA48" s="3"/>
      <c r="DB48" s="4">
        <f t="shared" si="17"/>
        <v>0</v>
      </c>
      <c r="DC48" s="3"/>
      <c r="DD48" s="3"/>
      <c r="DE48" s="3"/>
      <c r="DF48" s="3"/>
      <c r="DG48" s="3"/>
      <c r="DH48" s="3"/>
      <c r="DI48" s="3"/>
      <c r="DJ48" s="3"/>
      <c r="DK48" s="3"/>
      <c r="DL48" s="3"/>
      <c r="DM48" s="3"/>
      <c r="DN48" s="3">
        <v>10</v>
      </c>
      <c r="DO48" s="4">
        <f t="shared" si="18"/>
        <v>10</v>
      </c>
      <c r="DP48" s="3"/>
      <c r="DQ48" s="3"/>
      <c r="DR48" s="3"/>
      <c r="DS48" s="3"/>
      <c r="DT48" s="3"/>
      <c r="DU48" s="3"/>
      <c r="DV48" s="3"/>
      <c r="DW48" s="3"/>
      <c r="DX48" s="3"/>
      <c r="DY48" s="3"/>
      <c r="DZ48" s="3"/>
      <c r="EA48" s="3">
        <v>10</v>
      </c>
      <c r="EB48" s="4">
        <f t="shared" si="19"/>
        <v>10</v>
      </c>
      <c r="EC48" s="3"/>
      <c r="ED48" s="3"/>
      <c r="EE48" s="3"/>
      <c r="EF48" s="3"/>
      <c r="EG48" s="3"/>
      <c r="EH48" s="3"/>
      <c r="EI48" s="3"/>
      <c r="EJ48" s="3"/>
      <c r="EK48" s="3"/>
      <c r="EL48" s="3"/>
      <c r="EM48" s="3"/>
      <c r="EN48" s="3">
        <v>10</v>
      </c>
      <c r="EO48" s="4">
        <f t="shared" si="20"/>
        <v>10</v>
      </c>
      <c r="EP48" s="8">
        <f t="shared" si="21"/>
        <v>30</v>
      </c>
      <c r="EQ48" s="181">
        <f>IFERROR(VLOOKUP(I48,CEI_012018!$A$1:$U$509,9,FALSE),0)</f>
        <v>0</v>
      </c>
      <c r="ER48" s="181">
        <f>IFERROR(VLOOKUP(I48,CEI_022018!$A$1:$U$509,9,FALSE),0)</f>
        <v>0</v>
      </c>
      <c r="ES48" s="181">
        <f>IFERROR(VLOOKUP(I48,CEI_032018!$A$1:$U$509,9,FALSE),0)</f>
        <v>0</v>
      </c>
      <c r="ET48" s="181">
        <f>IFERROR(VLOOKUP(I48,CEI_042018!$A$1:$U$491,9,FALSE),0)</f>
        <v>0</v>
      </c>
      <c r="EU48" s="181">
        <f>IFERROR(VLOOKUP(I48,CEI_052018!$A$1:$U$489,9,FALSE),0)</f>
        <v>0</v>
      </c>
      <c r="EV48" s="181">
        <f>IFERROR(VLOOKUP(I48,CEI_062018!$A$1:$U$489,9,FALSE),0)</f>
        <v>0</v>
      </c>
      <c r="EW48" s="181">
        <f>IFERROR(VLOOKUP(I48,CEI_072018!$A$1:$U$489,9,FALSE),0)</f>
        <v>0</v>
      </c>
      <c r="EX48" s="181">
        <f>IFERROR(VLOOKUP(I48,CEI_082018!$A$1:$U$489,9,FALSE),0)</f>
        <v>0</v>
      </c>
      <c r="EY48" s="181">
        <f>IFERROR(VLOOKUP(I48,CEI_092018!$A$1:$U$489,9,FALSE),0)</f>
        <v>0</v>
      </c>
      <c r="EZ48" s="181"/>
      <c r="FA48" s="181"/>
      <c r="FB48" s="181"/>
      <c r="FC48" s="181">
        <f>IFERROR(VLOOKUP(I48,CEI_092018!$A$1:$U$489,12,FALSE),0)</f>
        <v>0</v>
      </c>
      <c r="FD48" s="181">
        <f t="shared" si="14"/>
        <v>0</v>
      </c>
      <c r="FE48" s="181">
        <f t="shared" si="15"/>
        <v>0</v>
      </c>
      <c r="FF48"/>
      <c r="FG48"/>
      <c r="FH48"/>
      <c r="FI48"/>
      <c r="FJ48"/>
      <c r="FK48"/>
      <c r="FL48"/>
      <c r="FM48"/>
      <c r="FN48"/>
      <c r="FO48"/>
      <c r="FP48"/>
      <c r="FQ48"/>
      <c r="FR48"/>
      <c r="FS48"/>
      <c r="FT48"/>
      <c r="FU48"/>
      <c r="FV48"/>
      <c r="FW48"/>
      <c r="FX48"/>
      <c r="FY48"/>
      <c r="FZ48"/>
      <c r="GA48"/>
      <c r="GB48"/>
      <c r="GC48"/>
    </row>
    <row r="49" spans="1:185" ht="12.95" customHeight="1" x14ac:dyDescent="0.25">
      <c r="A49" s="202"/>
      <c r="B49" s="22" t="s">
        <v>54</v>
      </c>
      <c r="C49" s="34" t="s">
        <v>1492</v>
      </c>
      <c r="D49" s="22" t="s">
        <v>110</v>
      </c>
      <c r="E49" s="25" t="s">
        <v>111</v>
      </c>
      <c r="F49" s="25" t="s">
        <v>110</v>
      </c>
      <c r="G49" s="25" t="s">
        <v>111</v>
      </c>
      <c r="H49" s="22" t="s">
        <v>65</v>
      </c>
      <c r="I49" s="423" t="s">
        <v>565</v>
      </c>
      <c r="J49" s="37"/>
      <c r="K49" s="23" t="s">
        <v>130</v>
      </c>
      <c r="L49" s="23" t="s">
        <v>131</v>
      </c>
      <c r="M49" s="23" t="s">
        <v>121</v>
      </c>
      <c r="N49" s="23"/>
      <c r="O49" s="2">
        <v>0</v>
      </c>
      <c r="P49" s="2">
        <v>0</v>
      </c>
      <c r="Q49" s="2">
        <v>0</v>
      </c>
      <c r="R49" s="2">
        <v>0</v>
      </c>
      <c r="S49" s="2">
        <v>0</v>
      </c>
      <c r="T49" s="116">
        <f t="shared" si="0"/>
        <v>0</v>
      </c>
      <c r="U49" s="324">
        <v>0</v>
      </c>
      <c r="V49" s="324">
        <v>0</v>
      </c>
      <c r="W49" s="324">
        <v>0</v>
      </c>
      <c r="X49" s="324">
        <v>0</v>
      </c>
      <c r="Y49" s="324">
        <v>0</v>
      </c>
      <c r="Z49" s="324">
        <v>0</v>
      </c>
      <c r="AA49" s="324">
        <v>0</v>
      </c>
      <c r="AB49" s="324">
        <v>0</v>
      </c>
      <c r="AC49" s="324">
        <v>0</v>
      </c>
      <c r="AD49" s="324">
        <v>0</v>
      </c>
      <c r="AE49" s="324">
        <v>0</v>
      </c>
      <c r="AF49" s="324">
        <v>0</v>
      </c>
      <c r="AG49" s="140">
        <f t="shared" si="1"/>
        <v>0</v>
      </c>
      <c r="AH49" s="324">
        <v>0</v>
      </c>
      <c r="AI49" s="324">
        <v>0</v>
      </c>
      <c r="AJ49" s="324">
        <v>0</v>
      </c>
      <c r="AK49" s="324">
        <v>0</v>
      </c>
      <c r="AL49" s="324">
        <v>0</v>
      </c>
      <c r="AM49" s="324">
        <v>0</v>
      </c>
      <c r="AN49" s="324">
        <v>0</v>
      </c>
      <c r="AO49" s="324">
        <v>0</v>
      </c>
      <c r="AP49" s="324">
        <v>0</v>
      </c>
      <c r="AQ49" s="324">
        <v>0</v>
      </c>
      <c r="AR49" s="324">
        <v>0</v>
      </c>
      <c r="AS49" s="324">
        <v>0</v>
      </c>
      <c r="AT49" s="140">
        <f t="shared" si="2"/>
        <v>0</v>
      </c>
      <c r="AU49" s="324">
        <v>0</v>
      </c>
      <c r="AV49" s="324">
        <v>0</v>
      </c>
      <c r="AW49" s="324">
        <v>0</v>
      </c>
      <c r="AX49" s="324">
        <v>0</v>
      </c>
      <c r="AY49" s="324">
        <v>0</v>
      </c>
      <c r="AZ49" s="324">
        <v>0</v>
      </c>
      <c r="BA49" s="324">
        <v>0</v>
      </c>
      <c r="BB49" s="324">
        <v>0</v>
      </c>
      <c r="BC49" s="324">
        <v>0</v>
      </c>
      <c r="BD49" s="324">
        <v>0</v>
      </c>
      <c r="BE49" s="324">
        <v>0</v>
      </c>
      <c r="BF49" s="324">
        <v>0</v>
      </c>
      <c r="BG49" s="140">
        <f t="shared" si="3"/>
        <v>0</v>
      </c>
      <c r="BH49" s="324">
        <v>0</v>
      </c>
      <c r="BI49" s="324">
        <v>0</v>
      </c>
      <c r="BJ49" s="324">
        <v>0</v>
      </c>
      <c r="BK49" s="324">
        <v>0</v>
      </c>
      <c r="BL49" s="324">
        <v>0</v>
      </c>
      <c r="BM49" s="324">
        <v>0</v>
      </c>
      <c r="BN49" s="324">
        <v>0</v>
      </c>
      <c r="BO49" s="324">
        <v>0</v>
      </c>
      <c r="BP49" s="324">
        <v>0</v>
      </c>
      <c r="BQ49" s="324">
        <v>0</v>
      </c>
      <c r="BR49" s="324">
        <v>0</v>
      </c>
      <c r="BS49" s="324">
        <v>117</v>
      </c>
      <c r="BT49" s="140">
        <f t="shared" si="4"/>
        <v>117</v>
      </c>
      <c r="BU49" s="114">
        <f t="shared" si="5"/>
        <v>117</v>
      </c>
      <c r="BV49" s="432"/>
      <c r="BW49" s="432"/>
      <c r="BX49" s="432"/>
      <c r="BY49" s="432"/>
      <c r="BZ49" s="433"/>
      <c r="CA49" s="434"/>
      <c r="CB49" s="7" t="s">
        <v>73</v>
      </c>
      <c r="CC49" s="3"/>
      <c r="CD49" s="3"/>
      <c r="CE49" s="3"/>
      <c r="CF49" s="3"/>
      <c r="CG49" s="3"/>
      <c r="CH49" s="3"/>
      <c r="CI49" s="3"/>
      <c r="CJ49" s="3"/>
      <c r="CK49" s="3"/>
      <c r="CL49" s="3"/>
      <c r="CM49" s="3"/>
      <c r="CN49" s="3"/>
      <c r="CO49" s="4">
        <f t="shared" si="16"/>
        <v>0</v>
      </c>
      <c r="CP49" s="3"/>
      <c r="CQ49" s="3"/>
      <c r="CR49" s="3"/>
      <c r="CS49" s="3"/>
      <c r="CT49" s="3"/>
      <c r="CU49" s="3"/>
      <c r="CV49" s="3"/>
      <c r="CW49" s="3"/>
      <c r="CX49" s="3"/>
      <c r="CY49" s="3"/>
      <c r="CZ49" s="3"/>
      <c r="DA49" s="3"/>
      <c r="DB49" s="4">
        <f t="shared" si="17"/>
        <v>0</v>
      </c>
      <c r="DC49" s="3"/>
      <c r="DD49" s="3"/>
      <c r="DE49" s="3"/>
      <c r="DF49" s="3"/>
      <c r="DG49" s="3"/>
      <c r="DH49" s="3"/>
      <c r="DI49" s="3"/>
      <c r="DJ49" s="3"/>
      <c r="DK49" s="3"/>
      <c r="DL49" s="3"/>
      <c r="DM49" s="3"/>
      <c r="DN49" s="3"/>
      <c r="DO49" s="4">
        <f t="shared" si="18"/>
        <v>0</v>
      </c>
      <c r="DP49" s="3"/>
      <c r="DQ49" s="3"/>
      <c r="DR49" s="3"/>
      <c r="DS49" s="3"/>
      <c r="DT49" s="3"/>
      <c r="DU49" s="3"/>
      <c r="DV49" s="3"/>
      <c r="DW49" s="3"/>
      <c r="DX49" s="3"/>
      <c r="DY49" s="3"/>
      <c r="DZ49" s="3"/>
      <c r="EA49" s="3"/>
      <c r="EB49" s="4">
        <f t="shared" si="19"/>
        <v>0</v>
      </c>
      <c r="EC49" s="3"/>
      <c r="ED49" s="3"/>
      <c r="EE49" s="3"/>
      <c r="EF49" s="3"/>
      <c r="EG49" s="3"/>
      <c r="EH49" s="3"/>
      <c r="EI49" s="3"/>
      <c r="EJ49" s="3"/>
      <c r="EK49" s="3"/>
      <c r="EL49" s="3"/>
      <c r="EM49" s="3"/>
      <c r="EN49" s="3">
        <v>1</v>
      </c>
      <c r="EO49" s="4">
        <f t="shared" si="20"/>
        <v>1</v>
      </c>
      <c r="EP49" s="8">
        <f t="shared" si="21"/>
        <v>1</v>
      </c>
      <c r="EQ49" s="181">
        <f>IFERROR(VLOOKUP(I49,CEI_012018!$A$1:$U$509,9,FALSE),0)</f>
        <v>0</v>
      </c>
      <c r="ER49" s="181">
        <f>IFERROR(VLOOKUP(I49,CEI_022018!$A$1:$U$509,9,FALSE),0)</f>
        <v>0</v>
      </c>
      <c r="ES49" s="181">
        <f>IFERROR(VLOOKUP(I49,CEI_032018!$A$1:$U$509,9,FALSE),0)</f>
        <v>0</v>
      </c>
      <c r="ET49" s="181">
        <f>IFERROR(VLOOKUP(I49,CEI_042018!$A$1:$U$491,9,FALSE),0)</f>
        <v>0</v>
      </c>
      <c r="EU49" s="181">
        <f>IFERROR(VLOOKUP(I49,CEI_052018!$A$1:$U$489,9,FALSE),0)</f>
        <v>0</v>
      </c>
      <c r="EV49" s="181">
        <f>IFERROR(VLOOKUP(I49,CEI_062018!$A$1:$U$489,9,FALSE),0)</f>
        <v>0</v>
      </c>
      <c r="EW49" s="181">
        <f>IFERROR(VLOOKUP(I49,CEI_072018!$A$1:$U$489,9,FALSE),0)</f>
        <v>0</v>
      </c>
      <c r="EX49" s="181">
        <f>IFERROR(VLOOKUP(I49,CEI_082018!$A$1:$U$489,9,FALSE),0)</f>
        <v>0</v>
      </c>
      <c r="EY49" s="181">
        <f>IFERROR(VLOOKUP(I49,CEI_092018!$A$1:$U$489,9,FALSE),0)</f>
        <v>0</v>
      </c>
      <c r="EZ49" s="181"/>
      <c r="FA49" s="181"/>
      <c r="FB49" s="181"/>
      <c r="FC49" s="181">
        <f>IFERROR(VLOOKUP(I49,CEI_092018!$A$1:$U$489,12,FALSE),0)</f>
        <v>0</v>
      </c>
      <c r="FD49" s="181">
        <f t="shared" si="14"/>
        <v>0</v>
      </c>
      <c r="FE49" s="181">
        <f t="shared" si="15"/>
        <v>0</v>
      </c>
      <c r="FF49"/>
      <c r="FG49"/>
      <c r="FH49"/>
      <c r="FI49"/>
      <c r="FJ49"/>
      <c r="FK49"/>
      <c r="FL49"/>
      <c r="FM49"/>
      <c r="FN49"/>
      <c r="FO49"/>
      <c r="FP49"/>
      <c r="FQ49"/>
      <c r="FR49"/>
      <c r="FS49"/>
      <c r="FT49"/>
      <c r="FU49"/>
      <c r="FV49"/>
      <c r="FW49"/>
      <c r="FX49"/>
      <c r="FY49"/>
      <c r="FZ49"/>
      <c r="GA49"/>
      <c r="GB49"/>
      <c r="GC49"/>
    </row>
    <row r="50" spans="1:185" ht="12.95" customHeight="1" x14ac:dyDescent="0.25">
      <c r="A50" s="202"/>
      <c r="B50" s="22" t="s">
        <v>54</v>
      </c>
      <c r="C50" s="34" t="s">
        <v>1492</v>
      </c>
      <c r="D50" s="22" t="s">
        <v>188</v>
      </c>
      <c r="E50" s="25" t="s">
        <v>189</v>
      </c>
      <c r="F50" s="25" t="s">
        <v>188</v>
      </c>
      <c r="G50" s="25" t="s">
        <v>189</v>
      </c>
      <c r="H50" s="22" t="s">
        <v>65</v>
      </c>
      <c r="I50" s="423" t="s">
        <v>1230</v>
      </c>
      <c r="J50" s="37" t="s">
        <v>1232</v>
      </c>
      <c r="K50" s="23" t="s">
        <v>190</v>
      </c>
      <c r="L50" s="23" t="s">
        <v>191</v>
      </c>
      <c r="M50" s="23" t="s">
        <v>192</v>
      </c>
      <c r="N50" s="23"/>
      <c r="O50" s="2"/>
      <c r="P50" s="356"/>
      <c r="Q50" s="2"/>
      <c r="R50" s="2">
        <v>74</v>
      </c>
      <c r="S50" s="2"/>
      <c r="T50" s="116">
        <f t="shared" si="0"/>
        <v>74</v>
      </c>
      <c r="U50" s="324"/>
      <c r="V50" s="324"/>
      <c r="W50" s="324"/>
      <c r="X50" s="324"/>
      <c r="Y50" s="324"/>
      <c r="Z50" s="324"/>
      <c r="AA50" s="324"/>
      <c r="AB50" s="324"/>
      <c r="AC50" s="324"/>
      <c r="AD50" s="324"/>
      <c r="AE50" s="324"/>
      <c r="AF50" s="324"/>
      <c r="AG50" s="140">
        <f t="shared" si="1"/>
        <v>0</v>
      </c>
      <c r="AH50" s="324">
        <v>0</v>
      </c>
      <c r="AI50" s="324">
        <v>0</v>
      </c>
      <c r="AJ50" s="324">
        <v>0</v>
      </c>
      <c r="AK50" s="324">
        <v>0</v>
      </c>
      <c r="AL50" s="324">
        <v>0</v>
      </c>
      <c r="AM50" s="324">
        <v>0</v>
      </c>
      <c r="AN50" s="324">
        <v>0</v>
      </c>
      <c r="AO50" s="324">
        <v>0</v>
      </c>
      <c r="AP50" s="324"/>
      <c r="AQ50" s="324">
        <v>0</v>
      </c>
      <c r="AR50" s="324">
        <v>0</v>
      </c>
      <c r="AS50" s="324">
        <v>0</v>
      </c>
      <c r="AT50" s="140">
        <f t="shared" si="2"/>
        <v>0</v>
      </c>
      <c r="AU50" s="324">
        <v>0</v>
      </c>
      <c r="AV50" s="324">
        <v>0</v>
      </c>
      <c r="AW50" s="324">
        <v>0</v>
      </c>
      <c r="AX50" s="324">
        <v>0</v>
      </c>
      <c r="AY50" s="324">
        <v>0</v>
      </c>
      <c r="AZ50" s="324">
        <v>0</v>
      </c>
      <c r="BA50" s="324">
        <v>0</v>
      </c>
      <c r="BB50" s="324">
        <v>0</v>
      </c>
      <c r="BC50" s="324">
        <v>0</v>
      </c>
      <c r="BD50" s="324">
        <v>0</v>
      </c>
      <c r="BE50" s="324">
        <v>0</v>
      </c>
      <c r="BF50" s="324">
        <v>0</v>
      </c>
      <c r="BG50" s="140">
        <f t="shared" si="3"/>
        <v>0</v>
      </c>
      <c r="BH50" s="324">
        <v>0</v>
      </c>
      <c r="BI50" s="324">
        <v>0</v>
      </c>
      <c r="BJ50" s="324">
        <v>0</v>
      </c>
      <c r="BK50" s="324">
        <v>0</v>
      </c>
      <c r="BL50" s="324">
        <v>0</v>
      </c>
      <c r="BM50" s="324">
        <v>0</v>
      </c>
      <c r="BN50" s="324">
        <v>0</v>
      </c>
      <c r="BO50" s="324">
        <v>0</v>
      </c>
      <c r="BP50" s="324">
        <v>0</v>
      </c>
      <c r="BQ50" s="324">
        <v>0</v>
      </c>
      <c r="BR50" s="324">
        <v>0</v>
      </c>
      <c r="BS50" s="324">
        <v>0</v>
      </c>
      <c r="BT50" s="140">
        <f t="shared" si="4"/>
        <v>0</v>
      </c>
      <c r="BU50" s="114">
        <f t="shared" si="5"/>
        <v>74</v>
      </c>
      <c r="BV50" s="372">
        <v>1</v>
      </c>
      <c r="BW50" s="372">
        <v>1</v>
      </c>
      <c r="BX50" s="372">
        <v>1</v>
      </c>
      <c r="BY50" s="372">
        <v>1</v>
      </c>
      <c r="BZ50" s="436">
        <f>IFERROR((EX50/T50%),0)</f>
        <v>0</v>
      </c>
      <c r="CA50" s="428">
        <f>IFERROR((FD50/T50%),0)</f>
        <v>16.171702823123418</v>
      </c>
      <c r="CB50" s="7" t="s">
        <v>73</v>
      </c>
      <c r="CC50" s="3"/>
      <c r="CD50" s="3"/>
      <c r="CE50" s="3"/>
      <c r="CF50" s="3"/>
      <c r="CG50" s="3"/>
      <c r="CH50" s="3"/>
      <c r="CI50" s="3"/>
      <c r="CJ50" s="3"/>
      <c r="CK50" s="3">
        <v>12</v>
      </c>
      <c r="CL50" s="3"/>
      <c r="CM50" s="3"/>
      <c r="CN50" s="3"/>
      <c r="CO50" s="4">
        <f t="shared" si="16"/>
        <v>12</v>
      </c>
      <c r="CP50" s="3"/>
      <c r="CQ50" s="3"/>
      <c r="CR50" s="3"/>
      <c r="CS50" s="3"/>
      <c r="CT50" s="3"/>
      <c r="CU50" s="3"/>
      <c r="CV50" s="3"/>
      <c r="CW50" s="3"/>
      <c r="CX50" s="3"/>
      <c r="CY50" s="3"/>
      <c r="CZ50" s="3"/>
      <c r="DA50" s="3"/>
      <c r="DB50" s="4">
        <f t="shared" si="17"/>
        <v>0</v>
      </c>
      <c r="DC50" s="3"/>
      <c r="DD50" s="3"/>
      <c r="DE50" s="3"/>
      <c r="DF50" s="3"/>
      <c r="DG50" s="3"/>
      <c r="DH50" s="3"/>
      <c r="DI50" s="3"/>
      <c r="DJ50" s="3"/>
      <c r="DK50" s="3">
        <v>8</v>
      </c>
      <c r="DL50" s="3"/>
      <c r="DM50" s="3"/>
      <c r="DN50" s="3"/>
      <c r="DO50" s="4">
        <f t="shared" si="18"/>
        <v>8</v>
      </c>
      <c r="DP50" s="3"/>
      <c r="DQ50" s="3"/>
      <c r="DR50" s="3"/>
      <c r="DS50" s="3"/>
      <c r="DT50" s="3"/>
      <c r="DU50" s="3"/>
      <c r="DV50" s="3"/>
      <c r="DW50" s="3"/>
      <c r="DX50" s="3"/>
      <c r="DY50" s="3"/>
      <c r="DZ50" s="3"/>
      <c r="EA50" s="3"/>
      <c r="EB50" s="4">
        <f t="shared" si="19"/>
        <v>0</v>
      </c>
      <c r="EC50" s="3"/>
      <c r="ED50" s="3"/>
      <c r="EE50" s="3"/>
      <c r="EF50" s="3"/>
      <c r="EG50" s="3"/>
      <c r="EH50" s="3"/>
      <c r="EI50" s="3"/>
      <c r="EJ50" s="3"/>
      <c r="EK50" s="3"/>
      <c r="EL50" s="3"/>
      <c r="EM50" s="3"/>
      <c r="EN50" s="3"/>
      <c r="EO50" s="4">
        <f t="shared" si="20"/>
        <v>0</v>
      </c>
      <c r="EP50" s="8">
        <f t="shared" si="21"/>
        <v>20</v>
      </c>
      <c r="EQ50" s="181">
        <f>IFERROR(VLOOKUP(I50,CEI_012018!$A$1:$U$509,9,FALSE),0)</f>
        <v>0</v>
      </c>
      <c r="ER50" s="181">
        <f>IFERROR(VLOOKUP(I50,CEI_022018!$A$1:$U$509,9,FALSE),0)</f>
        <v>0</v>
      </c>
      <c r="ES50" s="181">
        <f>IFERROR(VLOOKUP(I50,CEI_032018!$A$1:$U$509,9,FALSE),0)</f>
        <v>0</v>
      </c>
      <c r="ET50" s="181">
        <f>IFERROR(VLOOKUP(I50,CEI_042018!$A$1:$U$491,9,FALSE),0)</f>
        <v>0</v>
      </c>
      <c r="EU50" s="181">
        <f>IFERROR(VLOOKUP(I50,CEI_052018!$A$1:$U$489,9,FALSE),0)</f>
        <v>0</v>
      </c>
      <c r="EV50" s="181">
        <f>IFERROR(VLOOKUP(I50,CEI_062018!$A$1:$U$489,9,FALSE),0)</f>
        <v>0</v>
      </c>
      <c r="EW50" s="181">
        <f>IFERROR(VLOOKUP(I50,CEI_072018!$A$1:$U$489,9,FALSE),0)</f>
        <v>0</v>
      </c>
      <c r="EX50" s="181">
        <f>IFERROR(VLOOKUP(I50,CEI_082018!$A$1:$U$489,9,FALSE),0)</f>
        <v>0</v>
      </c>
      <c r="EY50" s="181">
        <f>IFERROR(VLOOKUP(I50,CEI_092018!$A$1:$U$489,9,FALSE),0)</f>
        <v>0</v>
      </c>
      <c r="EZ50" s="181"/>
      <c r="FA50" s="181"/>
      <c r="FB50" s="181"/>
      <c r="FC50" s="181">
        <f>IFERROR(VLOOKUP(I50,CEI_092018!$A$1:$U$489,12,FALSE),0)</f>
        <v>11.967060089111328</v>
      </c>
      <c r="FD50" s="181">
        <f t="shared" si="14"/>
        <v>11.967060089111328</v>
      </c>
      <c r="FE50" s="181">
        <f t="shared" si="15"/>
        <v>62.032939910888672</v>
      </c>
      <c r="FF50"/>
      <c r="FG50"/>
      <c r="FH50"/>
      <c r="FI50"/>
      <c r="FJ50"/>
      <c r="FK50"/>
      <c r="FL50"/>
      <c r="FM50"/>
      <c r="FN50"/>
      <c r="FO50"/>
      <c r="FP50"/>
      <c r="FQ50"/>
      <c r="FR50"/>
      <c r="FS50"/>
      <c r="FT50"/>
      <c r="FU50"/>
      <c r="FV50"/>
      <c r="FW50"/>
      <c r="FX50"/>
      <c r="FY50"/>
      <c r="FZ50"/>
      <c r="GA50"/>
      <c r="GB50"/>
      <c r="GC50"/>
    </row>
    <row r="51" spans="1:185" ht="12.95" customHeight="1" x14ac:dyDescent="0.25">
      <c r="A51" s="202"/>
      <c r="B51" s="22" t="s">
        <v>54</v>
      </c>
      <c r="C51" s="34" t="s">
        <v>1492</v>
      </c>
      <c r="D51" s="22" t="s">
        <v>188</v>
      </c>
      <c r="E51" s="25" t="s">
        <v>189</v>
      </c>
      <c r="F51" s="25" t="s">
        <v>188</v>
      </c>
      <c r="G51" s="25" t="s">
        <v>189</v>
      </c>
      <c r="H51" s="22" t="s">
        <v>65</v>
      </c>
      <c r="I51" s="423" t="s">
        <v>565</v>
      </c>
      <c r="J51" s="37"/>
      <c r="K51" s="23" t="s">
        <v>669</v>
      </c>
      <c r="L51" s="23" t="s">
        <v>196</v>
      </c>
      <c r="M51" s="23" t="s">
        <v>192</v>
      </c>
      <c r="N51" s="23"/>
      <c r="O51" s="2"/>
      <c r="P51" s="2"/>
      <c r="Q51" s="2"/>
      <c r="R51" s="2"/>
      <c r="S51" s="2"/>
      <c r="T51" s="116">
        <f t="shared" si="0"/>
        <v>0</v>
      </c>
      <c r="U51" s="324"/>
      <c r="V51" s="324"/>
      <c r="W51" s="324"/>
      <c r="X51" s="324"/>
      <c r="Y51" s="324"/>
      <c r="Z51" s="324"/>
      <c r="AA51" s="324"/>
      <c r="AB51" s="324"/>
      <c r="AC51" s="324"/>
      <c r="AD51" s="324">
        <v>25</v>
      </c>
      <c r="AE51" s="324"/>
      <c r="AF51" s="324"/>
      <c r="AG51" s="140">
        <f t="shared" si="1"/>
        <v>25</v>
      </c>
      <c r="AH51" s="324">
        <v>0</v>
      </c>
      <c r="AI51" s="324">
        <v>0</v>
      </c>
      <c r="AJ51" s="324">
        <v>0</v>
      </c>
      <c r="AK51" s="324">
        <v>0</v>
      </c>
      <c r="AL51" s="324">
        <v>0</v>
      </c>
      <c r="AM51" s="324">
        <v>0</v>
      </c>
      <c r="AN51" s="324">
        <v>0</v>
      </c>
      <c r="AO51" s="324">
        <v>0</v>
      </c>
      <c r="AP51" s="324">
        <v>0</v>
      </c>
      <c r="AQ51" s="324">
        <v>0</v>
      </c>
      <c r="AR51" s="324">
        <v>0</v>
      </c>
      <c r="AS51" s="324">
        <v>0</v>
      </c>
      <c r="AT51" s="140">
        <f t="shared" si="2"/>
        <v>0</v>
      </c>
      <c r="AU51" s="324">
        <v>0</v>
      </c>
      <c r="AV51" s="324">
        <v>0</v>
      </c>
      <c r="AW51" s="324">
        <v>0</v>
      </c>
      <c r="AX51" s="324">
        <v>0</v>
      </c>
      <c r="AY51" s="324">
        <v>0</v>
      </c>
      <c r="AZ51" s="324">
        <v>0</v>
      </c>
      <c r="BA51" s="324">
        <v>0</v>
      </c>
      <c r="BB51" s="324">
        <v>0</v>
      </c>
      <c r="BC51" s="324">
        <v>0</v>
      </c>
      <c r="BD51" s="324">
        <v>0</v>
      </c>
      <c r="BE51" s="324">
        <v>0</v>
      </c>
      <c r="BF51" s="324">
        <v>0</v>
      </c>
      <c r="BG51" s="140">
        <f t="shared" si="3"/>
        <v>0</v>
      </c>
      <c r="BH51" s="324">
        <v>0</v>
      </c>
      <c r="BI51" s="324">
        <v>0</v>
      </c>
      <c r="BJ51" s="324">
        <v>0</v>
      </c>
      <c r="BK51" s="324">
        <v>0</v>
      </c>
      <c r="BL51" s="324">
        <v>0</v>
      </c>
      <c r="BM51" s="324">
        <v>0</v>
      </c>
      <c r="BN51" s="324">
        <v>0</v>
      </c>
      <c r="BO51" s="324">
        <v>0</v>
      </c>
      <c r="BP51" s="324">
        <v>0</v>
      </c>
      <c r="BQ51" s="324">
        <v>30</v>
      </c>
      <c r="BR51" s="324">
        <v>0</v>
      </c>
      <c r="BS51" s="324">
        <v>0</v>
      </c>
      <c r="BT51" s="140">
        <f t="shared" si="4"/>
        <v>30</v>
      </c>
      <c r="BU51" s="114">
        <f t="shared" si="5"/>
        <v>55</v>
      </c>
      <c r="BV51" s="432"/>
      <c r="BW51" s="432"/>
      <c r="BX51" s="432"/>
      <c r="BY51" s="432"/>
      <c r="BZ51" s="433"/>
      <c r="CA51" s="434"/>
      <c r="CB51" s="7" t="s">
        <v>109</v>
      </c>
      <c r="CC51" s="3"/>
      <c r="CD51" s="3"/>
      <c r="CE51" s="3"/>
      <c r="CF51" s="3"/>
      <c r="CG51" s="3"/>
      <c r="CH51" s="3"/>
      <c r="CI51" s="3"/>
      <c r="CJ51" s="3"/>
      <c r="CK51" s="3"/>
      <c r="CL51" s="3"/>
      <c r="CM51" s="3"/>
      <c r="CN51" s="3"/>
      <c r="CO51" s="4">
        <f t="shared" si="16"/>
        <v>0</v>
      </c>
      <c r="CP51" s="3"/>
      <c r="CQ51" s="3"/>
      <c r="CR51" s="3"/>
      <c r="CS51" s="3"/>
      <c r="CT51" s="3"/>
      <c r="CU51" s="3"/>
      <c r="CV51" s="3"/>
      <c r="CW51" s="3"/>
      <c r="CX51" s="3"/>
      <c r="CY51" s="3">
        <v>2</v>
      </c>
      <c r="CZ51" s="3"/>
      <c r="DA51" s="3"/>
      <c r="DB51" s="4">
        <f t="shared" si="17"/>
        <v>2</v>
      </c>
      <c r="DC51" s="3"/>
      <c r="DD51" s="3"/>
      <c r="DE51" s="3"/>
      <c r="DF51" s="3"/>
      <c r="DG51" s="3"/>
      <c r="DH51" s="3"/>
      <c r="DI51" s="3"/>
      <c r="DJ51" s="3"/>
      <c r="DK51" s="3"/>
      <c r="DL51" s="3"/>
      <c r="DM51" s="3"/>
      <c r="DN51" s="3"/>
      <c r="DO51" s="4">
        <f t="shared" si="18"/>
        <v>0</v>
      </c>
      <c r="DP51" s="3"/>
      <c r="DQ51" s="3"/>
      <c r="DR51" s="3"/>
      <c r="DS51" s="3"/>
      <c r="DT51" s="3"/>
      <c r="DU51" s="3"/>
      <c r="DV51" s="3"/>
      <c r="DW51" s="3"/>
      <c r="DX51" s="3"/>
      <c r="DY51" s="3"/>
      <c r="DZ51" s="3"/>
      <c r="EA51" s="3"/>
      <c r="EB51" s="4">
        <f t="shared" si="19"/>
        <v>0</v>
      </c>
      <c r="EC51" s="3"/>
      <c r="ED51" s="3"/>
      <c r="EE51" s="3"/>
      <c r="EF51" s="3"/>
      <c r="EG51" s="3"/>
      <c r="EH51" s="3"/>
      <c r="EI51" s="3"/>
      <c r="EJ51" s="3"/>
      <c r="EK51" s="3"/>
      <c r="EL51" s="3">
        <v>2</v>
      </c>
      <c r="EM51" s="3"/>
      <c r="EN51" s="3"/>
      <c r="EO51" s="4">
        <f t="shared" si="20"/>
        <v>2</v>
      </c>
      <c r="EP51" s="8">
        <f t="shared" si="21"/>
        <v>4</v>
      </c>
      <c r="EQ51" s="181">
        <f>IFERROR(VLOOKUP(I51,CEI_012018!$A$1:$U$509,9,FALSE),0)</f>
        <v>0</v>
      </c>
      <c r="ER51" s="181">
        <f>IFERROR(VLOOKUP(I51,CEI_022018!$A$1:$U$509,9,FALSE),0)</f>
        <v>0</v>
      </c>
      <c r="ES51" s="181">
        <f>IFERROR(VLOOKUP(I51,CEI_032018!$A$1:$U$509,9,FALSE),0)</f>
        <v>0</v>
      </c>
      <c r="ET51" s="181">
        <f>IFERROR(VLOOKUP(I51,CEI_042018!$A$1:$U$491,9,FALSE),0)</f>
        <v>0</v>
      </c>
      <c r="EU51" s="181">
        <f>IFERROR(VLOOKUP(I51,CEI_052018!$A$1:$U$489,9,FALSE),0)</f>
        <v>0</v>
      </c>
      <c r="EV51" s="181">
        <f>IFERROR(VLOOKUP(I51,CEI_062018!$A$1:$U$489,9,FALSE),0)</f>
        <v>0</v>
      </c>
      <c r="EW51" s="181">
        <f>IFERROR(VLOOKUP(I51,CEI_072018!$A$1:$U$489,9,FALSE),0)</f>
        <v>0</v>
      </c>
      <c r="EX51" s="181">
        <f>IFERROR(VLOOKUP(I51,CEI_082018!$A$1:$U$489,9,FALSE),0)</f>
        <v>0</v>
      </c>
      <c r="EY51" s="181">
        <f>IFERROR(VLOOKUP(I51,CEI_092018!$A$1:$U$489,9,FALSE),0)</f>
        <v>0</v>
      </c>
      <c r="EZ51" s="181"/>
      <c r="FA51" s="181"/>
      <c r="FB51" s="181"/>
      <c r="FC51" s="181">
        <f>IFERROR(VLOOKUP(I51,CEI_092018!$A$1:$U$489,12,FALSE),0)</f>
        <v>0</v>
      </c>
      <c r="FD51" s="181">
        <f t="shared" si="14"/>
        <v>0</v>
      </c>
      <c r="FE51" s="181">
        <f t="shared" si="15"/>
        <v>0</v>
      </c>
      <c r="FF51"/>
      <c r="FG51"/>
      <c r="FH51"/>
      <c r="FI51"/>
      <c r="FJ51"/>
      <c r="FK51"/>
      <c r="FL51"/>
      <c r="FM51"/>
      <c r="FN51"/>
      <c r="FO51"/>
      <c r="FP51"/>
      <c r="FQ51"/>
      <c r="FR51"/>
      <c r="FS51"/>
      <c r="FT51"/>
      <c r="FU51"/>
      <c r="FV51"/>
      <c r="FW51"/>
      <c r="FX51"/>
      <c r="FY51"/>
      <c r="FZ51"/>
      <c r="GA51"/>
      <c r="GB51"/>
      <c r="GC51"/>
    </row>
    <row r="52" spans="1:185" ht="12.95" customHeight="1" x14ac:dyDescent="0.25">
      <c r="A52" s="202"/>
      <c r="B52" s="22" t="s">
        <v>54</v>
      </c>
      <c r="C52" s="34" t="s">
        <v>1492</v>
      </c>
      <c r="D52" s="22" t="s">
        <v>110</v>
      </c>
      <c r="E52" s="25" t="s">
        <v>111</v>
      </c>
      <c r="F52" s="25" t="s">
        <v>110</v>
      </c>
      <c r="G52" s="25" t="s">
        <v>111</v>
      </c>
      <c r="H52" s="22" t="s">
        <v>65</v>
      </c>
      <c r="I52" s="423" t="s">
        <v>565</v>
      </c>
      <c r="J52" s="37"/>
      <c r="K52" s="23" t="s">
        <v>128</v>
      </c>
      <c r="L52" s="23" t="s">
        <v>129</v>
      </c>
      <c r="M52" s="23" t="s">
        <v>121</v>
      </c>
      <c r="N52" s="23"/>
      <c r="O52" s="2">
        <v>0</v>
      </c>
      <c r="P52" s="2">
        <v>0</v>
      </c>
      <c r="Q52" s="2">
        <v>0</v>
      </c>
      <c r="R52" s="2">
        <v>0</v>
      </c>
      <c r="S52" s="2">
        <v>0</v>
      </c>
      <c r="T52" s="116">
        <f t="shared" si="0"/>
        <v>0</v>
      </c>
      <c r="U52" s="324">
        <v>0</v>
      </c>
      <c r="V52" s="324">
        <v>0</v>
      </c>
      <c r="W52" s="324">
        <v>0</v>
      </c>
      <c r="X52" s="324">
        <v>0</v>
      </c>
      <c r="Y52" s="324">
        <v>0</v>
      </c>
      <c r="Z52" s="324"/>
      <c r="AA52" s="324"/>
      <c r="AB52" s="324"/>
      <c r="AC52" s="324"/>
      <c r="AD52" s="324"/>
      <c r="AE52" s="324"/>
      <c r="AF52" s="324"/>
      <c r="AG52" s="140">
        <f t="shared" si="1"/>
        <v>0</v>
      </c>
      <c r="AH52" s="324">
        <v>0</v>
      </c>
      <c r="AI52" s="324">
        <v>0</v>
      </c>
      <c r="AJ52" s="324">
        <v>0</v>
      </c>
      <c r="AK52" s="324">
        <v>0</v>
      </c>
      <c r="AL52" s="324">
        <v>0</v>
      </c>
      <c r="AM52" s="324">
        <v>0</v>
      </c>
      <c r="AN52" s="324">
        <v>0</v>
      </c>
      <c r="AO52" s="324">
        <v>0</v>
      </c>
      <c r="AP52" s="324">
        <v>0</v>
      </c>
      <c r="AQ52" s="324">
        <v>0</v>
      </c>
      <c r="AR52" s="324">
        <v>0</v>
      </c>
      <c r="AS52" s="324">
        <v>0</v>
      </c>
      <c r="AT52" s="140">
        <f t="shared" si="2"/>
        <v>0</v>
      </c>
      <c r="AU52" s="324">
        <v>0</v>
      </c>
      <c r="AV52" s="324">
        <v>0</v>
      </c>
      <c r="AW52" s="324">
        <v>0</v>
      </c>
      <c r="AX52" s="324">
        <v>0</v>
      </c>
      <c r="AY52" s="324">
        <v>0</v>
      </c>
      <c r="AZ52" s="324">
        <v>0</v>
      </c>
      <c r="BA52" s="324">
        <v>0</v>
      </c>
      <c r="BB52" s="324">
        <v>0</v>
      </c>
      <c r="BC52" s="324">
        <v>0</v>
      </c>
      <c r="BD52" s="324">
        <v>0</v>
      </c>
      <c r="BE52" s="324">
        <v>0</v>
      </c>
      <c r="BF52" s="324">
        <v>30</v>
      </c>
      <c r="BG52" s="140">
        <f t="shared" si="3"/>
        <v>30</v>
      </c>
      <c r="BH52" s="324">
        <v>0</v>
      </c>
      <c r="BI52" s="324">
        <v>0</v>
      </c>
      <c r="BJ52" s="324">
        <v>0</v>
      </c>
      <c r="BK52" s="324">
        <v>0</v>
      </c>
      <c r="BL52" s="324">
        <v>0</v>
      </c>
      <c r="BM52" s="324">
        <v>0</v>
      </c>
      <c r="BN52" s="324">
        <v>0</v>
      </c>
      <c r="BO52" s="324">
        <v>0</v>
      </c>
      <c r="BP52" s="324">
        <v>0</v>
      </c>
      <c r="BQ52" s="324">
        <v>0</v>
      </c>
      <c r="BR52" s="324">
        <v>0</v>
      </c>
      <c r="BS52" s="324">
        <v>0</v>
      </c>
      <c r="BT52" s="140">
        <f t="shared" si="4"/>
        <v>0</v>
      </c>
      <c r="BU52" s="114">
        <f t="shared" si="5"/>
        <v>30</v>
      </c>
      <c r="BV52" s="432"/>
      <c r="BW52" s="432"/>
      <c r="BX52" s="432"/>
      <c r="BY52" s="432"/>
      <c r="BZ52" s="433"/>
      <c r="CA52" s="434"/>
      <c r="CB52" s="7" t="s">
        <v>73</v>
      </c>
      <c r="CC52" s="3"/>
      <c r="CD52" s="3"/>
      <c r="CE52" s="3"/>
      <c r="CF52" s="3"/>
      <c r="CG52" s="3"/>
      <c r="CH52" s="3"/>
      <c r="CI52" s="3"/>
      <c r="CJ52" s="3"/>
      <c r="CK52" s="3"/>
      <c r="CL52" s="3"/>
      <c r="CM52" s="3"/>
      <c r="CN52" s="3"/>
      <c r="CO52" s="4">
        <f t="shared" ref="CO52:CO57" si="28">SUM(CC52:CN52)</f>
        <v>0</v>
      </c>
      <c r="CP52" s="3"/>
      <c r="CQ52" s="3"/>
      <c r="CR52" s="3"/>
      <c r="CS52" s="3"/>
      <c r="CT52" s="3"/>
      <c r="CU52" s="3"/>
      <c r="CV52" s="3"/>
      <c r="CW52" s="3"/>
      <c r="CX52" s="3"/>
      <c r="CY52" s="3"/>
      <c r="CZ52" s="3"/>
      <c r="DA52" s="3"/>
      <c r="DB52" s="4">
        <f t="shared" ref="DB52:DB57" si="29">SUM(CP52:DA52)</f>
        <v>0</v>
      </c>
      <c r="DC52" s="3"/>
      <c r="DD52" s="3"/>
      <c r="DE52" s="3"/>
      <c r="DF52" s="3"/>
      <c r="DG52" s="3"/>
      <c r="DH52" s="3"/>
      <c r="DI52" s="3"/>
      <c r="DJ52" s="3"/>
      <c r="DK52" s="3"/>
      <c r="DL52" s="3"/>
      <c r="DM52" s="3"/>
      <c r="DN52" s="3"/>
      <c r="DO52" s="4">
        <f t="shared" ref="DO52:DO57" si="30">SUM(DC52:DN52)</f>
        <v>0</v>
      </c>
      <c r="DP52" s="3"/>
      <c r="DQ52" s="3"/>
      <c r="DR52" s="3"/>
      <c r="DS52" s="3"/>
      <c r="DT52" s="3"/>
      <c r="DU52" s="3"/>
      <c r="DV52" s="3"/>
      <c r="DW52" s="3"/>
      <c r="DX52" s="3"/>
      <c r="DY52" s="3"/>
      <c r="DZ52" s="3"/>
      <c r="EA52" s="3">
        <v>1</v>
      </c>
      <c r="EB52" s="4">
        <f t="shared" ref="EB52:EB57" si="31">SUM(DP52:EA52)</f>
        <v>1</v>
      </c>
      <c r="EC52" s="3"/>
      <c r="ED52" s="3"/>
      <c r="EE52" s="3"/>
      <c r="EF52" s="3"/>
      <c r="EG52" s="3"/>
      <c r="EH52" s="3"/>
      <c r="EI52" s="3"/>
      <c r="EJ52" s="3"/>
      <c r="EK52" s="3"/>
      <c r="EL52" s="3"/>
      <c r="EM52" s="3"/>
      <c r="EN52" s="3"/>
      <c r="EO52" s="4">
        <f t="shared" ref="EO52:EO57" si="32">SUM(EC52:EN52)</f>
        <v>0</v>
      </c>
      <c r="EP52" s="8">
        <f t="shared" ref="EP52:EP57" si="33">SUM(EO52,EB52,DO52,DB52,CO52)</f>
        <v>1</v>
      </c>
      <c r="EQ52" s="181">
        <f>IFERROR(VLOOKUP(I52,CEI_012018!$A$1:$U$509,9,FALSE),0)</f>
        <v>0</v>
      </c>
      <c r="ER52" s="181">
        <f>IFERROR(VLOOKUP(I52,CEI_022018!$A$1:$U$509,9,FALSE),0)</f>
        <v>0</v>
      </c>
      <c r="ES52" s="181">
        <f>IFERROR(VLOOKUP(I52,CEI_032018!$A$1:$U$509,9,FALSE),0)</f>
        <v>0</v>
      </c>
      <c r="ET52" s="181">
        <f>IFERROR(VLOOKUP(I52,CEI_042018!$A$1:$U$491,9,FALSE),0)</f>
        <v>0</v>
      </c>
      <c r="EU52" s="181">
        <f>IFERROR(VLOOKUP(I52,CEI_052018!$A$1:$U$489,9,FALSE),0)</f>
        <v>0</v>
      </c>
      <c r="EV52" s="181">
        <f>IFERROR(VLOOKUP(I52,CEI_062018!$A$1:$U$489,9,FALSE),0)</f>
        <v>0</v>
      </c>
      <c r="EW52" s="181">
        <f>IFERROR(VLOOKUP(I52,CEI_072018!$A$1:$U$489,9,FALSE),0)</f>
        <v>0</v>
      </c>
      <c r="EX52" s="181">
        <f>IFERROR(VLOOKUP(I52,CEI_082018!$A$1:$U$489,9,FALSE),0)</f>
        <v>0</v>
      </c>
      <c r="EY52" s="181">
        <f>IFERROR(VLOOKUP(I52,CEI_092018!$A$1:$U$489,9,FALSE),0)</f>
        <v>0</v>
      </c>
      <c r="EZ52" s="181"/>
      <c r="FA52" s="181"/>
      <c r="FB52" s="181"/>
      <c r="FC52" s="181">
        <f>IFERROR(VLOOKUP(I52,CEI_092018!$A$1:$U$489,12,FALSE),0)</f>
        <v>0</v>
      </c>
      <c r="FD52" s="181">
        <f t="shared" ref="FD52:FD61" si="34">EW52+FC52</f>
        <v>0</v>
      </c>
      <c r="FE52" s="181">
        <f t="shared" ref="FE52:FE61" si="35">SUM(T52-FD52)</f>
        <v>0</v>
      </c>
      <c r="FF52"/>
      <c r="FG52"/>
      <c r="FH52"/>
      <c r="FI52"/>
      <c r="FJ52"/>
      <c r="FK52"/>
      <c r="FL52"/>
      <c r="FM52"/>
      <c r="FN52"/>
      <c r="FO52"/>
      <c r="FP52"/>
      <c r="FQ52"/>
      <c r="FR52"/>
      <c r="FS52"/>
      <c r="FT52"/>
      <c r="FU52"/>
      <c r="FV52"/>
      <c r="FW52"/>
      <c r="FX52"/>
      <c r="FY52"/>
      <c r="FZ52"/>
      <c r="GA52"/>
      <c r="GB52"/>
      <c r="GC52"/>
    </row>
    <row r="53" spans="1:185" ht="12.95" customHeight="1" x14ac:dyDescent="0.25">
      <c r="A53" s="202"/>
      <c r="B53" s="22" t="s">
        <v>54</v>
      </c>
      <c r="C53" s="34" t="s">
        <v>1492</v>
      </c>
      <c r="D53" s="22" t="s">
        <v>110</v>
      </c>
      <c r="E53" s="25" t="s">
        <v>111</v>
      </c>
      <c r="F53" s="25" t="s">
        <v>110</v>
      </c>
      <c r="G53" s="25" t="s">
        <v>111</v>
      </c>
      <c r="H53" s="22" t="s">
        <v>65</v>
      </c>
      <c r="I53" s="423" t="s">
        <v>565</v>
      </c>
      <c r="J53" s="37"/>
      <c r="K53" s="23" t="s">
        <v>124</v>
      </c>
      <c r="L53" s="23" t="s">
        <v>125</v>
      </c>
      <c r="M53" s="23" t="s">
        <v>121</v>
      </c>
      <c r="N53" s="23"/>
      <c r="O53" s="2">
        <v>0</v>
      </c>
      <c r="P53" s="2">
        <v>0</v>
      </c>
      <c r="Q53" s="2">
        <v>0</v>
      </c>
      <c r="R53" s="2">
        <v>0</v>
      </c>
      <c r="S53" s="2">
        <v>0</v>
      </c>
      <c r="T53" s="116">
        <f t="shared" si="0"/>
        <v>0</v>
      </c>
      <c r="U53" s="324">
        <v>0</v>
      </c>
      <c r="V53" s="324">
        <v>0</v>
      </c>
      <c r="W53" s="324">
        <v>0</v>
      </c>
      <c r="X53" s="324">
        <v>0</v>
      </c>
      <c r="Y53" s="324">
        <v>0</v>
      </c>
      <c r="Z53" s="324"/>
      <c r="AA53" s="324"/>
      <c r="AB53" s="324"/>
      <c r="AC53" s="324"/>
      <c r="AD53" s="324"/>
      <c r="AE53" s="324"/>
      <c r="AF53" s="324"/>
      <c r="AG53" s="140">
        <f t="shared" si="1"/>
        <v>0</v>
      </c>
      <c r="AH53" s="324">
        <v>0</v>
      </c>
      <c r="AI53" s="324">
        <v>0</v>
      </c>
      <c r="AJ53" s="324">
        <v>0</v>
      </c>
      <c r="AK53" s="324">
        <v>0</v>
      </c>
      <c r="AL53" s="324">
        <v>0</v>
      </c>
      <c r="AM53" s="324">
        <v>0</v>
      </c>
      <c r="AN53" s="324">
        <v>0</v>
      </c>
      <c r="AO53" s="324">
        <v>0</v>
      </c>
      <c r="AP53" s="324">
        <v>0</v>
      </c>
      <c r="AQ53" s="324">
        <v>0</v>
      </c>
      <c r="AR53" s="324">
        <v>0</v>
      </c>
      <c r="AS53" s="324">
        <v>23</v>
      </c>
      <c r="AT53" s="140">
        <f t="shared" si="2"/>
        <v>23</v>
      </c>
      <c r="AU53" s="324">
        <v>0</v>
      </c>
      <c r="AV53" s="324">
        <v>0</v>
      </c>
      <c r="AW53" s="324">
        <v>0</v>
      </c>
      <c r="AX53" s="324">
        <v>0</v>
      </c>
      <c r="AY53" s="324">
        <v>0</v>
      </c>
      <c r="AZ53" s="324">
        <v>0</v>
      </c>
      <c r="BA53" s="324">
        <v>0</v>
      </c>
      <c r="BB53" s="324">
        <v>0</v>
      </c>
      <c r="BC53" s="324">
        <v>0</v>
      </c>
      <c r="BD53" s="324">
        <v>0</v>
      </c>
      <c r="BE53" s="324">
        <v>0</v>
      </c>
      <c r="BF53" s="324">
        <v>0</v>
      </c>
      <c r="BG53" s="140">
        <f t="shared" si="3"/>
        <v>0</v>
      </c>
      <c r="BH53" s="324">
        <v>0</v>
      </c>
      <c r="BI53" s="324">
        <v>0</v>
      </c>
      <c r="BJ53" s="324">
        <v>0</v>
      </c>
      <c r="BK53" s="324">
        <v>0</v>
      </c>
      <c r="BL53" s="324">
        <v>0</v>
      </c>
      <c r="BM53" s="324">
        <v>0</v>
      </c>
      <c r="BN53" s="324">
        <v>0</v>
      </c>
      <c r="BO53" s="324">
        <v>0</v>
      </c>
      <c r="BP53" s="324">
        <v>0</v>
      </c>
      <c r="BQ53" s="324">
        <v>0</v>
      </c>
      <c r="BR53" s="324">
        <v>0</v>
      </c>
      <c r="BS53" s="324">
        <v>0</v>
      </c>
      <c r="BT53" s="140">
        <f t="shared" si="4"/>
        <v>0</v>
      </c>
      <c r="BU53" s="114">
        <f t="shared" si="5"/>
        <v>23</v>
      </c>
      <c r="BV53" s="432"/>
      <c r="BW53" s="432"/>
      <c r="BX53" s="432"/>
      <c r="BY53" s="432"/>
      <c r="BZ53" s="433"/>
      <c r="CA53" s="434"/>
      <c r="CB53" s="7" t="s">
        <v>73</v>
      </c>
      <c r="CC53" s="3"/>
      <c r="CD53" s="3"/>
      <c r="CE53" s="3"/>
      <c r="CF53" s="3"/>
      <c r="CG53" s="3"/>
      <c r="CH53" s="3"/>
      <c r="CI53" s="3"/>
      <c r="CJ53" s="3"/>
      <c r="CK53" s="3"/>
      <c r="CL53" s="3"/>
      <c r="CM53" s="3"/>
      <c r="CN53" s="3"/>
      <c r="CO53" s="4">
        <f t="shared" si="28"/>
        <v>0</v>
      </c>
      <c r="CP53" s="3"/>
      <c r="CQ53" s="3"/>
      <c r="CR53" s="3"/>
      <c r="CS53" s="3"/>
      <c r="CT53" s="3"/>
      <c r="CU53" s="3"/>
      <c r="CV53" s="3"/>
      <c r="CW53" s="3"/>
      <c r="CX53" s="3"/>
      <c r="CY53" s="3"/>
      <c r="CZ53" s="3"/>
      <c r="DA53" s="3"/>
      <c r="DB53" s="4">
        <f t="shared" si="29"/>
        <v>0</v>
      </c>
      <c r="DC53" s="3"/>
      <c r="DD53" s="3"/>
      <c r="DE53" s="3"/>
      <c r="DF53" s="3"/>
      <c r="DG53" s="3"/>
      <c r="DH53" s="3"/>
      <c r="DI53" s="3"/>
      <c r="DJ53" s="3"/>
      <c r="DK53" s="3"/>
      <c r="DL53" s="3"/>
      <c r="DM53" s="3"/>
      <c r="DN53" s="3">
        <v>1</v>
      </c>
      <c r="DO53" s="4">
        <f t="shared" si="30"/>
        <v>1</v>
      </c>
      <c r="DP53" s="3"/>
      <c r="DQ53" s="3"/>
      <c r="DR53" s="3"/>
      <c r="DS53" s="3"/>
      <c r="DT53" s="3"/>
      <c r="DU53" s="3"/>
      <c r="DV53" s="3"/>
      <c r="DW53" s="3"/>
      <c r="DX53" s="3"/>
      <c r="DY53" s="3"/>
      <c r="DZ53" s="3"/>
      <c r="EA53" s="3"/>
      <c r="EB53" s="4">
        <f t="shared" si="31"/>
        <v>0</v>
      </c>
      <c r="EC53" s="3"/>
      <c r="ED53" s="3"/>
      <c r="EE53" s="3"/>
      <c r="EF53" s="3"/>
      <c r="EG53" s="3"/>
      <c r="EH53" s="3"/>
      <c r="EI53" s="3"/>
      <c r="EJ53" s="3"/>
      <c r="EK53" s="3"/>
      <c r="EL53" s="3"/>
      <c r="EM53" s="3"/>
      <c r="EN53" s="3"/>
      <c r="EO53" s="4">
        <f t="shared" si="32"/>
        <v>0</v>
      </c>
      <c r="EP53" s="8">
        <f t="shared" si="33"/>
        <v>1</v>
      </c>
      <c r="EQ53" s="181">
        <f>IFERROR(VLOOKUP(I53,CEI_012018!$A$1:$U$509,9,FALSE),0)</f>
        <v>0</v>
      </c>
      <c r="ER53" s="181">
        <f>IFERROR(VLOOKUP(I53,CEI_022018!$A$1:$U$509,9,FALSE),0)</f>
        <v>0</v>
      </c>
      <c r="ES53" s="181">
        <f>IFERROR(VLOOKUP(I53,CEI_032018!$A$1:$U$509,9,FALSE),0)</f>
        <v>0</v>
      </c>
      <c r="ET53" s="181">
        <f>IFERROR(VLOOKUP(I53,CEI_042018!$A$1:$U$491,9,FALSE),0)</f>
        <v>0</v>
      </c>
      <c r="EU53" s="181">
        <f>IFERROR(VLOOKUP(I53,CEI_052018!$A$1:$U$489,9,FALSE),0)</f>
        <v>0</v>
      </c>
      <c r="EV53" s="181">
        <f>IFERROR(VLOOKUP(I53,CEI_062018!$A$1:$U$489,9,FALSE),0)</f>
        <v>0</v>
      </c>
      <c r="EW53" s="181">
        <f>IFERROR(VLOOKUP(I53,CEI_072018!$A$1:$U$489,9,FALSE),0)</f>
        <v>0</v>
      </c>
      <c r="EX53" s="181">
        <f>IFERROR(VLOOKUP(I53,CEI_082018!$A$1:$U$489,9,FALSE),0)</f>
        <v>0</v>
      </c>
      <c r="EY53" s="181">
        <f>IFERROR(VLOOKUP(I53,CEI_092018!$A$1:$U$489,9,FALSE),0)</f>
        <v>0</v>
      </c>
      <c r="EZ53" s="181"/>
      <c r="FA53" s="181"/>
      <c r="FB53" s="181"/>
      <c r="FC53" s="181">
        <f>IFERROR(VLOOKUP(I53,CEI_092018!$A$1:$U$489,12,FALSE),0)</f>
        <v>0</v>
      </c>
      <c r="FD53" s="181">
        <f t="shared" si="34"/>
        <v>0</v>
      </c>
      <c r="FE53" s="181">
        <f t="shared" si="35"/>
        <v>0</v>
      </c>
      <c r="FF53"/>
      <c r="FG53"/>
      <c r="FH53"/>
      <c r="FI53"/>
      <c r="FJ53"/>
      <c r="FK53"/>
      <c r="FL53"/>
      <c r="FM53"/>
      <c r="FN53"/>
      <c r="FO53"/>
      <c r="FP53"/>
      <c r="FQ53"/>
      <c r="FR53"/>
      <c r="FS53"/>
      <c r="FT53"/>
      <c r="FU53"/>
      <c r="FV53"/>
      <c r="FW53"/>
      <c r="FX53"/>
      <c r="FY53"/>
      <c r="FZ53"/>
      <c r="GA53"/>
      <c r="GB53"/>
      <c r="GC53"/>
    </row>
    <row r="54" spans="1:185" ht="12.95" customHeight="1" x14ac:dyDescent="0.25">
      <c r="A54" s="202"/>
      <c r="B54" s="22" t="s">
        <v>54</v>
      </c>
      <c r="C54" s="34" t="s">
        <v>1492</v>
      </c>
      <c r="D54" s="22" t="s">
        <v>110</v>
      </c>
      <c r="E54" s="25" t="s">
        <v>111</v>
      </c>
      <c r="F54" s="25" t="s">
        <v>110</v>
      </c>
      <c r="G54" s="25" t="s">
        <v>111</v>
      </c>
      <c r="H54" s="22" t="s">
        <v>65</v>
      </c>
      <c r="I54" s="423" t="s">
        <v>565</v>
      </c>
      <c r="J54" s="37"/>
      <c r="K54" s="23" t="s">
        <v>126</v>
      </c>
      <c r="L54" s="23" t="s">
        <v>127</v>
      </c>
      <c r="M54" s="23" t="s">
        <v>121</v>
      </c>
      <c r="N54" s="23"/>
      <c r="O54" s="2">
        <v>0</v>
      </c>
      <c r="P54" s="2">
        <v>0</v>
      </c>
      <c r="Q54" s="2">
        <v>0</v>
      </c>
      <c r="R54" s="2">
        <v>0</v>
      </c>
      <c r="S54" s="2">
        <v>0</v>
      </c>
      <c r="T54" s="116">
        <f t="shared" si="0"/>
        <v>0</v>
      </c>
      <c r="U54" s="324">
        <v>0</v>
      </c>
      <c r="V54" s="324">
        <v>0</v>
      </c>
      <c r="W54" s="324">
        <v>0</v>
      </c>
      <c r="X54" s="324">
        <v>0</v>
      </c>
      <c r="Y54" s="324">
        <v>0</v>
      </c>
      <c r="Z54" s="324"/>
      <c r="AA54" s="324"/>
      <c r="AB54" s="324"/>
      <c r="AC54" s="324"/>
      <c r="AD54" s="324"/>
      <c r="AE54" s="324"/>
      <c r="AF54" s="324"/>
      <c r="AG54" s="140">
        <f t="shared" si="1"/>
        <v>0</v>
      </c>
      <c r="AH54" s="324">
        <v>0</v>
      </c>
      <c r="AI54" s="324">
        <v>0</v>
      </c>
      <c r="AJ54" s="324">
        <v>0</v>
      </c>
      <c r="AK54" s="324">
        <v>0</v>
      </c>
      <c r="AL54" s="324">
        <v>0</v>
      </c>
      <c r="AM54" s="324">
        <v>0</v>
      </c>
      <c r="AN54" s="324">
        <v>0</v>
      </c>
      <c r="AO54" s="324">
        <v>0</v>
      </c>
      <c r="AP54" s="324">
        <v>0</v>
      </c>
      <c r="AQ54" s="324">
        <v>0</v>
      </c>
      <c r="AR54" s="324">
        <v>0</v>
      </c>
      <c r="AS54" s="324">
        <v>20</v>
      </c>
      <c r="AT54" s="140">
        <f t="shared" si="2"/>
        <v>20</v>
      </c>
      <c r="AU54" s="324">
        <v>0</v>
      </c>
      <c r="AV54" s="324">
        <v>0</v>
      </c>
      <c r="AW54" s="324">
        <v>0</v>
      </c>
      <c r="AX54" s="324">
        <v>0</v>
      </c>
      <c r="AY54" s="324">
        <v>0</v>
      </c>
      <c r="AZ54" s="324">
        <v>0</v>
      </c>
      <c r="BA54" s="324">
        <v>0</v>
      </c>
      <c r="BB54" s="324">
        <v>0</v>
      </c>
      <c r="BC54" s="324">
        <v>0</v>
      </c>
      <c r="BD54" s="324">
        <v>0</v>
      </c>
      <c r="BE54" s="324">
        <v>0</v>
      </c>
      <c r="BF54" s="324">
        <v>0</v>
      </c>
      <c r="BG54" s="140">
        <f t="shared" si="3"/>
        <v>0</v>
      </c>
      <c r="BH54" s="324">
        <v>0</v>
      </c>
      <c r="BI54" s="324">
        <v>0</v>
      </c>
      <c r="BJ54" s="324">
        <v>0</v>
      </c>
      <c r="BK54" s="324">
        <v>0</v>
      </c>
      <c r="BL54" s="324">
        <v>0</v>
      </c>
      <c r="BM54" s="324">
        <v>0</v>
      </c>
      <c r="BN54" s="324">
        <v>0</v>
      </c>
      <c r="BO54" s="324">
        <v>0</v>
      </c>
      <c r="BP54" s="324">
        <v>0</v>
      </c>
      <c r="BQ54" s="324">
        <v>0</v>
      </c>
      <c r="BR54" s="324">
        <v>0</v>
      </c>
      <c r="BS54" s="324">
        <v>0</v>
      </c>
      <c r="BT54" s="140">
        <f t="shared" si="4"/>
        <v>0</v>
      </c>
      <c r="BU54" s="114">
        <f t="shared" si="5"/>
        <v>20</v>
      </c>
      <c r="BV54" s="432"/>
      <c r="BW54" s="432"/>
      <c r="BX54" s="432"/>
      <c r="BY54" s="432"/>
      <c r="BZ54" s="433"/>
      <c r="CA54" s="434"/>
      <c r="CB54" s="7" t="s">
        <v>73</v>
      </c>
      <c r="CC54" s="3"/>
      <c r="CD54" s="3"/>
      <c r="CE54" s="3"/>
      <c r="CF54" s="3"/>
      <c r="CG54" s="3"/>
      <c r="CH54" s="3"/>
      <c r="CI54" s="3"/>
      <c r="CJ54" s="3"/>
      <c r="CK54" s="3"/>
      <c r="CL54" s="3"/>
      <c r="CM54" s="3"/>
      <c r="CN54" s="3"/>
      <c r="CO54" s="4">
        <f t="shared" si="28"/>
        <v>0</v>
      </c>
      <c r="CP54" s="3"/>
      <c r="CQ54" s="3"/>
      <c r="CR54" s="3"/>
      <c r="CS54" s="3"/>
      <c r="CT54" s="3"/>
      <c r="CU54" s="3"/>
      <c r="CV54" s="3"/>
      <c r="CW54" s="3"/>
      <c r="CX54" s="3"/>
      <c r="CY54" s="3"/>
      <c r="CZ54" s="3"/>
      <c r="DA54" s="3"/>
      <c r="DB54" s="4">
        <f t="shared" si="29"/>
        <v>0</v>
      </c>
      <c r="DC54" s="3"/>
      <c r="DD54" s="3"/>
      <c r="DE54" s="3"/>
      <c r="DF54" s="3"/>
      <c r="DG54" s="3"/>
      <c r="DH54" s="3"/>
      <c r="DI54" s="3"/>
      <c r="DJ54" s="3"/>
      <c r="DK54" s="3"/>
      <c r="DL54" s="3"/>
      <c r="DM54" s="3"/>
      <c r="DN54" s="3">
        <v>1</v>
      </c>
      <c r="DO54" s="4">
        <f t="shared" si="30"/>
        <v>1</v>
      </c>
      <c r="DP54" s="3"/>
      <c r="DQ54" s="3"/>
      <c r="DR54" s="3"/>
      <c r="DS54" s="3"/>
      <c r="DT54" s="3"/>
      <c r="DU54" s="3"/>
      <c r="DV54" s="3"/>
      <c r="DW54" s="3"/>
      <c r="DX54" s="3"/>
      <c r="DY54" s="3"/>
      <c r="DZ54" s="3"/>
      <c r="EA54" s="3"/>
      <c r="EB54" s="4">
        <f t="shared" si="31"/>
        <v>0</v>
      </c>
      <c r="EC54" s="3"/>
      <c r="ED54" s="3"/>
      <c r="EE54" s="3"/>
      <c r="EF54" s="3"/>
      <c r="EG54" s="3"/>
      <c r="EH54" s="3"/>
      <c r="EI54" s="3"/>
      <c r="EJ54" s="3"/>
      <c r="EK54" s="3"/>
      <c r="EL54" s="3"/>
      <c r="EM54" s="3"/>
      <c r="EN54" s="3"/>
      <c r="EO54" s="4">
        <f t="shared" si="32"/>
        <v>0</v>
      </c>
      <c r="EP54" s="8">
        <f t="shared" si="33"/>
        <v>1</v>
      </c>
      <c r="EQ54" s="181">
        <f>IFERROR(VLOOKUP(I54,CEI_012018!$A$1:$U$509,9,FALSE),0)</f>
        <v>0</v>
      </c>
      <c r="ER54" s="181">
        <f>IFERROR(VLOOKUP(I54,CEI_022018!$A$1:$U$509,9,FALSE),0)</f>
        <v>0</v>
      </c>
      <c r="ES54" s="181">
        <f>IFERROR(VLOOKUP(I54,CEI_032018!$A$1:$U$509,9,FALSE),0)</f>
        <v>0</v>
      </c>
      <c r="ET54" s="181">
        <f>IFERROR(VLOOKUP(I54,CEI_042018!$A$1:$U$491,9,FALSE),0)</f>
        <v>0</v>
      </c>
      <c r="EU54" s="181">
        <f>IFERROR(VLOOKUP(I54,CEI_052018!$A$1:$U$489,9,FALSE),0)</f>
        <v>0</v>
      </c>
      <c r="EV54" s="181">
        <f>IFERROR(VLOOKUP(I54,CEI_062018!$A$1:$U$489,9,FALSE),0)</f>
        <v>0</v>
      </c>
      <c r="EW54" s="181">
        <f>IFERROR(VLOOKUP(I54,CEI_072018!$A$1:$U$489,9,FALSE),0)</f>
        <v>0</v>
      </c>
      <c r="EX54" s="181">
        <f>IFERROR(VLOOKUP(I54,CEI_082018!$A$1:$U$489,9,FALSE),0)</f>
        <v>0</v>
      </c>
      <c r="EY54" s="181">
        <f>IFERROR(VLOOKUP(I54,CEI_092018!$A$1:$U$489,9,FALSE),0)</f>
        <v>0</v>
      </c>
      <c r="EZ54" s="181"/>
      <c r="FA54" s="181"/>
      <c r="FB54" s="181"/>
      <c r="FC54" s="181">
        <f>IFERROR(VLOOKUP(I54,CEI_092018!$A$1:$U$489,12,FALSE),0)</f>
        <v>0</v>
      </c>
      <c r="FD54" s="181">
        <f t="shared" si="34"/>
        <v>0</v>
      </c>
      <c r="FE54" s="181">
        <f t="shared" si="35"/>
        <v>0</v>
      </c>
      <c r="FF54"/>
      <c r="FG54"/>
      <c r="FH54"/>
      <c r="FI54"/>
      <c r="FJ54"/>
      <c r="FK54"/>
      <c r="FL54"/>
      <c r="FM54"/>
      <c r="FN54"/>
      <c r="FO54"/>
      <c r="FP54"/>
      <c r="FQ54"/>
      <c r="FR54"/>
      <c r="FS54"/>
      <c r="FT54"/>
      <c r="FU54"/>
      <c r="FV54"/>
      <c r="FW54"/>
      <c r="FX54"/>
      <c r="FY54"/>
      <c r="FZ54"/>
      <c r="GA54"/>
      <c r="GB54"/>
      <c r="GC54"/>
    </row>
    <row r="55" spans="1:185" ht="12.95" customHeight="1" x14ac:dyDescent="0.25">
      <c r="A55" s="202"/>
      <c r="B55" s="22" t="s">
        <v>54</v>
      </c>
      <c r="C55" s="34" t="s">
        <v>1492</v>
      </c>
      <c r="D55" s="22" t="s">
        <v>188</v>
      </c>
      <c r="E55" s="25" t="s">
        <v>189</v>
      </c>
      <c r="F55" s="25" t="s">
        <v>188</v>
      </c>
      <c r="G55" s="25" t="s">
        <v>189</v>
      </c>
      <c r="H55" s="22" t="s">
        <v>65</v>
      </c>
      <c r="I55" s="423" t="s">
        <v>565</v>
      </c>
      <c r="J55" s="37"/>
      <c r="K55" s="23" t="s">
        <v>668</v>
      </c>
      <c r="L55" s="23" t="s">
        <v>197</v>
      </c>
      <c r="M55" s="23" t="s">
        <v>192</v>
      </c>
      <c r="N55" s="23"/>
      <c r="O55" s="2"/>
      <c r="P55" s="2"/>
      <c r="Q55" s="2"/>
      <c r="R55" s="2"/>
      <c r="S55" s="2"/>
      <c r="T55" s="116">
        <f t="shared" si="0"/>
        <v>0</v>
      </c>
      <c r="U55" s="324"/>
      <c r="V55" s="324"/>
      <c r="W55" s="324"/>
      <c r="X55" s="324"/>
      <c r="Y55" s="324"/>
      <c r="Z55" s="324"/>
      <c r="AA55" s="324"/>
      <c r="AB55" s="324"/>
      <c r="AC55" s="324"/>
      <c r="AD55" s="324">
        <v>16</v>
      </c>
      <c r="AE55" s="324"/>
      <c r="AF55" s="324"/>
      <c r="AG55" s="140">
        <f t="shared" si="1"/>
        <v>16</v>
      </c>
      <c r="AH55" s="324">
        <v>0</v>
      </c>
      <c r="AI55" s="324">
        <v>0</v>
      </c>
      <c r="AJ55" s="324">
        <v>0</v>
      </c>
      <c r="AK55" s="324">
        <v>0</v>
      </c>
      <c r="AL55" s="324">
        <v>0</v>
      </c>
      <c r="AM55" s="324">
        <v>0</v>
      </c>
      <c r="AN55" s="324">
        <v>0</v>
      </c>
      <c r="AO55" s="324">
        <v>0</v>
      </c>
      <c r="AP55" s="324">
        <v>0</v>
      </c>
      <c r="AQ55" s="324"/>
      <c r="AR55" s="324">
        <v>0</v>
      </c>
      <c r="AS55" s="324">
        <v>0</v>
      </c>
      <c r="AT55" s="140">
        <f t="shared" si="2"/>
        <v>0</v>
      </c>
      <c r="AU55" s="324">
        <v>0</v>
      </c>
      <c r="AV55" s="324">
        <v>0</v>
      </c>
      <c r="AW55" s="324">
        <v>0</v>
      </c>
      <c r="AX55" s="324">
        <v>0</v>
      </c>
      <c r="AY55" s="324">
        <v>0</v>
      </c>
      <c r="AZ55" s="324">
        <v>0</v>
      </c>
      <c r="BA55" s="324">
        <v>0</v>
      </c>
      <c r="BB55" s="324">
        <v>0</v>
      </c>
      <c r="BC55" s="324">
        <v>0</v>
      </c>
      <c r="BD55" s="324">
        <v>0</v>
      </c>
      <c r="BE55" s="324">
        <v>0</v>
      </c>
      <c r="BF55" s="324">
        <v>0</v>
      </c>
      <c r="BG55" s="140">
        <f t="shared" si="3"/>
        <v>0</v>
      </c>
      <c r="BH55" s="324">
        <v>0</v>
      </c>
      <c r="BI55" s="324">
        <v>0</v>
      </c>
      <c r="BJ55" s="324">
        <v>0</v>
      </c>
      <c r="BK55" s="324">
        <v>0</v>
      </c>
      <c r="BL55" s="324">
        <v>0</v>
      </c>
      <c r="BM55" s="324">
        <v>0</v>
      </c>
      <c r="BN55" s="324">
        <v>0</v>
      </c>
      <c r="BO55" s="324">
        <v>0</v>
      </c>
      <c r="BP55" s="324">
        <v>0</v>
      </c>
      <c r="BQ55" s="324">
        <v>0</v>
      </c>
      <c r="BR55" s="324">
        <v>0</v>
      </c>
      <c r="BS55" s="324">
        <v>0</v>
      </c>
      <c r="BT55" s="140">
        <f t="shared" si="4"/>
        <v>0</v>
      </c>
      <c r="BU55" s="114">
        <f t="shared" si="5"/>
        <v>16</v>
      </c>
      <c r="BV55" s="432"/>
      <c r="BW55" s="432"/>
      <c r="BX55" s="432"/>
      <c r="BY55" s="432"/>
      <c r="BZ55" s="433"/>
      <c r="CA55" s="434"/>
      <c r="CB55" s="7" t="s">
        <v>109</v>
      </c>
      <c r="CC55" s="3"/>
      <c r="CD55" s="3"/>
      <c r="CE55" s="3"/>
      <c r="CF55" s="3"/>
      <c r="CG55" s="3"/>
      <c r="CH55" s="3"/>
      <c r="CI55" s="3"/>
      <c r="CJ55" s="3"/>
      <c r="CK55" s="3"/>
      <c r="CL55" s="3"/>
      <c r="CM55" s="3"/>
      <c r="CN55" s="3"/>
      <c r="CO55" s="4">
        <f t="shared" si="28"/>
        <v>0</v>
      </c>
      <c r="CP55" s="3"/>
      <c r="CQ55" s="3"/>
      <c r="CR55" s="3"/>
      <c r="CS55" s="3"/>
      <c r="CT55" s="3"/>
      <c r="CU55" s="3"/>
      <c r="CV55" s="3"/>
      <c r="CW55" s="3"/>
      <c r="CX55" s="3"/>
      <c r="CY55" s="3"/>
      <c r="CZ55" s="3"/>
      <c r="DA55" s="3">
        <v>8</v>
      </c>
      <c r="DB55" s="4">
        <f t="shared" si="29"/>
        <v>8</v>
      </c>
      <c r="DC55" s="3"/>
      <c r="DD55" s="3"/>
      <c r="DE55" s="3"/>
      <c r="DF55" s="3"/>
      <c r="DG55" s="3"/>
      <c r="DH55" s="3"/>
      <c r="DI55" s="3"/>
      <c r="DJ55" s="3"/>
      <c r="DK55" s="3"/>
      <c r="DL55" s="3"/>
      <c r="DM55" s="3"/>
      <c r="DN55" s="3"/>
      <c r="DO55" s="4">
        <f t="shared" si="30"/>
        <v>0</v>
      </c>
      <c r="DP55" s="3"/>
      <c r="DQ55" s="3"/>
      <c r="DR55" s="3"/>
      <c r="DS55" s="3"/>
      <c r="DT55" s="3"/>
      <c r="DU55" s="3"/>
      <c r="DV55" s="3"/>
      <c r="DW55" s="3"/>
      <c r="DX55" s="3"/>
      <c r="DY55" s="3"/>
      <c r="DZ55" s="3"/>
      <c r="EA55" s="3"/>
      <c r="EB55" s="4">
        <f t="shared" si="31"/>
        <v>0</v>
      </c>
      <c r="EC55" s="3"/>
      <c r="ED55" s="3"/>
      <c r="EE55" s="3"/>
      <c r="EF55" s="3"/>
      <c r="EG55" s="3"/>
      <c r="EH55" s="3"/>
      <c r="EI55" s="3"/>
      <c r="EJ55" s="3"/>
      <c r="EK55" s="3"/>
      <c r="EL55" s="3"/>
      <c r="EM55" s="3"/>
      <c r="EN55" s="3"/>
      <c r="EO55" s="4">
        <f t="shared" si="32"/>
        <v>0</v>
      </c>
      <c r="EP55" s="8">
        <f t="shared" si="33"/>
        <v>8</v>
      </c>
      <c r="EQ55" s="181">
        <f>IFERROR(VLOOKUP(I55,CEI_012018!$A$1:$U$509,9,FALSE),0)</f>
        <v>0</v>
      </c>
      <c r="ER55" s="181">
        <f>IFERROR(VLOOKUP(I55,CEI_022018!$A$1:$U$509,9,FALSE),0)</f>
        <v>0</v>
      </c>
      <c r="ES55" s="181">
        <f>IFERROR(VLOOKUP(I55,CEI_032018!$A$1:$U$509,9,FALSE),0)</f>
        <v>0</v>
      </c>
      <c r="ET55" s="181">
        <f>IFERROR(VLOOKUP(I55,CEI_042018!$A$1:$U$491,9,FALSE),0)</f>
        <v>0</v>
      </c>
      <c r="EU55" s="181">
        <f>IFERROR(VLOOKUP(I55,CEI_052018!$A$1:$U$489,9,FALSE),0)</f>
        <v>0</v>
      </c>
      <c r="EV55" s="181">
        <f>IFERROR(VLOOKUP(I55,CEI_062018!$A$1:$U$489,9,FALSE),0)</f>
        <v>0</v>
      </c>
      <c r="EW55" s="181">
        <f>IFERROR(VLOOKUP(I55,CEI_072018!$A$1:$U$489,9,FALSE),0)</f>
        <v>0</v>
      </c>
      <c r="EX55" s="181">
        <f>IFERROR(VLOOKUP(I55,CEI_082018!$A$1:$U$489,9,FALSE),0)</f>
        <v>0</v>
      </c>
      <c r="EY55" s="181">
        <f>IFERROR(VLOOKUP(I55,CEI_092018!$A$1:$U$489,9,FALSE),0)</f>
        <v>0</v>
      </c>
      <c r="EZ55" s="181"/>
      <c r="FA55" s="181"/>
      <c r="FB55" s="181"/>
      <c r="FC55" s="181">
        <f>IFERROR(VLOOKUP(I55,CEI_092018!$A$1:$U$489,12,FALSE),0)</f>
        <v>0</v>
      </c>
      <c r="FD55" s="181">
        <f t="shared" si="34"/>
        <v>0</v>
      </c>
      <c r="FE55" s="181">
        <f t="shared" si="35"/>
        <v>0</v>
      </c>
      <c r="FF55"/>
      <c r="FG55"/>
      <c r="FH55"/>
      <c r="FI55"/>
      <c r="FJ55"/>
      <c r="FK55"/>
      <c r="FL55"/>
      <c r="FM55"/>
      <c r="FN55"/>
      <c r="FO55"/>
      <c r="FP55"/>
      <c r="FQ55"/>
      <c r="FR55"/>
      <c r="FS55"/>
      <c r="FT55"/>
      <c r="FU55"/>
      <c r="FV55"/>
      <c r="FW55"/>
      <c r="FX55"/>
      <c r="FY55"/>
      <c r="FZ55"/>
      <c r="GA55"/>
      <c r="GB55"/>
      <c r="GC55"/>
    </row>
    <row r="56" spans="1:185" ht="12.95" customHeight="1" x14ac:dyDescent="0.25">
      <c r="A56" s="202"/>
      <c r="B56" s="22" t="s">
        <v>54</v>
      </c>
      <c r="C56" s="34" t="s">
        <v>1492</v>
      </c>
      <c r="D56" s="22" t="s">
        <v>110</v>
      </c>
      <c r="E56" s="25" t="s">
        <v>111</v>
      </c>
      <c r="F56" s="25" t="s">
        <v>110</v>
      </c>
      <c r="G56" s="25" t="s">
        <v>111</v>
      </c>
      <c r="H56" s="22" t="s">
        <v>65</v>
      </c>
      <c r="I56" s="423" t="s">
        <v>565</v>
      </c>
      <c r="J56" s="37"/>
      <c r="K56" s="23" t="s">
        <v>132</v>
      </c>
      <c r="L56" s="23" t="s">
        <v>133</v>
      </c>
      <c r="M56" s="23" t="s">
        <v>134</v>
      </c>
      <c r="N56" s="23"/>
      <c r="O56" s="2">
        <v>0</v>
      </c>
      <c r="P56" s="2">
        <v>0</v>
      </c>
      <c r="Q56" s="2">
        <v>0</v>
      </c>
      <c r="R56" s="2">
        <v>0</v>
      </c>
      <c r="S56" s="2">
        <v>0</v>
      </c>
      <c r="T56" s="116">
        <f t="shared" si="0"/>
        <v>0</v>
      </c>
      <c r="U56" s="324">
        <v>0</v>
      </c>
      <c r="V56" s="324">
        <v>0</v>
      </c>
      <c r="W56" s="324">
        <v>0</v>
      </c>
      <c r="X56" s="324">
        <v>0</v>
      </c>
      <c r="Y56" s="324">
        <v>0</v>
      </c>
      <c r="Z56" s="324"/>
      <c r="AA56" s="324"/>
      <c r="AB56" s="324"/>
      <c r="AC56" s="324"/>
      <c r="AD56" s="324"/>
      <c r="AE56" s="324"/>
      <c r="AF56" s="324"/>
      <c r="AG56" s="140">
        <f t="shared" si="1"/>
        <v>0</v>
      </c>
      <c r="AH56" s="324">
        <v>0</v>
      </c>
      <c r="AI56" s="324">
        <v>0</v>
      </c>
      <c r="AJ56" s="324">
        <v>0</v>
      </c>
      <c r="AK56" s="324">
        <v>0</v>
      </c>
      <c r="AL56" s="324">
        <v>0</v>
      </c>
      <c r="AM56" s="324">
        <v>0</v>
      </c>
      <c r="AN56" s="324">
        <v>0</v>
      </c>
      <c r="AO56" s="324">
        <v>0</v>
      </c>
      <c r="AP56" s="324">
        <v>0</v>
      </c>
      <c r="AQ56" s="324">
        <v>0</v>
      </c>
      <c r="AR56" s="324">
        <v>0</v>
      </c>
      <c r="AS56" s="324">
        <v>15</v>
      </c>
      <c r="AT56" s="140">
        <f t="shared" si="2"/>
        <v>15</v>
      </c>
      <c r="AU56" s="324">
        <v>0</v>
      </c>
      <c r="AV56" s="324">
        <v>0</v>
      </c>
      <c r="AW56" s="324">
        <v>0</v>
      </c>
      <c r="AX56" s="324">
        <v>0</v>
      </c>
      <c r="AY56" s="324">
        <v>0</v>
      </c>
      <c r="AZ56" s="324">
        <v>0</v>
      </c>
      <c r="BA56" s="324">
        <v>0</v>
      </c>
      <c r="BB56" s="324">
        <v>0</v>
      </c>
      <c r="BC56" s="324">
        <v>0</v>
      </c>
      <c r="BD56" s="324">
        <v>0</v>
      </c>
      <c r="BE56" s="324">
        <v>0</v>
      </c>
      <c r="BF56" s="324">
        <v>0</v>
      </c>
      <c r="BG56" s="140">
        <f t="shared" si="3"/>
        <v>0</v>
      </c>
      <c r="BH56" s="324">
        <v>0</v>
      </c>
      <c r="BI56" s="324">
        <v>0</v>
      </c>
      <c r="BJ56" s="324">
        <v>0</v>
      </c>
      <c r="BK56" s="324">
        <v>0</v>
      </c>
      <c r="BL56" s="324">
        <v>0</v>
      </c>
      <c r="BM56" s="324">
        <v>0</v>
      </c>
      <c r="BN56" s="324">
        <v>0</v>
      </c>
      <c r="BO56" s="324">
        <v>0</v>
      </c>
      <c r="BP56" s="324">
        <v>0</v>
      </c>
      <c r="BQ56" s="324">
        <v>0</v>
      </c>
      <c r="BR56" s="324">
        <v>0</v>
      </c>
      <c r="BS56" s="324">
        <v>0</v>
      </c>
      <c r="BT56" s="140">
        <f t="shared" si="4"/>
        <v>0</v>
      </c>
      <c r="BU56" s="114">
        <f t="shared" si="5"/>
        <v>15</v>
      </c>
      <c r="BV56" s="432"/>
      <c r="BW56" s="432"/>
      <c r="BX56" s="432"/>
      <c r="BY56" s="432"/>
      <c r="BZ56" s="433"/>
      <c r="CA56" s="434"/>
      <c r="CB56" s="7" t="s">
        <v>73</v>
      </c>
      <c r="CC56" s="3"/>
      <c r="CD56" s="3"/>
      <c r="CE56" s="3"/>
      <c r="CF56" s="3"/>
      <c r="CG56" s="3"/>
      <c r="CH56" s="3"/>
      <c r="CI56" s="3"/>
      <c r="CJ56" s="3"/>
      <c r="CK56" s="3"/>
      <c r="CL56" s="3"/>
      <c r="CM56" s="3"/>
      <c r="CN56" s="3"/>
      <c r="CO56" s="4">
        <f t="shared" si="28"/>
        <v>0</v>
      </c>
      <c r="CP56" s="3"/>
      <c r="CQ56" s="3"/>
      <c r="CR56" s="3"/>
      <c r="CS56" s="3"/>
      <c r="CT56" s="3"/>
      <c r="CU56" s="3"/>
      <c r="CV56" s="3"/>
      <c r="CW56" s="3"/>
      <c r="CX56" s="3"/>
      <c r="CY56" s="3"/>
      <c r="CZ56" s="3"/>
      <c r="DA56" s="3"/>
      <c r="DB56" s="4">
        <f t="shared" si="29"/>
        <v>0</v>
      </c>
      <c r="DC56" s="3"/>
      <c r="DD56" s="3"/>
      <c r="DE56" s="3"/>
      <c r="DF56" s="3"/>
      <c r="DG56" s="3"/>
      <c r="DH56" s="3"/>
      <c r="DI56" s="3"/>
      <c r="DJ56" s="3"/>
      <c r="DK56" s="3"/>
      <c r="DL56" s="3"/>
      <c r="DM56" s="3"/>
      <c r="DN56" s="3">
        <v>5</v>
      </c>
      <c r="DO56" s="4">
        <f t="shared" si="30"/>
        <v>5</v>
      </c>
      <c r="DP56" s="3"/>
      <c r="DQ56" s="3"/>
      <c r="DR56" s="3"/>
      <c r="DS56" s="3"/>
      <c r="DT56" s="3"/>
      <c r="DU56" s="3"/>
      <c r="DV56" s="3"/>
      <c r="DW56" s="3"/>
      <c r="DX56" s="3"/>
      <c r="DY56" s="3"/>
      <c r="DZ56" s="3"/>
      <c r="EA56" s="3"/>
      <c r="EB56" s="4">
        <f t="shared" si="31"/>
        <v>0</v>
      </c>
      <c r="EC56" s="3"/>
      <c r="ED56" s="3"/>
      <c r="EE56" s="3"/>
      <c r="EF56" s="3"/>
      <c r="EG56" s="3"/>
      <c r="EH56" s="3"/>
      <c r="EI56" s="3"/>
      <c r="EJ56" s="3"/>
      <c r="EK56" s="3"/>
      <c r="EL56" s="3"/>
      <c r="EM56" s="3"/>
      <c r="EN56" s="3"/>
      <c r="EO56" s="4">
        <f t="shared" si="32"/>
        <v>0</v>
      </c>
      <c r="EP56" s="8">
        <f t="shared" si="33"/>
        <v>5</v>
      </c>
      <c r="EQ56" s="181">
        <f>IFERROR(VLOOKUP(I56,CEI_012018!$A$1:$U$509,9,FALSE),0)</f>
        <v>0</v>
      </c>
      <c r="ER56" s="181">
        <f>IFERROR(VLOOKUP(I56,CEI_022018!$A$1:$U$509,9,FALSE),0)</f>
        <v>0</v>
      </c>
      <c r="ES56" s="181">
        <f>IFERROR(VLOOKUP(I56,CEI_032018!$A$1:$U$509,9,FALSE),0)</f>
        <v>0</v>
      </c>
      <c r="ET56" s="181">
        <f>IFERROR(VLOOKUP(I56,CEI_042018!$A$1:$U$491,9,FALSE),0)</f>
        <v>0</v>
      </c>
      <c r="EU56" s="181">
        <f>IFERROR(VLOOKUP(I56,CEI_052018!$A$1:$U$489,9,FALSE),0)</f>
        <v>0</v>
      </c>
      <c r="EV56" s="181">
        <f>IFERROR(VLOOKUP(I56,CEI_062018!$A$1:$U$489,9,FALSE),0)</f>
        <v>0</v>
      </c>
      <c r="EW56" s="181">
        <f>IFERROR(VLOOKUP(I56,CEI_072018!$A$1:$U$489,9,FALSE),0)</f>
        <v>0</v>
      </c>
      <c r="EX56" s="181">
        <f>IFERROR(VLOOKUP(I56,CEI_082018!$A$1:$U$489,9,FALSE),0)</f>
        <v>0</v>
      </c>
      <c r="EY56" s="181">
        <f>IFERROR(VLOOKUP(I56,CEI_092018!$A$1:$U$489,9,FALSE),0)</f>
        <v>0</v>
      </c>
      <c r="EZ56" s="181"/>
      <c r="FA56" s="181"/>
      <c r="FB56" s="181"/>
      <c r="FC56" s="181">
        <f>IFERROR(VLOOKUP(I56,CEI_092018!$A$1:$U$489,12,FALSE),0)</f>
        <v>0</v>
      </c>
      <c r="FD56" s="181">
        <f t="shared" si="34"/>
        <v>0</v>
      </c>
      <c r="FE56" s="181">
        <f t="shared" si="35"/>
        <v>0</v>
      </c>
      <c r="FF56"/>
      <c r="FG56"/>
      <c r="FH56"/>
      <c r="FI56"/>
      <c r="FJ56"/>
      <c r="FK56"/>
      <c r="FL56"/>
      <c r="FM56"/>
      <c r="FN56"/>
      <c r="FO56"/>
      <c r="FP56"/>
      <c r="FQ56"/>
      <c r="FR56"/>
      <c r="FS56"/>
      <c r="FT56"/>
      <c r="FU56"/>
      <c r="FV56"/>
      <c r="FW56"/>
      <c r="FX56"/>
      <c r="FY56"/>
      <c r="FZ56"/>
      <c r="GA56"/>
      <c r="GB56"/>
      <c r="GC56"/>
    </row>
    <row r="57" spans="1:185" ht="12.95" customHeight="1" x14ac:dyDescent="0.25">
      <c r="A57" s="202"/>
      <c r="B57" s="22" t="s">
        <v>54</v>
      </c>
      <c r="C57" s="34" t="s">
        <v>1492</v>
      </c>
      <c r="D57" s="22" t="s">
        <v>1677</v>
      </c>
      <c r="E57" s="25" t="s">
        <v>158</v>
      </c>
      <c r="F57" s="25" t="s">
        <v>1677</v>
      </c>
      <c r="G57" s="25" t="s">
        <v>158</v>
      </c>
      <c r="H57" s="22" t="s">
        <v>65</v>
      </c>
      <c r="I57" s="423" t="s">
        <v>565</v>
      </c>
      <c r="J57" s="37"/>
      <c r="K57" s="23" t="s">
        <v>912</v>
      </c>
      <c r="L57" s="23" t="s">
        <v>913</v>
      </c>
      <c r="M57" s="23" t="s">
        <v>161</v>
      </c>
      <c r="N57" s="23"/>
      <c r="O57" s="2"/>
      <c r="P57" s="2"/>
      <c r="Q57" s="2"/>
      <c r="R57" s="2"/>
      <c r="S57" s="2"/>
      <c r="T57" s="116">
        <f t="shared" si="0"/>
        <v>0</v>
      </c>
      <c r="U57" s="324">
        <v>0</v>
      </c>
      <c r="V57" s="324">
        <v>0</v>
      </c>
      <c r="W57" s="324">
        <v>0</v>
      </c>
      <c r="X57" s="324">
        <v>0</v>
      </c>
      <c r="Y57" s="324">
        <v>0</v>
      </c>
      <c r="Z57" s="324"/>
      <c r="AA57" s="324"/>
      <c r="AB57" s="324"/>
      <c r="AC57" s="324"/>
      <c r="AD57" s="324"/>
      <c r="AE57" s="324"/>
      <c r="AF57" s="324"/>
      <c r="AG57" s="140">
        <f t="shared" si="1"/>
        <v>0</v>
      </c>
      <c r="AH57" s="324">
        <v>0</v>
      </c>
      <c r="AI57" s="324">
        <v>0</v>
      </c>
      <c r="AJ57" s="324">
        <v>0</v>
      </c>
      <c r="AK57" s="324">
        <v>0</v>
      </c>
      <c r="AL57" s="324">
        <v>0</v>
      </c>
      <c r="AM57" s="324">
        <v>0</v>
      </c>
      <c r="AN57" s="324">
        <v>0</v>
      </c>
      <c r="AO57" s="324">
        <v>0</v>
      </c>
      <c r="AP57" s="324">
        <v>0</v>
      </c>
      <c r="AQ57" s="324">
        <v>0</v>
      </c>
      <c r="AR57" s="324">
        <v>10.220000000000001</v>
      </c>
      <c r="AS57" s="324">
        <v>0</v>
      </c>
      <c r="AT57" s="140">
        <f t="shared" si="2"/>
        <v>10.220000000000001</v>
      </c>
      <c r="AU57" s="324">
        <v>0</v>
      </c>
      <c r="AV57" s="324">
        <v>0</v>
      </c>
      <c r="AW57" s="324">
        <v>0</v>
      </c>
      <c r="AX57" s="324">
        <v>0</v>
      </c>
      <c r="AY57" s="324">
        <v>0</v>
      </c>
      <c r="AZ57" s="324">
        <v>0</v>
      </c>
      <c r="BA57" s="324">
        <v>0</v>
      </c>
      <c r="BB57" s="324">
        <v>0</v>
      </c>
      <c r="BC57" s="324">
        <v>0</v>
      </c>
      <c r="BD57" s="324">
        <v>0</v>
      </c>
      <c r="BE57" s="324">
        <v>0</v>
      </c>
      <c r="BF57" s="324">
        <v>0</v>
      </c>
      <c r="BG57" s="140">
        <f t="shared" si="3"/>
        <v>0</v>
      </c>
      <c r="BH57" s="324">
        <v>0</v>
      </c>
      <c r="BI57" s="324">
        <v>0</v>
      </c>
      <c r="BJ57" s="324">
        <v>0</v>
      </c>
      <c r="BK57" s="324">
        <v>0</v>
      </c>
      <c r="BL57" s="324">
        <v>0</v>
      </c>
      <c r="BM57" s="324">
        <v>0</v>
      </c>
      <c r="BN57" s="324">
        <v>0</v>
      </c>
      <c r="BO57" s="324">
        <v>0</v>
      </c>
      <c r="BP57" s="324">
        <v>0</v>
      </c>
      <c r="BQ57" s="324">
        <v>0</v>
      </c>
      <c r="BR57" s="324">
        <v>0</v>
      </c>
      <c r="BS57" s="324">
        <v>0</v>
      </c>
      <c r="BT57" s="140">
        <f t="shared" si="4"/>
        <v>0</v>
      </c>
      <c r="BU57" s="114">
        <f t="shared" si="5"/>
        <v>10.220000000000001</v>
      </c>
      <c r="BV57" s="432"/>
      <c r="BW57" s="432"/>
      <c r="BX57" s="432"/>
      <c r="BY57" s="432"/>
      <c r="BZ57" s="433"/>
      <c r="CA57" s="434"/>
      <c r="CB57" s="7" t="s">
        <v>73</v>
      </c>
      <c r="CC57" s="3"/>
      <c r="CD57" s="3"/>
      <c r="CE57" s="3"/>
      <c r="CF57" s="3"/>
      <c r="CG57" s="3"/>
      <c r="CH57" s="3"/>
      <c r="CI57" s="3"/>
      <c r="CJ57" s="3"/>
      <c r="CK57" s="3"/>
      <c r="CL57" s="3"/>
      <c r="CM57" s="3"/>
      <c r="CN57" s="3"/>
      <c r="CO57" s="4">
        <f t="shared" si="28"/>
        <v>0</v>
      </c>
      <c r="CP57" s="3"/>
      <c r="CQ57" s="3"/>
      <c r="CR57" s="3"/>
      <c r="CS57" s="3"/>
      <c r="CT57" s="3"/>
      <c r="CU57" s="3"/>
      <c r="CV57" s="3"/>
      <c r="CW57" s="3"/>
      <c r="CX57" s="3"/>
      <c r="CY57" s="3"/>
      <c r="CZ57" s="3"/>
      <c r="DA57" s="3"/>
      <c r="DB57" s="4">
        <f t="shared" si="29"/>
        <v>0</v>
      </c>
      <c r="DC57" s="3"/>
      <c r="DD57" s="3"/>
      <c r="DE57" s="3"/>
      <c r="DF57" s="3"/>
      <c r="DG57" s="3"/>
      <c r="DH57" s="3"/>
      <c r="DI57" s="3"/>
      <c r="DJ57" s="3"/>
      <c r="DK57" s="3"/>
      <c r="DL57" s="3"/>
      <c r="DM57" s="3">
        <v>2</v>
      </c>
      <c r="DN57" s="3"/>
      <c r="DO57" s="4">
        <f t="shared" si="30"/>
        <v>2</v>
      </c>
      <c r="DP57" s="3"/>
      <c r="DQ57" s="3"/>
      <c r="DR57" s="3"/>
      <c r="DS57" s="3"/>
      <c r="DT57" s="3"/>
      <c r="DU57" s="3"/>
      <c r="DV57" s="3"/>
      <c r="DW57" s="3"/>
      <c r="DX57" s="3"/>
      <c r="DY57" s="3"/>
      <c r="DZ57" s="3"/>
      <c r="EA57" s="3"/>
      <c r="EB57" s="4">
        <f t="shared" si="31"/>
        <v>0</v>
      </c>
      <c r="EC57" s="3"/>
      <c r="ED57" s="3"/>
      <c r="EE57" s="3"/>
      <c r="EF57" s="3"/>
      <c r="EG57" s="3"/>
      <c r="EH57" s="3"/>
      <c r="EI57" s="3"/>
      <c r="EJ57" s="3"/>
      <c r="EK57" s="3"/>
      <c r="EL57" s="3"/>
      <c r="EM57" s="3"/>
      <c r="EN57" s="3"/>
      <c r="EO57" s="4">
        <f t="shared" si="32"/>
        <v>0</v>
      </c>
      <c r="EP57" s="8">
        <f t="shared" si="33"/>
        <v>2</v>
      </c>
      <c r="EQ57" s="181">
        <f>IFERROR(VLOOKUP(I57,CEI_012018!$A$1:$U$509,9,FALSE),0)</f>
        <v>0</v>
      </c>
      <c r="ER57" s="181">
        <f>IFERROR(VLOOKUP(I57,CEI_022018!$A$1:$U$509,9,FALSE),0)</f>
        <v>0</v>
      </c>
      <c r="ES57" s="181">
        <f>IFERROR(VLOOKUP(I57,CEI_032018!$A$1:$U$509,9,FALSE),0)</f>
        <v>0</v>
      </c>
      <c r="ET57" s="181">
        <f>IFERROR(VLOOKUP(I57,CEI_042018!$A$1:$U$491,9,FALSE),0)</f>
        <v>0</v>
      </c>
      <c r="EU57" s="181">
        <f>IFERROR(VLOOKUP(I57,CEI_052018!$A$1:$U$489,9,FALSE),0)</f>
        <v>0</v>
      </c>
      <c r="EV57" s="181">
        <f>IFERROR(VLOOKUP(I57,CEI_062018!$A$1:$U$489,9,FALSE),0)</f>
        <v>0</v>
      </c>
      <c r="EW57" s="181">
        <f>IFERROR(VLOOKUP(I57,CEI_072018!$A$1:$U$489,9,FALSE),0)</f>
        <v>0</v>
      </c>
      <c r="EX57" s="181">
        <f>IFERROR(VLOOKUP(I57,CEI_082018!$A$1:$U$489,9,FALSE),0)</f>
        <v>0</v>
      </c>
      <c r="EY57" s="181">
        <f>IFERROR(VLOOKUP(I57,CEI_092018!$A$1:$U$489,9,FALSE),0)</f>
        <v>0</v>
      </c>
      <c r="EZ57" s="181"/>
      <c r="FA57" s="181"/>
      <c r="FB57" s="181"/>
      <c r="FC57" s="181">
        <f>IFERROR(VLOOKUP(I57,CEI_092018!$A$1:$U$489,12,FALSE),0)</f>
        <v>0</v>
      </c>
      <c r="FD57" s="181">
        <f t="shared" si="34"/>
        <v>0</v>
      </c>
      <c r="FE57" s="181">
        <f t="shared" si="35"/>
        <v>0</v>
      </c>
      <c r="FF57"/>
      <c r="FG57"/>
      <c r="FH57"/>
      <c r="FI57"/>
      <c r="FJ57"/>
      <c r="FK57"/>
      <c r="FL57"/>
      <c r="FM57"/>
      <c r="FN57"/>
      <c r="FO57"/>
      <c r="FP57"/>
      <c r="FQ57"/>
      <c r="FR57"/>
      <c r="FS57"/>
      <c r="FT57"/>
      <c r="FU57"/>
      <c r="FV57"/>
      <c r="FW57"/>
      <c r="FX57"/>
      <c r="FY57"/>
      <c r="FZ57"/>
      <c r="GA57"/>
      <c r="GB57"/>
      <c r="GC57"/>
    </row>
    <row r="58" spans="1:185" ht="12.95" customHeight="1" x14ac:dyDescent="0.25">
      <c r="A58" s="202"/>
      <c r="B58" s="22" t="s">
        <v>54</v>
      </c>
      <c r="C58" s="34" t="s">
        <v>1492</v>
      </c>
      <c r="D58" s="22" t="s">
        <v>1963</v>
      </c>
      <c r="E58" s="25" t="s">
        <v>1964</v>
      </c>
      <c r="F58" s="22" t="s">
        <v>1963</v>
      </c>
      <c r="G58" s="25" t="s">
        <v>1964</v>
      </c>
      <c r="H58" s="22" t="s">
        <v>56</v>
      </c>
      <c r="I58" s="423" t="s">
        <v>565</v>
      </c>
      <c r="J58" s="37"/>
      <c r="K58" s="23" t="s">
        <v>1965</v>
      </c>
      <c r="L58" s="23"/>
      <c r="M58" s="23"/>
      <c r="N58" s="23"/>
      <c r="O58" s="2"/>
      <c r="P58" s="2"/>
      <c r="Q58" s="2"/>
      <c r="R58" s="2"/>
      <c r="S58" s="2"/>
      <c r="T58" s="116">
        <f t="shared" si="0"/>
        <v>0</v>
      </c>
      <c r="U58" s="324"/>
      <c r="V58" s="324"/>
      <c r="W58" s="324"/>
      <c r="X58" s="324"/>
      <c r="Y58" s="324"/>
      <c r="Z58" s="324"/>
      <c r="AA58" s="324">
        <f>1.59058857142855+4</f>
        <v>5.5905885714285501</v>
      </c>
      <c r="AB58" s="324"/>
      <c r="AC58" s="324"/>
      <c r="AD58" s="324"/>
      <c r="AE58" s="324"/>
      <c r="AF58" s="324"/>
      <c r="AG58" s="140">
        <f t="shared" si="1"/>
        <v>5.5905885714285501</v>
      </c>
      <c r="AH58" s="324"/>
      <c r="AI58" s="324"/>
      <c r="AJ58" s="324"/>
      <c r="AK58" s="324"/>
      <c r="AL58" s="324"/>
      <c r="AM58" s="324"/>
      <c r="AN58" s="324"/>
      <c r="AO58" s="324"/>
      <c r="AP58" s="324"/>
      <c r="AQ58" s="324"/>
      <c r="AR58" s="324"/>
      <c r="AS58" s="324"/>
      <c r="AT58" s="140">
        <f t="shared" si="2"/>
        <v>0</v>
      </c>
      <c r="AU58" s="324"/>
      <c r="AV58" s="324"/>
      <c r="AW58" s="324"/>
      <c r="AX58" s="324"/>
      <c r="AY58" s="324"/>
      <c r="AZ58" s="324"/>
      <c r="BA58" s="324"/>
      <c r="BB58" s="324"/>
      <c r="BC58" s="324"/>
      <c r="BD58" s="324"/>
      <c r="BE58" s="324"/>
      <c r="BF58" s="324"/>
      <c r="BG58" s="140">
        <f t="shared" si="3"/>
        <v>0</v>
      </c>
      <c r="BH58" s="324"/>
      <c r="BI58" s="324"/>
      <c r="BJ58" s="324"/>
      <c r="BK58" s="324"/>
      <c r="BL58" s="324"/>
      <c r="BM58" s="324"/>
      <c r="BN58" s="324"/>
      <c r="BO58" s="324"/>
      <c r="BP58" s="324"/>
      <c r="BQ58" s="324"/>
      <c r="BR58" s="324"/>
      <c r="BS58" s="324"/>
      <c r="BT58" s="140">
        <f t="shared" si="4"/>
        <v>0</v>
      </c>
      <c r="BU58" s="114">
        <f t="shared" si="5"/>
        <v>5.5905885714285501</v>
      </c>
      <c r="BV58" s="432"/>
      <c r="BW58" s="432"/>
      <c r="BX58" s="432"/>
      <c r="BY58" s="432"/>
      <c r="BZ58" s="433"/>
      <c r="CA58" s="434"/>
      <c r="CB58" s="7"/>
      <c r="CC58" s="3"/>
      <c r="CD58" s="3"/>
      <c r="CE58" s="3"/>
      <c r="CF58" s="3"/>
      <c r="CG58" s="3"/>
      <c r="CH58" s="3"/>
      <c r="CI58" s="3"/>
      <c r="CJ58" s="3"/>
      <c r="CK58" s="3"/>
      <c r="CL58" s="3"/>
      <c r="CM58" s="3"/>
      <c r="CN58" s="3"/>
      <c r="CO58" s="4"/>
      <c r="CP58" s="3"/>
      <c r="CQ58" s="3"/>
      <c r="CR58" s="3"/>
      <c r="CS58" s="3"/>
      <c r="CT58" s="3"/>
      <c r="CU58" s="3"/>
      <c r="CV58" s="3"/>
      <c r="CW58" s="3"/>
      <c r="CX58" s="3"/>
      <c r="CY58" s="3"/>
      <c r="CZ58" s="3"/>
      <c r="DA58" s="3"/>
      <c r="DB58" s="4"/>
      <c r="DC58" s="3"/>
      <c r="DD58" s="3"/>
      <c r="DE58" s="3"/>
      <c r="DF58" s="3"/>
      <c r="DG58" s="3"/>
      <c r="DH58" s="3"/>
      <c r="DI58" s="3"/>
      <c r="DJ58" s="3"/>
      <c r="DK58" s="3"/>
      <c r="DL58" s="3"/>
      <c r="DM58" s="3"/>
      <c r="DN58" s="3"/>
      <c r="DO58" s="4"/>
      <c r="DP58" s="3"/>
      <c r="DQ58" s="3"/>
      <c r="DR58" s="3"/>
      <c r="DS58" s="3"/>
      <c r="DT58" s="3"/>
      <c r="DU58" s="3"/>
      <c r="DV58" s="3"/>
      <c r="DW58" s="3"/>
      <c r="DX58" s="3"/>
      <c r="DY58" s="3"/>
      <c r="DZ58" s="3"/>
      <c r="EA58" s="3"/>
      <c r="EB58" s="4"/>
      <c r="EC58" s="3"/>
      <c r="ED58" s="3"/>
      <c r="EE58" s="3"/>
      <c r="EF58" s="3"/>
      <c r="EG58" s="3"/>
      <c r="EH58" s="3"/>
      <c r="EI58" s="3"/>
      <c r="EJ58" s="3"/>
      <c r="EK58" s="3"/>
      <c r="EL58" s="3"/>
      <c r="EM58" s="3"/>
      <c r="EN58" s="3"/>
      <c r="EO58" s="4"/>
      <c r="EP58" s="8"/>
      <c r="EQ58" s="181">
        <f>IFERROR(VLOOKUP(I58,CEI_012018!$A$1:$U$509,9,FALSE),0)</f>
        <v>0</v>
      </c>
      <c r="ER58" s="181">
        <f>IFERROR(VLOOKUP(I58,CEI_022018!$A$1:$U$509,9,FALSE),0)</f>
        <v>0</v>
      </c>
      <c r="ES58" s="181">
        <f>IFERROR(VLOOKUP(I58,CEI_032018!$A$1:$U$509,9,FALSE),0)</f>
        <v>0</v>
      </c>
      <c r="ET58" s="181">
        <f>IFERROR(VLOOKUP(I58,CEI_042018!$A$1:$U$491,9,FALSE),0)</f>
        <v>0</v>
      </c>
      <c r="EU58" s="181">
        <f>IFERROR(VLOOKUP(I58,CEI_052018!$A$1:$U$489,9,FALSE),0)</f>
        <v>0</v>
      </c>
      <c r="EV58" s="181">
        <f>IFERROR(VLOOKUP(I58,CEI_062018!$A$1:$U$489,9,FALSE),0)</f>
        <v>0</v>
      </c>
      <c r="EW58" s="181">
        <f>IFERROR(VLOOKUP(I58,CEI_072018!$A$1:$U$489,9,FALSE),0)</f>
        <v>0</v>
      </c>
      <c r="EX58" s="181">
        <f>IFERROR(VLOOKUP(I58,CEI_082018!$A$1:$U$489,9,FALSE),0)</f>
        <v>0</v>
      </c>
      <c r="EY58" s="181">
        <f>IFERROR(VLOOKUP(I58,CEI_092018!$A$1:$U$489,9,FALSE),0)</f>
        <v>0</v>
      </c>
      <c r="EZ58" s="181"/>
      <c r="FA58" s="181"/>
      <c r="FB58" s="181"/>
      <c r="FC58" s="181">
        <f>IFERROR(VLOOKUP(I58,CEI_092018!$A$1:$U$489,12,FALSE),0)</f>
        <v>0</v>
      </c>
      <c r="FD58" s="181">
        <f t="shared" si="34"/>
        <v>0</v>
      </c>
      <c r="FE58" s="181">
        <f t="shared" si="35"/>
        <v>0</v>
      </c>
      <c r="FF58"/>
      <c r="FG58"/>
      <c r="FH58"/>
      <c r="FI58"/>
      <c r="FJ58"/>
      <c r="FK58"/>
      <c r="FL58"/>
      <c r="FM58"/>
      <c r="FN58"/>
      <c r="FO58"/>
      <c r="FP58"/>
      <c r="FQ58"/>
      <c r="FR58"/>
      <c r="FS58"/>
      <c r="FT58"/>
      <c r="FU58"/>
      <c r="FV58"/>
      <c r="FW58"/>
      <c r="FX58"/>
      <c r="FY58"/>
      <c r="FZ58"/>
      <c r="GA58"/>
      <c r="GB58"/>
      <c r="GC58"/>
    </row>
    <row r="59" spans="1:185" ht="12.95" customHeight="1" x14ac:dyDescent="0.25">
      <c r="A59" s="202"/>
      <c r="B59" s="22" t="s">
        <v>63</v>
      </c>
      <c r="C59" s="34" t="s">
        <v>35</v>
      </c>
      <c r="D59" s="22" t="s">
        <v>68</v>
      </c>
      <c r="E59" s="25" t="s">
        <v>66</v>
      </c>
      <c r="F59" s="25" t="s">
        <v>68</v>
      </c>
      <c r="G59" s="25" t="s">
        <v>66</v>
      </c>
      <c r="H59" s="22" t="s">
        <v>65</v>
      </c>
      <c r="I59" s="423" t="s">
        <v>565</v>
      </c>
      <c r="J59" s="37"/>
      <c r="K59" s="23" t="s">
        <v>877</v>
      </c>
      <c r="L59" s="23" t="s">
        <v>878</v>
      </c>
      <c r="M59" s="23" t="s">
        <v>573</v>
      </c>
      <c r="N59" s="23"/>
      <c r="O59" s="2"/>
      <c r="P59" s="2"/>
      <c r="Q59" s="2"/>
      <c r="R59" s="2"/>
      <c r="S59" s="2"/>
      <c r="T59" s="116">
        <f t="shared" si="0"/>
        <v>0</v>
      </c>
      <c r="U59" s="324"/>
      <c r="V59" s="324"/>
      <c r="W59" s="324">
        <v>268.53983000000017</v>
      </c>
      <c r="X59" s="324"/>
      <c r="Y59" s="324"/>
      <c r="Z59" s="324"/>
      <c r="AA59" s="324"/>
      <c r="AB59" s="324"/>
      <c r="AC59" s="324"/>
      <c r="AD59" s="324"/>
      <c r="AE59" s="324"/>
      <c r="AF59" s="324"/>
      <c r="AG59" s="140">
        <f t="shared" si="1"/>
        <v>268.53983000000017</v>
      </c>
      <c r="AH59" s="324"/>
      <c r="AI59" s="324"/>
      <c r="AJ59" s="324">
        <v>131.46016999999981</v>
      </c>
      <c r="AK59" s="324"/>
      <c r="AL59" s="324"/>
      <c r="AM59" s="324"/>
      <c r="AN59" s="324"/>
      <c r="AO59" s="324"/>
      <c r="AP59" s="324"/>
      <c r="AQ59" s="324"/>
      <c r="AR59" s="324"/>
      <c r="AS59" s="324"/>
      <c r="AT59" s="140">
        <f t="shared" si="2"/>
        <v>131.46016999999981</v>
      </c>
      <c r="AU59" s="324"/>
      <c r="AV59" s="324"/>
      <c r="AW59" s="324"/>
      <c r="AX59" s="324"/>
      <c r="AY59" s="324">
        <v>400</v>
      </c>
      <c r="AZ59" s="324"/>
      <c r="BA59" s="324"/>
      <c r="BB59" s="324"/>
      <c r="BC59" s="324"/>
      <c r="BD59" s="324"/>
      <c r="BE59" s="324"/>
      <c r="BF59" s="324"/>
      <c r="BG59" s="140">
        <f t="shared" si="3"/>
        <v>400</v>
      </c>
      <c r="BH59" s="324"/>
      <c r="BI59" s="324"/>
      <c r="BJ59" s="324"/>
      <c r="BK59" s="324"/>
      <c r="BL59" s="324"/>
      <c r="BM59" s="324"/>
      <c r="BN59" s="324"/>
      <c r="BO59" s="324"/>
      <c r="BP59" s="324"/>
      <c r="BQ59" s="324"/>
      <c r="BR59" s="324"/>
      <c r="BS59" s="324"/>
      <c r="BT59" s="140">
        <f t="shared" si="4"/>
        <v>0</v>
      </c>
      <c r="BU59" s="114">
        <f t="shared" si="5"/>
        <v>800</v>
      </c>
      <c r="BV59" s="432"/>
      <c r="BW59" s="432"/>
      <c r="BX59" s="432"/>
      <c r="BY59" s="432"/>
      <c r="BZ59" s="433"/>
      <c r="CA59" s="434"/>
      <c r="CB59" s="7" t="s">
        <v>72</v>
      </c>
      <c r="CC59" s="83">
        <v>0</v>
      </c>
      <c r="CD59" s="83">
        <v>0</v>
      </c>
      <c r="CE59" s="83">
        <v>0</v>
      </c>
      <c r="CF59" s="83">
        <v>0</v>
      </c>
      <c r="CG59" s="83">
        <v>0</v>
      </c>
      <c r="CH59" s="83">
        <v>0</v>
      </c>
      <c r="CI59" s="83">
        <v>0</v>
      </c>
      <c r="CJ59" s="83">
        <v>0</v>
      </c>
      <c r="CK59" s="83">
        <v>0</v>
      </c>
      <c r="CL59" s="83">
        <v>0</v>
      </c>
      <c r="CM59" s="83">
        <v>0</v>
      </c>
      <c r="CN59" s="83">
        <v>0</v>
      </c>
      <c r="CO59" s="4">
        <f t="shared" ref="CO59:CO81" si="36">SUM(CC59:CN59)</f>
        <v>0</v>
      </c>
      <c r="CP59" s="83">
        <v>0</v>
      </c>
      <c r="CQ59" s="83">
        <v>0</v>
      </c>
      <c r="CR59" s="83">
        <v>0.67380926518687023</v>
      </c>
      <c r="CS59" s="83">
        <v>0</v>
      </c>
      <c r="CT59" s="83">
        <v>0</v>
      </c>
      <c r="CU59" s="83">
        <v>0</v>
      </c>
      <c r="CV59" s="83">
        <v>0</v>
      </c>
      <c r="CW59" s="83">
        <v>0</v>
      </c>
      <c r="CX59" s="83">
        <v>0</v>
      </c>
      <c r="CY59" s="83">
        <v>0</v>
      </c>
      <c r="CZ59" s="83">
        <v>0</v>
      </c>
      <c r="DA59" s="83">
        <v>0</v>
      </c>
      <c r="DB59" s="4">
        <f t="shared" ref="DB59:DB81" si="37">SUM(CP59:DA59)</f>
        <v>0.67380926518687023</v>
      </c>
      <c r="DC59" s="83">
        <v>0</v>
      </c>
      <c r="DD59" s="83">
        <v>0</v>
      </c>
      <c r="DE59" s="83">
        <v>0.68661889310972513</v>
      </c>
      <c r="DF59" s="83">
        <v>0</v>
      </c>
      <c r="DG59" s="83">
        <v>0</v>
      </c>
      <c r="DH59" s="83">
        <v>0</v>
      </c>
      <c r="DI59" s="83">
        <v>0</v>
      </c>
      <c r="DJ59" s="83">
        <v>0</v>
      </c>
      <c r="DK59" s="83">
        <v>0</v>
      </c>
      <c r="DL59" s="83">
        <v>0</v>
      </c>
      <c r="DM59" s="83">
        <v>0</v>
      </c>
      <c r="DN59" s="83">
        <v>0</v>
      </c>
      <c r="DO59" s="4">
        <f t="shared" ref="DO59:DO81" si="38">SUM(DC59:DN59)</f>
        <v>0.68661889310972513</v>
      </c>
      <c r="DP59" s="83">
        <v>0</v>
      </c>
      <c r="DQ59" s="83">
        <v>0</v>
      </c>
      <c r="DR59" s="83">
        <v>0</v>
      </c>
      <c r="DS59" s="83">
        <v>0</v>
      </c>
      <c r="DT59" s="83">
        <v>0.37209302325581395</v>
      </c>
      <c r="DU59" s="83">
        <v>0</v>
      </c>
      <c r="DV59" s="83">
        <v>0</v>
      </c>
      <c r="DW59" s="83">
        <v>0</v>
      </c>
      <c r="DX59" s="83">
        <v>0</v>
      </c>
      <c r="DY59" s="83">
        <v>0</v>
      </c>
      <c r="DZ59" s="83">
        <v>0</v>
      </c>
      <c r="EA59" s="83">
        <v>0</v>
      </c>
      <c r="EB59" s="4">
        <f t="shared" ref="EB59:EB81" si="39">SUM(DP59:EA59)</f>
        <v>0.37209302325581395</v>
      </c>
      <c r="EC59" s="83">
        <v>0</v>
      </c>
      <c r="ED59" s="83">
        <v>0</v>
      </c>
      <c r="EE59" s="83">
        <v>0</v>
      </c>
      <c r="EF59" s="83">
        <v>0</v>
      </c>
      <c r="EG59" s="83">
        <v>0</v>
      </c>
      <c r="EH59" s="83">
        <v>0</v>
      </c>
      <c r="EI59" s="83">
        <v>0</v>
      </c>
      <c r="EJ59" s="83">
        <v>0</v>
      </c>
      <c r="EK59" s="83">
        <v>0</v>
      </c>
      <c r="EL59" s="83">
        <v>0</v>
      </c>
      <c r="EM59" s="83">
        <v>0</v>
      </c>
      <c r="EN59" s="83">
        <v>0</v>
      </c>
      <c r="EO59" s="4">
        <f t="shared" ref="EO59:EO81" si="40">SUM(EC59:EN59)</f>
        <v>0</v>
      </c>
      <c r="EP59" s="8">
        <f t="shared" ref="EP59:EP81" si="41">SUM(EO59,EB59,DO59,DB59,CO59)</f>
        <v>1.7325211815524093</v>
      </c>
      <c r="EQ59" s="181">
        <f>IFERROR(VLOOKUP(I59,CEI_012018!$A$1:$U$509,9,FALSE),0)</f>
        <v>0</v>
      </c>
      <c r="ER59" s="181">
        <f>IFERROR(VLOOKUP(I59,CEI_022018!$A$1:$U$509,9,FALSE),0)</f>
        <v>0</v>
      </c>
      <c r="ES59" s="181">
        <f>IFERROR(VLOOKUP(I59,CEI_032018!$A$1:$U$509,9,FALSE),0)</f>
        <v>0</v>
      </c>
      <c r="ET59" s="181">
        <f>IFERROR(VLOOKUP(I59,CEI_042018!$A$1:$U$491,9,FALSE),0)</f>
        <v>0</v>
      </c>
      <c r="EU59" s="181">
        <f>IFERROR(VLOOKUP(I59,CEI_052018!$A$1:$U$489,9,FALSE),0)</f>
        <v>0</v>
      </c>
      <c r="EV59" s="181">
        <f>IFERROR(VLOOKUP(I59,CEI_062018!$A$1:$U$489,9,FALSE),0)</f>
        <v>0</v>
      </c>
      <c r="EW59" s="181">
        <f>IFERROR(VLOOKUP(I59,CEI_072018!$A$1:$U$489,9,FALSE),0)</f>
        <v>0</v>
      </c>
      <c r="EX59" s="181">
        <f>IFERROR(VLOOKUP(I59,CEI_082018!$A$1:$U$489,9,FALSE),0)</f>
        <v>0</v>
      </c>
      <c r="EY59" s="181">
        <f>IFERROR(VLOOKUP(I59,CEI_092018!$A$1:$U$489,9,FALSE),0)</f>
        <v>0</v>
      </c>
      <c r="EZ59" s="181"/>
      <c r="FA59" s="181"/>
      <c r="FB59" s="181"/>
      <c r="FC59" s="181">
        <f>IFERROR(VLOOKUP(I59,CEI_092018!$A$1:$U$489,12,FALSE),0)</f>
        <v>0</v>
      </c>
      <c r="FD59" s="181">
        <f t="shared" si="34"/>
        <v>0</v>
      </c>
      <c r="FE59" s="181">
        <f t="shared" si="35"/>
        <v>0</v>
      </c>
      <c r="FF59"/>
      <c r="FG59"/>
      <c r="FH59"/>
      <c r="FI59"/>
      <c r="FJ59"/>
      <c r="FK59"/>
      <c r="FL59"/>
      <c r="FM59"/>
      <c r="FN59"/>
      <c r="FO59"/>
      <c r="FP59"/>
      <c r="FQ59"/>
      <c r="FR59"/>
      <c r="FS59"/>
      <c r="FT59"/>
      <c r="FU59"/>
      <c r="FV59"/>
      <c r="FW59"/>
      <c r="FX59"/>
      <c r="FY59"/>
      <c r="FZ59"/>
      <c r="GA59"/>
      <c r="GB59"/>
      <c r="GC59"/>
    </row>
    <row r="60" spans="1:185" ht="12.95" customHeight="1" x14ac:dyDescent="0.25">
      <c r="A60" s="202"/>
      <c r="B60" s="22" t="s">
        <v>63</v>
      </c>
      <c r="C60" s="34" t="s">
        <v>35</v>
      </c>
      <c r="D60" s="22" t="s">
        <v>58</v>
      </c>
      <c r="E60" s="25" t="s">
        <v>292</v>
      </c>
      <c r="F60" s="25" t="s">
        <v>58</v>
      </c>
      <c r="G60" s="25" t="s">
        <v>292</v>
      </c>
      <c r="H60" s="22" t="s">
        <v>56</v>
      </c>
      <c r="I60" s="423" t="s">
        <v>2021</v>
      </c>
      <c r="J60" s="37"/>
      <c r="K60" s="23" t="s">
        <v>995</v>
      </c>
      <c r="L60" s="23" t="s">
        <v>994</v>
      </c>
      <c r="M60" s="23" t="s">
        <v>471</v>
      </c>
      <c r="N60" s="23"/>
      <c r="O60" s="2"/>
      <c r="P60" s="2"/>
      <c r="Q60" s="2"/>
      <c r="R60" s="2"/>
      <c r="S60" s="2"/>
      <c r="T60" s="116">
        <f t="shared" si="0"/>
        <v>0</v>
      </c>
      <c r="U60" s="324"/>
      <c r="V60" s="324"/>
      <c r="W60" s="324"/>
      <c r="X60" s="324"/>
      <c r="Y60" s="324"/>
      <c r="Z60" s="324"/>
      <c r="AA60" s="324"/>
      <c r="AB60" s="324">
        <v>320</v>
      </c>
      <c r="AC60" s="324"/>
      <c r="AD60" s="324"/>
      <c r="AE60" s="324"/>
      <c r="AF60" s="324"/>
      <c r="AG60" s="140">
        <f t="shared" si="1"/>
        <v>320</v>
      </c>
      <c r="AH60" s="324"/>
      <c r="AI60" s="324"/>
      <c r="AJ60" s="324"/>
      <c r="AK60" s="324"/>
      <c r="AL60" s="324"/>
      <c r="AM60" s="324"/>
      <c r="AN60" s="324"/>
      <c r="AO60" s="324"/>
      <c r="AP60" s="324"/>
      <c r="AQ60" s="324"/>
      <c r="AR60" s="324"/>
      <c r="AS60" s="324"/>
      <c r="AT60" s="140">
        <f t="shared" si="2"/>
        <v>0</v>
      </c>
      <c r="AU60" s="324"/>
      <c r="AV60" s="324"/>
      <c r="AW60" s="324"/>
      <c r="AX60" s="324"/>
      <c r="AY60" s="324"/>
      <c r="AZ60" s="324"/>
      <c r="BA60" s="324"/>
      <c r="BB60" s="324"/>
      <c r="BC60" s="324"/>
      <c r="BD60" s="324"/>
      <c r="BE60" s="324"/>
      <c r="BF60" s="324"/>
      <c r="BG60" s="140">
        <f t="shared" si="3"/>
        <v>0</v>
      </c>
      <c r="BH60" s="324"/>
      <c r="BI60" s="324"/>
      <c r="BJ60" s="324"/>
      <c r="BK60" s="324"/>
      <c r="BL60" s="324"/>
      <c r="BM60" s="324"/>
      <c r="BN60" s="324"/>
      <c r="BO60" s="324"/>
      <c r="BP60" s="324"/>
      <c r="BQ60" s="324"/>
      <c r="BR60" s="324"/>
      <c r="BS60" s="324"/>
      <c r="BT60" s="140">
        <f t="shared" si="4"/>
        <v>0</v>
      </c>
      <c r="BU60" s="114">
        <f t="shared" si="5"/>
        <v>320</v>
      </c>
      <c r="BV60" s="432"/>
      <c r="BW60" s="432"/>
      <c r="BX60" s="432"/>
      <c r="BY60" s="432"/>
      <c r="BZ60" s="436">
        <f>IFERROR((EX60/T60%),0)</f>
        <v>0</v>
      </c>
      <c r="CA60" s="434"/>
      <c r="CB60" s="7" t="s">
        <v>72</v>
      </c>
      <c r="CC60" s="83">
        <v>0</v>
      </c>
      <c r="CD60" s="83">
        <v>0</v>
      </c>
      <c r="CE60" s="83">
        <v>0</v>
      </c>
      <c r="CF60" s="83">
        <v>0</v>
      </c>
      <c r="CG60" s="83">
        <v>0</v>
      </c>
      <c r="CH60" s="83">
        <v>0</v>
      </c>
      <c r="CI60" s="83">
        <v>0</v>
      </c>
      <c r="CJ60" s="83">
        <v>0</v>
      </c>
      <c r="CK60" s="83">
        <v>0</v>
      </c>
      <c r="CL60" s="83">
        <v>0</v>
      </c>
      <c r="CM60" s="83">
        <v>0</v>
      </c>
      <c r="CN60" s="83">
        <v>0</v>
      </c>
      <c r="CO60" s="4">
        <f t="shared" si="36"/>
        <v>0</v>
      </c>
      <c r="CP60" s="3"/>
      <c r="CQ60" s="3"/>
      <c r="CR60" s="3"/>
      <c r="CS60" s="3"/>
      <c r="CT60" s="3"/>
      <c r="CU60" s="3"/>
      <c r="CV60" s="3"/>
      <c r="CW60" s="3"/>
      <c r="CX60" s="3"/>
      <c r="CY60" s="3"/>
      <c r="CZ60" s="3"/>
      <c r="DA60" s="3"/>
      <c r="DB60" s="4">
        <f t="shared" si="37"/>
        <v>0</v>
      </c>
      <c r="DC60" s="83">
        <v>0</v>
      </c>
      <c r="DD60" s="83">
        <v>0</v>
      </c>
      <c r="DE60" s="83">
        <v>0</v>
      </c>
      <c r="DF60" s="83">
        <v>0</v>
      </c>
      <c r="DG60" s="83">
        <v>0</v>
      </c>
      <c r="DH60" s="83">
        <v>0</v>
      </c>
      <c r="DI60" s="83">
        <v>0</v>
      </c>
      <c r="DJ60" s="83">
        <v>0</v>
      </c>
      <c r="DK60" s="83">
        <v>0</v>
      </c>
      <c r="DL60" s="83">
        <v>0</v>
      </c>
      <c r="DM60" s="83">
        <v>0</v>
      </c>
      <c r="DN60" s="83">
        <v>0</v>
      </c>
      <c r="DO60" s="4">
        <f t="shared" si="38"/>
        <v>0</v>
      </c>
      <c r="DP60" s="83">
        <v>0</v>
      </c>
      <c r="DQ60" s="83">
        <v>0</v>
      </c>
      <c r="DR60" s="83">
        <v>0</v>
      </c>
      <c r="DS60" s="83">
        <v>0</v>
      </c>
      <c r="DT60" s="83">
        <v>0</v>
      </c>
      <c r="DU60" s="83">
        <v>0</v>
      </c>
      <c r="DV60" s="83">
        <v>0</v>
      </c>
      <c r="DW60" s="83">
        <v>0</v>
      </c>
      <c r="DX60" s="83">
        <v>0</v>
      </c>
      <c r="DY60" s="83">
        <v>0.29767441860465116</v>
      </c>
      <c r="DZ60" s="83">
        <v>0</v>
      </c>
      <c r="EA60" s="83">
        <v>0</v>
      </c>
      <c r="EB60" s="4">
        <f t="shared" si="39"/>
        <v>0.29767441860465116</v>
      </c>
      <c r="EC60" s="83">
        <v>0</v>
      </c>
      <c r="ED60" s="83">
        <v>0</v>
      </c>
      <c r="EE60" s="83">
        <v>0</v>
      </c>
      <c r="EF60" s="83">
        <v>0</v>
      </c>
      <c r="EG60" s="83">
        <v>0</v>
      </c>
      <c r="EH60" s="83">
        <v>0</v>
      </c>
      <c r="EI60" s="83">
        <v>0</v>
      </c>
      <c r="EJ60" s="83">
        <v>0</v>
      </c>
      <c r="EK60" s="83">
        <v>0</v>
      </c>
      <c r="EL60" s="83">
        <v>0</v>
      </c>
      <c r="EM60" s="83">
        <v>0</v>
      </c>
      <c r="EN60" s="83">
        <v>0</v>
      </c>
      <c r="EO60" s="4">
        <f t="shared" si="40"/>
        <v>0</v>
      </c>
      <c r="EP60" s="8">
        <f t="shared" si="41"/>
        <v>0.29767441860465116</v>
      </c>
      <c r="EQ60" s="181">
        <f>IFERROR(VLOOKUP(I60,CEI_012018!$A$1:$U$509,9,FALSE),0)</f>
        <v>0</v>
      </c>
      <c r="ER60" s="181">
        <f>IFERROR(VLOOKUP(I60,CEI_022018!$A$1:$U$509,9,FALSE),0)</f>
        <v>0</v>
      </c>
      <c r="ES60" s="181">
        <f>IFERROR(VLOOKUP(I60,CEI_032018!$A$1:$U$509,9,FALSE),0)</f>
        <v>0</v>
      </c>
      <c r="ET60" s="181">
        <f>IFERROR(VLOOKUP(I60,CEI_042018!$A$1:$U$491,9,FALSE),0)</f>
        <v>0</v>
      </c>
      <c r="EU60" s="181">
        <f>IFERROR(VLOOKUP(I60,CEI_052018!$A$1:$U$489,9,FALSE),0)</f>
        <v>0</v>
      </c>
      <c r="EV60" s="181">
        <f>IFERROR(VLOOKUP(I60,CEI_062018!$A$1:$U$489,9,FALSE),0)</f>
        <v>0</v>
      </c>
      <c r="EW60" s="181">
        <f>IFERROR(VLOOKUP(I60,CEI_072018!$A$1:$U$489,9,FALSE),0)</f>
        <v>0</v>
      </c>
      <c r="EX60" s="181">
        <f>IFERROR(VLOOKUP(I60,CEI_082018!$A$1:$U$489,9,FALSE),0)</f>
        <v>0</v>
      </c>
      <c r="EY60" s="181">
        <f>IFERROR(VLOOKUP(I60,CEI_092018!$A$1:$U$489,9,FALSE),0)</f>
        <v>0</v>
      </c>
      <c r="EZ60" s="181"/>
      <c r="FA60" s="181"/>
      <c r="FB60" s="181"/>
      <c r="FC60" s="181">
        <f>IFERROR(VLOOKUP(I60,CEI_092018!$A$1:$U$489,12,FALSE),0)</f>
        <v>0</v>
      </c>
      <c r="FD60" s="181">
        <f t="shared" si="34"/>
        <v>0</v>
      </c>
      <c r="FE60" s="181">
        <f t="shared" si="35"/>
        <v>0</v>
      </c>
      <c r="FF60"/>
      <c r="FG60"/>
      <c r="FH60"/>
      <c r="FI60"/>
      <c r="FJ60"/>
      <c r="FK60"/>
      <c r="FL60"/>
      <c r="FM60"/>
      <c r="FN60"/>
      <c r="FO60"/>
      <c r="FP60"/>
      <c r="FQ60"/>
      <c r="FR60"/>
      <c r="FS60"/>
      <c r="FT60"/>
      <c r="FU60"/>
      <c r="FV60"/>
      <c r="FW60"/>
      <c r="FX60"/>
      <c r="FY60"/>
      <c r="FZ60"/>
      <c r="GA60"/>
      <c r="GB60"/>
      <c r="GC60"/>
    </row>
    <row r="61" spans="1:185" ht="12.95" customHeight="1" x14ac:dyDescent="0.25">
      <c r="A61" s="202"/>
      <c r="B61" s="22" t="s">
        <v>63</v>
      </c>
      <c r="C61" s="34" t="s">
        <v>35</v>
      </c>
      <c r="D61" s="22" t="s">
        <v>58</v>
      </c>
      <c r="E61" s="25" t="s">
        <v>292</v>
      </c>
      <c r="F61" s="25" t="s">
        <v>58</v>
      </c>
      <c r="G61" s="25" t="s">
        <v>292</v>
      </c>
      <c r="H61" s="22" t="s">
        <v>56</v>
      </c>
      <c r="I61" s="423" t="s">
        <v>565</v>
      </c>
      <c r="J61" s="37"/>
      <c r="K61" s="23" t="s">
        <v>465</v>
      </c>
      <c r="L61" s="23" t="s">
        <v>466</v>
      </c>
      <c r="M61" s="23" t="s">
        <v>467</v>
      </c>
      <c r="N61" s="23"/>
      <c r="O61" s="2"/>
      <c r="P61" s="2"/>
      <c r="Q61" s="2"/>
      <c r="R61" s="2"/>
      <c r="S61" s="2"/>
      <c r="T61" s="116">
        <f t="shared" si="0"/>
        <v>0</v>
      </c>
      <c r="U61" s="324"/>
      <c r="V61" s="324"/>
      <c r="W61" s="324"/>
      <c r="X61" s="324"/>
      <c r="Y61" s="324"/>
      <c r="Z61" s="324"/>
      <c r="AA61" s="324"/>
      <c r="AB61" s="324"/>
      <c r="AC61" s="324"/>
      <c r="AD61" s="324"/>
      <c r="AE61" s="324"/>
      <c r="AF61" s="324"/>
      <c r="AG61" s="140">
        <f t="shared" si="1"/>
        <v>0</v>
      </c>
      <c r="AH61" s="324"/>
      <c r="AI61" s="324"/>
      <c r="AJ61" s="324"/>
      <c r="AK61" s="324"/>
      <c r="AL61" s="324"/>
      <c r="AM61" s="324"/>
      <c r="AN61" s="324"/>
      <c r="AO61" s="324"/>
      <c r="AP61" s="324"/>
      <c r="AQ61" s="324"/>
      <c r="AR61" s="324"/>
      <c r="AS61" s="324"/>
      <c r="AT61" s="140">
        <f t="shared" si="2"/>
        <v>0</v>
      </c>
      <c r="AU61" s="324"/>
      <c r="AV61" s="324"/>
      <c r="AW61" s="324"/>
      <c r="AX61" s="324">
        <v>5</v>
      </c>
      <c r="AY61" s="324">
        <v>14</v>
      </c>
      <c r="AZ61" s="324">
        <v>65</v>
      </c>
      <c r="BA61" s="324">
        <v>75</v>
      </c>
      <c r="BB61" s="324">
        <v>87</v>
      </c>
      <c r="BC61" s="324">
        <v>49</v>
      </c>
      <c r="BD61" s="324"/>
      <c r="BE61" s="324"/>
      <c r="BF61" s="324"/>
      <c r="BG61" s="140">
        <f t="shared" si="3"/>
        <v>295</v>
      </c>
      <c r="BH61" s="324"/>
      <c r="BI61" s="324"/>
      <c r="BJ61" s="324"/>
      <c r="BK61" s="324"/>
      <c r="BL61" s="324"/>
      <c r="BM61" s="324"/>
      <c r="BN61" s="324"/>
      <c r="BO61" s="324"/>
      <c r="BP61" s="324"/>
      <c r="BQ61" s="324"/>
      <c r="BR61" s="324"/>
      <c r="BS61" s="324"/>
      <c r="BT61" s="140">
        <f t="shared" si="4"/>
        <v>0</v>
      </c>
      <c r="BU61" s="114">
        <f t="shared" si="5"/>
        <v>295</v>
      </c>
      <c r="BV61" s="432"/>
      <c r="BW61" s="432"/>
      <c r="BX61" s="432"/>
      <c r="BY61" s="432"/>
      <c r="BZ61" s="433"/>
      <c r="CA61" s="434"/>
      <c r="CB61" s="7" t="s">
        <v>72</v>
      </c>
      <c r="CC61" s="83">
        <v>0</v>
      </c>
      <c r="CD61" s="83">
        <v>0</v>
      </c>
      <c r="CE61" s="83">
        <v>0</v>
      </c>
      <c r="CF61" s="83">
        <v>0</v>
      </c>
      <c r="CG61" s="83">
        <v>0</v>
      </c>
      <c r="CH61" s="83">
        <v>0</v>
      </c>
      <c r="CI61" s="83">
        <v>0</v>
      </c>
      <c r="CJ61" s="83">
        <v>0</v>
      </c>
      <c r="CK61" s="83">
        <v>0</v>
      </c>
      <c r="CL61" s="83">
        <v>0</v>
      </c>
      <c r="CM61" s="83">
        <v>0</v>
      </c>
      <c r="CN61" s="83">
        <v>0</v>
      </c>
      <c r="CO61" s="4">
        <f t="shared" si="36"/>
        <v>0</v>
      </c>
      <c r="CP61" s="83">
        <v>0</v>
      </c>
      <c r="CQ61" s="83">
        <v>0</v>
      </c>
      <c r="CR61" s="83">
        <v>0</v>
      </c>
      <c r="CS61" s="83">
        <v>0</v>
      </c>
      <c r="CT61" s="83">
        <v>0</v>
      </c>
      <c r="CU61" s="83">
        <v>0</v>
      </c>
      <c r="CV61" s="83">
        <v>0</v>
      </c>
      <c r="CW61" s="83">
        <v>0</v>
      </c>
      <c r="CX61" s="83">
        <v>0</v>
      </c>
      <c r="CY61" s="83">
        <v>0</v>
      </c>
      <c r="CZ61" s="83">
        <v>0</v>
      </c>
      <c r="DA61" s="83">
        <v>0</v>
      </c>
      <c r="DB61" s="4">
        <f t="shared" si="37"/>
        <v>0</v>
      </c>
      <c r="DC61" s="83">
        <v>0</v>
      </c>
      <c r="DD61" s="83">
        <v>0</v>
      </c>
      <c r="DE61" s="83">
        <v>0</v>
      </c>
      <c r="DF61" s="83">
        <v>0</v>
      </c>
      <c r="DG61" s="83">
        <v>0</v>
      </c>
      <c r="DH61" s="83">
        <v>0</v>
      </c>
      <c r="DI61" s="83">
        <v>0</v>
      </c>
      <c r="DJ61" s="83">
        <v>0</v>
      </c>
      <c r="DK61" s="83">
        <v>0</v>
      </c>
      <c r="DL61" s="83">
        <v>0</v>
      </c>
      <c r="DM61" s="83">
        <v>0</v>
      </c>
      <c r="DN61" s="83">
        <v>0</v>
      </c>
      <c r="DO61" s="4">
        <f t="shared" si="38"/>
        <v>0</v>
      </c>
      <c r="DP61" s="83">
        <v>0</v>
      </c>
      <c r="DQ61" s="83">
        <v>0</v>
      </c>
      <c r="DR61" s="83">
        <v>0</v>
      </c>
      <c r="DS61" s="83">
        <v>4.6511627906976744E-3</v>
      </c>
      <c r="DT61" s="83">
        <v>1.3023255813953489E-2</v>
      </c>
      <c r="DU61" s="83">
        <v>6.0465116279069767E-2</v>
      </c>
      <c r="DV61" s="83">
        <v>6.9767441860465115E-2</v>
      </c>
      <c r="DW61" s="83">
        <v>8.0930232558139539E-2</v>
      </c>
      <c r="DX61" s="83">
        <v>4.5581395348837206E-2</v>
      </c>
      <c r="DY61" s="83">
        <v>0</v>
      </c>
      <c r="DZ61" s="83">
        <v>0</v>
      </c>
      <c r="EA61" s="83">
        <v>0</v>
      </c>
      <c r="EB61" s="4">
        <f t="shared" si="39"/>
        <v>0.2744186046511628</v>
      </c>
      <c r="EC61" s="83">
        <v>0</v>
      </c>
      <c r="ED61" s="83">
        <v>0</v>
      </c>
      <c r="EE61" s="83">
        <v>0</v>
      </c>
      <c r="EF61" s="83">
        <v>0</v>
      </c>
      <c r="EG61" s="83">
        <v>0</v>
      </c>
      <c r="EH61" s="83">
        <v>0</v>
      </c>
      <c r="EI61" s="83">
        <v>0</v>
      </c>
      <c r="EJ61" s="83">
        <v>0</v>
      </c>
      <c r="EK61" s="83">
        <v>0</v>
      </c>
      <c r="EL61" s="83">
        <v>0</v>
      </c>
      <c r="EM61" s="83">
        <v>0</v>
      </c>
      <c r="EN61" s="83">
        <v>0</v>
      </c>
      <c r="EO61" s="4">
        <f t="shared" si="40"/>
        <v>0</v>
      </c>
      <c r="EP61" s="8">
        <f t="shared" si="41"/>
        <v>0.2744186046511628</v>
      </c>
      <c r="EQ61" s="181">
        <f>IFERROR(VLOOKUP(I61,CEI_012018!$A$1:$U$509,9,FALSE),0)</f>
        <v>0</v>
      </c>
      <c r="ER61" s="181">
        <f>IFERROR(VLOOKUP(I61,CEI_022018!$A$1:$U$509,9,FALSE),0)</f>
        <v>0</v>
      </c>
      <c r="ES61" s="181">
        <f>IFERROR(VLOOKUP(I61,CEI_032018!$A$1:$U$509,9,FALSE),0)</f>
        <v>0</v>
      </c>
      <c r="ET61" s="181">
        <f>IFERROR(VLOOKUP(I61,CEI_042018!$A$1:$U$491,9,FALSE),0)</f>
        <v>0</v>
      </c>
      <c r="EU61" s="181">
        <f>IFERROR(VLOOKUP(I61,CEI_052018!$A$1:$U$489,9,FALSE),0)</f>
        <v>0</v>
      </c>
      <c r="EV61" s="181">
        <f>IFERROR(VLOOKUP(I61,CEI_062018!$A$1:$U$489,9,FALSE),0)</f>
        <v>0</v>
      </c>
      <c r="EW61" s="181">
        <f>IFERROR(VLOOKUP(I61,CEI_072018!$A$1:$U$489,9,FALSE),0)</f>
        <v>0</v>
      </c>
      <c r="EX61" s="181">
        <f>IFERROR(VLOOKUP(I61,CEI_082018!$A$1:$U$489,9,FALSE),0)</f>
        <v>0</v>
      </c>
      <c r="EY61" s="181">
        <f>IFERROR(VLOOKUP(I61,CEI_092018!$A$1:$U$489,9,FALSE),0)</f>
        <v>0</v>
      </c>
      <c r="EZ61" s="181"/>
      <c r="FA61" s="181"/>
      <c r="FB61" s="181"/>
      <c r="FC61" s="181">
        <f>IFERROR(VLOOKUP(I61,CEI_092018!$A$1:$U$489,12,FALSE),0)</f>
        <v>0</v>
      </c>
      <c r="FD61" s="181">
        <f t="shared" si="34"/>
        <v>0</v>
      </c>
      <c r="FE61" s="181">
        <f t="shared" si="35"/>
        <v>0</v>
      </c>
      <c r="FF61"/>
      <c r="FG61"/>
      <c r="FH61"/>
      <c r="FI61"/>
      <c r="FJ61"/>
      <c r="FK61"/>
      <c r="FL61"/>
      <c r="FM61"/>
      <c r="FN61"/>
      <c r="FO61"/>
      <c r="FP61"/>
      <c r="FQ61"/>
      <c r="FR61"/>
      <c r="FS61"/>
      <c r="FT61"/>
      <c r="FU61"/>
      <c r="FV61"/>
      <c r="FW61"/>
      <c r="FX61"/>
      <c r="FY61"/>
      <c r="FZ61"/>
      <c r="GA61"/>
      <c r="GB61"/>
      <c r="GC61"/>
    </row>
    <row r="62" spans="1:185" ht="12.95" customHeight="1" x14ac:dyDescent="0.25">
      <c r="A62" s="202"/>
      <c r="B62" s="22" t="s">
        <v>63</v>
      </c>
      <c r="C62" s="34" t="s">
        <v>35</v>
      </c>
      <c r="D62" s="22" t="s">
        <v>628</v>
      </c>
      <c r="E62" s="25" t="s">
        <v>66</v>
      </c>
      <c r="F62" s="25" t="s">
        <v>628</v>
      </c>
      <c r="G62" s="25" t="s">
        <v>66</v>
      </c>
      <c r="H62" s="22" t="s">
        <v>65</v>
      </c>
      <c r="I62" s="423" t="s">
        <v>565</v>
      </c>
      <c r="J62" s="37"/>
      <c r="K62" s="23" t="s">
        <v>879</v>
      </c>
      <c r="L62" s="23" t="s">
        <v>880</v>
      </c>
      <c r="M62" s="23" t="s">
        <v>853</v>
      </c>
      <c r="N62" s="23"/>
      <c r="O62" s="2"/>
      <c r="P62" s="2"/>
      <c r="Q62" s="2"/>
      <c r="R62" s="2"/>
      <c r="S62" s="2"/>
      <c r="T62" s="116">
        <f t="shared" si="0"/>
        <v>0</v>
      </c>
      <c r="U62" s="324"/>
      <c r="V62" s="324"/>
      <c r="W62" s="324"/>
      <c r="X62" s="324"/>
      <c r="Y62" s="324"/>
      <c r="Z62" s="324"/>
      <c r="AA62" s="324">
        <v>60</v>
      </c>
      <c r="AB62" s="324"/>
      <c r="AC62" s="324"/>
      <c r="AD62" s="324"/>
      <c r="AE62" s="324"/>
      <c r="AF62" s="324"/>
      <c r="AG62" s="140">
        <f t="shared" si="1"/>
        <v>60</v>
      </c>
      <c r="AH62" s="324"/>
      <c r="AI62" s="324"/>
      <c r="AJ62" s="324">
        <v>60</v>
      </c>
      <c r="AK62" s="324"/>
      <c r="AL62" s="324"/>
      <c r="AM62" s="324"/>
      <c r="AN62" s="324"/>
      <c r="AO62" s="324"/>
      <c r="AP62" s="324"/>
      <c r="AQ62" s="324"/>
      <c r="AR62" s="324"/>
      <c r="AS62" s="324"/>
      <c r="AT62" s="140">
        <f t="shared" si="2"/>
        <v>60</v>
      </c>
      <c r="AU62" s="324"/>
      <c r="AV62" s="324"/>
      <c r="AW62" s="324"/>
      <c r="AX62" s="324"/>
      <c r="AY62" s="324"/>
      <c r="AZ62" s="324"/>
      <c r="BA62" s="324"/>
      <c r="BB62" s="324"/>
      <c r="BC62" s="324"/>
      <c r="BD62" s="324"/>
      <c r="BE62" s="324"/>
      <c r="BF62" s="324"/>
      <c r="BG62" s="140">
        <f t="shared" si="3"/>
        <v>0</v>
      </c>
      <c r="BH62" s="324"/>
      <c r="BI62" s="324"/>
      <c r="BJ62" s="324"/>
      <c r="BK62" s="324"/>
      <c r="BL62" s="324"/>
      <c r="BM62" s="324"/>
      <c r="BN62" s="324"/>
      <c r="BO62" s="324"/>
      <c r="BP62" s="324"/>
      <c r="BQ62" s="324"/>
      <c r="BR62" s="324"/>
      <c r="BS62" s="324"/>
      <c r="BT62" s="140">
        <f t="shared" si="4"/>
        <v>0</v>
      </c>
      <c r="BU62" s="114">
        <f t="shared" si="5"/>
        <v>120</v>
      </c>
      <c r="BV62" s="432"/>
      <c r="BW62" s="432"/>
      <c r="BX62" s="432"/>
      <c r="BY62" s="432"/>
      <c r="BZ62" s="433"/>
      <c r="CA62" s="434"/>
      <c r="CB62" s="7" t="s">
        <v>72</v>
      </c>
      <c r="CC62" s="83">
        <v>0</v>
      </c>
      <c r="CD62" s="83">
        <v>0</v>
      </c>
      <c r="CE62" s="83">
        <v>0</v>
      </c>
      <c r="CF62" s="83">
        <v>0</v>
      </c>
      <c r="CG62" s="83">
        <v>0</v>
      </c>
      <c r="CH62" s="83">
        <v>0</v>
      </c>
      <c r="CI62" s="83">
        <v>0</v>
      </c>
      <c r="CJ62" s="83">
        <v>0</v>
      </c>
      <c r="CK62" s="83">
        <v>0</v>
      </c>
      <c r="CL62" s="83">
        <v>0</v>
      </c>
      <c r="CM62" s="83">
        <v>0</v>
      </c>
      <c r="CN62" s="83">
        <v>0</v>
      </c>
      <c r="CO62" s="4">
        <f t="shared" si="36"/>
        <v>0</v>
      </c>
      <c r="CP62" s="83">
        <v>0</v>
      </c>
      <c r="CQ62" s="83">
        <v>0</v>
      </c>
      <c r="CR62" s="83">
        <v>0</v>
      </c>
      <c r="CS62" s="83">
        <v>0</v>
      </c>
      <c r="CT62" s="83">
        <v>0</v>
      </c>
      <c r="CU62" s="83">
        <v>0</v>
      </c>
      <c r="CV62" s="83">
        <v>0.1505495699137524</v>
      </c>
      <c r="CW62" s="83">
        <v>0</v>
      </c>
      <c r="CX62" s="83">
        <v>0</v>
      </c>
      <c r="CY62" s="83">
        <v>0</v>
      </c>
      <c r="CZ62" s="83">
        <v>0</v>
      </c>
      <c r="DA62" s="83">
        <v>0</v>
      </c>
      <c r="DB62" s="4">
        <f t="shared" si="37"/>
        <v>0.1505495699137524</v>
      </c>
      <c r="DC62" s="83">
        <v>0</v>
      </c>
      <c r="DD62" s="83">
        <v>0</v>
      </c>
      <c r="DE62" s="83">
        <v>0.31338110689027382</v>
      </c>
      <c r="DF62" s="83">
        <v>0</v>
      </c>
      <c r="DG62" s="83">
        <v>0</v>
      </c>
      <c r="DH62" s="83">
        <v>0</v>
      </c>
      <c r="DI62" s="83">
        <v>0</v>
      </c>
      <c r="DJ62" s="83">
        <v>0</v>
      </c>
      <c r="DK62" s="83">
        <v>0</v>
      </c>
      <c r="DL62" s="83">
        <v>0</v>
      </c>
      <c r="DM62" s="83">
        <v>0</v>
      </c>
      <c r="DN62" s="83">
        <v>0</v>
      </c>
      <c r="DO62" s="4">
        <f t="shared" si="38"/>
        <v>0.31338110689027382</v>
      </c>
      <c r="DP62" s="83">
        <v>0</v>
      </c>
      <c r="DQ62" s="83">
        <v>0</v>
      </c>
      <c r="DR62" s="83">
        <v>0</v>
      </c>
      <c r="DS62" s="83">
        <v>0</v>
      </c>
      <c r="DT62" s="83">
        <v>0</v>
      </c>
      <c r="DU62" s="83">
        <v>0</v>
      </c>
      <c r="DV62" s="83">
        <v>0</v>
      </c>
      <c r="DW62" s="83">
        <v>0</v>
      </c>
      <c r="DX62" s="83">
        <v>0</v>
      </c>
      <c r="DY62" s="83">
        <v>0</v>
      </c>
      <c r="DZ62" s="83">
        <v>0</v>
      </c>
      <c r="EA62" s="83">
        <v>0</v>
      </c>
      <c r="EB62" s="4">
        <f t="shared" si="39"/>
        <v>0</v>
      </c>
      <c r="EC62" s="83">
        <v>0</v>
      </c>
      <c r="ED62" s="83">
        <v>0</v>
      </c>
      <c r="EE62" s="83">
        <v>0</v>
      </c>
      <c r="EF62" s="83">
        <v>0</v>
      </c>
      <c r="EG62" s="83">
        <v>0</v>
      </c>
      <c r="EH62" s="83">
        <v>0</v>
      </c>
      <c r="EI62" s="83">
        <v>0</v>
      </c>
      <c r="EJ62" s="83">
        <v>0</v>
      </c>
      <c r="EK62" s="83">
        <v>0</v>
      </c>
      <c r="EL62" s="83">
        <v>0</v>
      </c>
      <c r="EM62" s="83">
        <v>0</v>
      </c>
      <c r="EN62" s="83">
        <v>0</v>
      </c>
      <c r="EO62" s="4">
        <f t="shared" si="40"/>
        <v>0</v>
      </c>
      <c r="EP62" s="8">
        <f t="shared" si="41"/>
        <v>0.46393067680402622</v>
      </c>
      <c r="EQ62" s="181">
        <f>IFERROR(VLOOKUP(I62,CEI_012018!$A$1:$U$509,9,FALSE),0)</f>
        <v>0</v>
      </c>
      <c r="ER62" s="181">
        <f>IFERROR(VLOOKUP(I62,CEI_022018!$A$1:$U$509,9,FALSE),0)</f>
        <v>0</v>
      </c>
      <c r="ES62" s="181">
        <f>IFERROR(VLOOKUP(I62,CEI_032018!$A$1:$U$509,9,FALSE),0)</f>
        <v>0</v>
      </c>
      <c r="ET62" s="181">
        <f>IFERROR(VLOOKUP(I62,CEI_042018!$A$1:$U$491,9,FALSE),0)</f>
        <v>0</v>
      </c>
      <c r="EU62" s="181">
        <f>IFERROR(VLOOKUP(I62,CEI_052018!$A$1:$U$489,9,FALSE),0)</f>
        <v>0</v>
      </c>
      <c r="EV62" s="181">
        <f>IFERROR(VLOOKUP(I62,CEI_062018!$A$1:$U$489,9,FALSE),0)</f>
        <v>0</v>
      </c>
      <c r="EW62" s="181">
        <f>IFERROR(VLOOKUP(I62,CEI_072018!$A$1:$U$489,9,FALSE),0)</f>
        <v>0</v>
      </c>
      <c r="EX62" s="181">
        <f>IFERROR(VLOOKUP(I62,CEI_082018!$A$1:$U$489,9,FALSE),0)</f>
        <v>0</v>
      </c>
      <c r="EY62" s="181">
        <f>IFERROR(VLOOKUP(I62,CEI_092018!$A$1:$U$489,9,FALSE),0)</f>
        <v>0</v>
      </c>
      <c r="EZ62" s="181"/>
      <c r="FA62" s="181"/>
      <c r="FB62" s="181"/>
      <c r="FC62" s="181">
        <f>IFERROR(VLOOKUP(I62,CEI_092018!$A$1:$U$489,12,FALSE),0)</f>
        <v>0</v>
      </c>
      <c r="FD62" s="181">
        <f t="shared" ref="FD62:FD81" si="42">EW62+FC62</f>
        <v>0</v>
      </c>
      <c r="FE62" s="181">
        <f t="shared" ref="FE62:FE81" si="43">SUM(T62-FD62)</f>
        <v>0</v>
      </c>
      <c r="FF62"/>
      <c r="FG62"/>
      <c r="FH62"/>
      <c r="FI62"/>
      <c r="FJ62"/>
      <c r="FK62"/>
      <c r="FL62"/>
      <c r="FM62"/>
      <c r="FN62"/>
      <c r="FO62"/>
      <c r="FP62"/>
      <c r="FQ62"/>
      <c r="FR62"/>
      <c r="FS62"/>
      <c r="FT62"/>
      <c r="FU62"/>
      <c r="FV62"/>
      <c r="FW62"/>
      <c r="FX62"/>
      <c r="FY62"/>
      <c r="FZ62"/>
      <c r="GA62"/>
      <c r="GB62"/>
      <c r="GC62"/>
    </row>
    <row r="63" spans="1:185" ht="12.95" customHeight="1" x14ac:dyDescent="0.25">
      <c r="A63" s="202"/>
      <c r="B63" s="22" t="s">
        <v>63</v>
      </c>
      <c r="C63" s="34" t="s">
        <v>35</v>
      </c>
      <c r="D63" s="22" t="s">
        <v>629</v>
      </c>
      <c r="E63" s="25" t="s">
        <v>66</v>
      </c>
      <c r="F63" s="25" t="s">
        <v>629</v>
      </c>
      <c r="G63" s="25" t="s">
        <v>66</v>
      </c>
      <c r="H63" s="22" t="s">
        <v>65</v>
      </c>
      <c r="I63" s="423" t="s">
        <v>565</v>
      </c>
      <c r="J63" s="37"/>
      <c r="K63" s="23" t="s">
        <v>69</v>
      </c>
      <c r="L63" s="23" t="s">
        <v>69</v>
      </c>
      <c r="M63" s="23" t="s">
        <v>597</v>
      </c>
      <c r="N63" s="23"/>
      <c r="O63" s="2"/>
      <c r="P63" s="2"/>
      <c r="Q63" s="2"/>
      <c r="R63" s="2"/>
      <c r="S63" s="2"/>
      <c r="T63" s="116">
        <f t="shared" si="0"/>
        <v>0</v>
      </c>
      <c r="U63" s="324"/>
      <c r="V63" s="324"/>
      <c r="W63" s="324"/>
      <c r="X63" s="324"/>
      <c r="Y63" s="324"/>
      <c r="Z63" s="324"/>
      <c r="AA63" s="324"/>
      <c r="AB63" s="324"/>
      <c r="AC63" s="324"/>
      <c r="AD63" s="324"/>
      <c r="AE63" s="324"/>
      <c r="AF63" s="324"/>
      <c r="AG63" s="140">
        <f t="shared" si="1"/>
        <v>0</v>
      </c>
      <c r="AH63" s="324"/>
      <c r="AI63" s="324"/>
      <c r="AJ63" s="324"/>
      <c r="AK63" s="324"/>
      <c r="AL63" s="324"/>
      <c r="AM63" s="324"/>
      <c r="AN63" s="324"/>
      <c r="AO63" s="324"/>
      <c r="AP63" s="324"/>
      <c r="AQ63" s="324"/>
      <c r="AR63" s="324"/>
      <c r="AS63" s="324"/>
      <c r="AT63" s="140">
        <f t="shared" si="2"/>
        <v>0</v>
      </c>
      <c r="AU63" s="324"/>
      <c r="AV63" s="324"/>
      <c r="AW63" s="324"/>
      <c r="AX63" s="324"/>
      <c r="AY63" s="324">
        <v>100</v>
      </c>
      <c r="AZ63" s="324"/>
      <c r="BA63" s="324"/>
      <c r="BB63" s="324"/>
      <c r="BC63" s="324"/>
      <c r="BD63" s="324"/>
      <c r="BE63" s="324"/>
      <c r="BF63" s="324"/>
      <c r="BG63" s="140">
        <f t="shared" si="3"/>
        <v>100</v>
      </c>
      <c r="BH63" s="324"/>
      <c r="BI63" s="324"/>
      <c r="BJ63" s="324"/>
      <c r="BK63" s="324"/>
      <c r="BL63" s="324"/>
      <c r="BM63" s="324"/>
      <c r="BN63" s="324"/>
      <c r="BO63" s="324"/>
      <c r="BP63" s="324"/>
      <c r="BQ63" s="324"/>
      <c r="BR63" s="324"/>
      <c r="BS63" s="324"/>
      <c r="BT63" s="140">
        <f t="shared" si="4"/>
        <v>0</v>
      </c>
      <c r="BU63" s="114">
        <f t="shared" si="5"/>
        <v>100</v>
      </c>
      <c r="BV63" s="432"/>
      <c r="BW63" s="432"/>
      <c r="BX63" s="432"/>
      <c r="BY63" s="432"/>
      <c r="BZ63" s="433"/>
      <c r="CA63" s="434"/>
      <c r="CB63" s="7" t="s">
        <v>73</v>
      </c>
      <c r="CC63" s="3">
        <v>0</v>
      </c>
      <c r="CD63" s="3"/>
      <c r="CE63" s="3"/>
      <c r="CF63" s="3"/>
      <c r="CG63" s="3"/>
      <c r="CH63" s="3"/>
      <c r="CI63" s="3"/>
      <c r="CJ63" s="3"/>
      <c r="CK63" s="3"/>
      <c r="CL63" s="3"/>
      <c r="CM63" s="3"/>
      <c r="CN63" s="3"/>
      <c r="CO63" s="4">
        <f t="shared" si="36"/>
        <v>0</v>
      </c>
      <c r="CP63" s="3"/>
      <c r="CQ63" s="3"/>
      <c r="CR63" s="3"/>
      <c r="CS63" s="3"/>
      <c r="CT63" s="3"/>
      <c r="CU63" s="3"/>
      <c r="CV63" s="3"/>
      <c r="CW63" s="3"/>
      <c r="CX63" s="3"/>
      <c r="CY63" s="3"/>
      <c r="CZ63" s="3"/>
      <c r="DA63" s="3"/>
      <c r="DB63" s="4">
        <f t="shared" si="37"/>
        <v>0</v>
      </c>
      <c r="DC63" s="3"/>
      <c r="DD63" s="3"/>
      <c r="DE63" s="3"/>
      <c r="DF63" s="3"/>
      <c r="DG63" s="3"/>
      <c r="DH63" s="3"/>
      <c r="DI63" s="3"/>
      <c r="DJ63" s="3"/>
      <c r="DK63" s="3"/>
      <c r="DL63" s="3"/>
      <c r="DM63" s="3"/>
      <c r="DN63" s="3"/>
      <c r="DO63" s="4">
        <f t="shared" si="38"/>
        <v>0</v>
      </c>
      <c r="DP63" s="3"/>
      <c r="DQ63" s="3"/>
      <c r="DR63" s="3"/>
      <c r="DS63" s="3"/>
      <c r="DT63" s="3">
        <v>17</v>
      </c>
      <c r="DU63" s="3"/>
      <c r="DV63" s="3"/>
      <c r="DW63" s="3"/>
      <c r="DX63" s="3"/>
      <c r="DY63" s="3"/>
      <c r="DZ63" s="3"/>
      <c r="EA63" s="3"/>
      <c r="EB63" s="4">
        <f t="shared" si="39"/>
        <v>17</v>
      </c>
      <c r="EC63" s="3"/>
      <c r="ED63" s="3"/>
      <c r="EE63" s="3"/>
      <c r="EF63" s="3"/>
      <c r="EG63" s="3"/>
      <c r="EH63" s="3"/>
      <c r="EI63" s="3"/>
      <c r="EJ63" s="3"/>
      <c r="EK63" s="3"/>
      <c r="EL63" s="3"/>
      <c r="EM63" s="3"/>
      <c r="EN63" s="3"/>
      <c r="EO63" s="4">
        <f t="shared" si="40"/>
        <v>0</v>
      </c>
      <c r="EP63" s="8">
        <f t="shared" si="41"/>
        <v>17</v>
      </c>
      <c r="EQ63" s="181">
        <f>IFERROR(VLOOKUP(I63,CEI_012018!$A$1:$U$509,9,FALSE),0)</f>
        <v>0</v>
      </c>
      <c r="ER63" s="181">
        <f>IFERROR(VLOOKUP(I63,CEI_022018!$A$1:$U$509,9,FALSE),0)</f>
        <v>0</v>
      </c>
      <c r="ES63" s="181">
        <f>IFERROR(VLOOKUP(I63,CEI_032018!$A$1:$U$509,9,FALSE),0)</f>
        <v>0</v>
      </c>
      <c r="ET63" s="181">
        <f>IFERROR(VLOOKUP(I63,CEI_042018!$A$1:$U$491,9,FALSE),0)</f>
        <v>0</v>
      </c>
      <c r="EU63" s="181">
        <f>IFERROR(VLOOKUP(I63,CEI_052018!$A$1:$U$489,9,FALSE),0)</f>
        <v>0</v>
      </c>
      <c r="EV63" s="181">
        <f>IFERROR(VLOOKUP(I63,CEI_062018!$A$1:$U$489,9,FALSE),0)</f>
        <v>0</v>
      </c>
      <c r="EW63" s="181">
        <f>IFERROR(VLOOKUP(I63,CEI_072018!$A$1:$U$489,9,FALSE),0)</f>
        <v>0</v>
      </c>
      <c r="EX63" s="181">
        <f>IFERROR(VLOOKUP(I63,CEI_082018!$A$1:$U$489,9,FALSE),0)</f>
        <v>0</v>
      </c>
      <c r="EY63" s="181">
        <f>IFERROR(VLOOKUP(I63,CEI_092018!$A$1:$U$489,9,FALSE),0)</f>
        <v>0</v>
      </c>
      <c r="EZ63" s="181"/>
      <c r="FA63" s="181"/>
      <c r="FB63" s="181"/>
      <c r="FC63" s="181">
        <f>IFERROR(VLOOKUP(I63,CEI_092018!$A$1:$U$489,12,FALSE),0)</f>
        <v>0</v>
      </c>
      <c r="FD63" s="181">
        <f t="shared" si="42"/>
        <v>0</v>
      </c>
      <c r="FE63" s="181">
        <f t="shared" si="43"/>
        <v>0</v>
      </c>
      <c r="FF63"/>
      <c r="FG63"/>
      <c r="FH63"/>
      <c r="FI63"/>
      <c r="FJ63"/>
      <c r="FK63"/>
      <c r="FL63"/>
      <c r="FM63"/>
      <c r="FN63"/>
      <c r="FO63"/>
      <c r="FP63"/>
      <c r="FQ63"/>
      <c r="FR63"/>
      <c r="FS63"/>
      <c r="FT63"/>
      <c r="FU63"/>
      <c r="FV63"/>
      <c r="FW63"/>
      <c r="FX63"/>
      <c r="FY63"/>
      <c r="FZ63"/>
      <c r="GA63"/>
      <c r="GB63"/>
      <c r="GC63"/>
    </row>
    <row r="64" spans="1:185" ht="12.95" customHeight="1" x14ac:dyDescent="0.25">
      <c r="A64" s="202"/>
      <c r="B64" s="22" t="s">
        <v>63</v>
      </c>
      <c r="C64" s="34" t="s">
        <v>35</v>
      </c>
      <c r="D64" s="22" t="s">
        <v>628</v>
      </c>
      <c r="E64" s="25" t="s">
        <v>66</v>
      </c>
      <c r="F64" s="25" t="s">
        <v>628</v>
      </c>
      <c r="G64" s="25" t="s">
        <v>66</v>
      </c>
      <c r="H64" s="22" t="s">
        <v>65</v>
      </c>
      <c r="I64" s="423" t="s">
        <v>565</v>
      </c>
      <c r="J64" s="37"/>
      <c r="K64" s="23" t="s">
        <v>574</v>
      </c>
      <c r="L64" s="23" t="s">
        <v>574</v>
      </c>
      <c r="M64" s="23" t="s">
        <v>575</v>
      </c>
      <c r="N64" s="23"/>
      <c r="O64" s="2"/>
      <c r="P64" s="2"/>
      <c r="Q64" s="2"/>
      <c r="R64" s="2"/>
      <c r="S64" s="2"/>
      <c r="T64" s="116">
        <f t="shared" si="0"/>
        <v>0</v>
      </c>
      <c r="U64" s="324"/>
      <c r="V64" s="324"/>
      <c r="W64" s="324">
        <v>70</v>
      </c>
      <c r="X64" s="324"/>
      <c r="Y64" s="324"/>
      <c r="Z64" s="324"/>
      <c r="AA64" s="324"/>
      <c r="AB64" s="324"/>
      <c r="AC64" s="324"/>
      <c r="AD64" s="324"/>
      <c r="AE64" s="324"/>
      <c r="AF64" s="324"/>
      <c r="AG64" s="140">
        <f t="shared" si="1"/>
        <v>70</v>
      </c>
      <c r="AH64" s="324"/>
      <c r="AI64" s="324"/>
      <c r="AJ64" s="324"/>
      <c r="AK64" s="324"/>
      <c r="AL64" s="324"/>
      <c r="AM64" s="324"/>
      <c r="AN64" s="324"/>
      <c r="AO64" s="324"/>
      <c r="AP64" s="324"/>
      <c r="AQ64" s="324"/>
      <c r="AR64" s="324"/>
      <c r="AS64" s="324"/>
      <c r="AT64" s="140">
        <f t="shared" si="2"/>
        <v>0</v>
      </c>
      <c r="AU64" s="324"/>
      <c r="AV64" s="324"/>
      <c r="AW64" s="324"/>
      <c r="AX64" s="324"/>
      <c r="AY64" s="324"/>
      <c r="AZ64" s="324"/>
      <c r="BA64" s="324"/>
      <c r="BB64" s="324"/>
      <c r="BC64" s="324"/>
      <c r="BD64" s="324"/>
      <c r="BE64" s="324"/>
      <c r="BF64" s="324"/>
      <c r="BG64" s="140">
        <f t="shared" si="3"/>
        <v>0</v>
      </c>
      <c r="BH64" s="324"/>
      <c r="BI64" s="324"/>
      <c r="BJ64" s="324"/>
      <c r="BK64" s="324"/>
      <c r="BL64" s="324"/>
      <c r="BM64" s="324"/>
      <c r="BN64" s="324"/>
      <c r="BO64" s="324"/>
      <c r="BP64" s="324"/>
      <c r="BQ64" s="324"/>
      <c r="BR64" s="324"/>
      <c r="BS64" s="324"/>
      <c r="BT64" s="140">
        <f t="shared" si="4"/>
        <v>0</v>
      </c>
      <c r="BU64" s="114">
        <f t="shared" si="5"/>
        <v>70</v>
      </c>
      <c r="BV64" s="432"/>
      <c r="BW64" s="432"/>
      <c r="BX64" s="432"/>
      <c r="BY64" s="432"/>
      <c r="BZ64" s="433"/>
      <c r="CA64" s="434"/>
      <c r="CB64" s="7" t="s">
        <v>72</v>
      </c>
      <c r="CC64" s="83">
        <v>0</v>
      </c>
      <c r="CD64" s="83">
        <v>0</v>
      </c>
      <c r="CE64" s="83">
        <v>0</v>
      </c>
      <c r="CF64" s="83">
        <v>0</v>
      </c>
      <c r="CG64" s="83">
        <v>0</v>
      </c>
      <c r="CH64" s="83">
        <v>0</v>
      </c>
      <c r="CI64" s="83">
        <v>0</v>
      </c>
      <c r="CJ64" s="83">
        <v>0</v>
      </c>
      <c r="CK64" s="83">
        <v>0</v>
      </c>
      <c r="CL64" s="83">
        <v>0</v>
      </c>
      <c r="CM64" s="83">
        <v>0</v>
      </c>
      <c r="CN64" s="83">
        <v>0</v>
      </c>
      <c r="CO64" s="4">
        <f t="shared" si="36"/>
        <v>0</v>
      </c>
      <c r="CP64" s="83">
        <v>0</v>
      </c>
      <c r="CQ64" s="83">
        <v>0</v>
      </c>
      <c r="CR64" s="83">
        <v>0.17564116489937781</v>
      </c>
      <c r="CS64" s="83">
        <v>0</v>
      </c>
      <c r="CT64" s="83">
        <v>0</v>
      </c>
      <c r="CU64" s="83">
        <v>0</v>
      </c>
      <c r="CV64" s="83">
        <v>0</v>
      </c>
      <c r="CW64" s="83">
        <v>0</v>
      </c>
      <c r="CX64" s="83">
        <v>0</v>
      </c>
      <c r="CY64" s="83">
        <v>0</v>
      </c>
      <c r="CZ64" s="83">
        <v>0</v>
      </c>
      <c r="DA64" s="83">
        <v>0</v>
      </c>
      <c r="DB64" s="4">
        <f t="shared" si="37"/>
        <v>0.17564116489937781</v>
      </c>
      <c r="DC64" s="83">
        <v>0</v>
      </c>
      <c r="DD64" s="83">
        <v>0</v>
      </c>
      <c r="DE64" s="83">
        <v>0</v>
      </c>
      <c r="DF64" s="83">
        <v>0</v>
      </c>
      <c r="DG64" s="83">
        <v>0</v>
      </c>
      <c r="DH64" s="83">
        <v>0</v>
      </c>
      <c r="DI64" s="83">
        <v>0</v>
      </c>
      <c r="DJ64" s="83">
        <v>0</v>
      </c>
      <c r="DK64" s="83">
        <v>0</v>
      </c>
      <c r="DL64" s="83">
        <v>0</v>
      </c>
      <c r="DM64" s="83">
        <v>0</v>
      </c>
      <c r="DN64" s="83">
        <v>0</v>
      </c>
      <c r="DO64" s="4">
        <f t="shared" si="38"/>
        <v>0</v>
      </c>
      <c r="DP64" s="83">
        <v>0</v>
      </c>
      <c r="DQ64" s="83">
        <v>0</v>
      </c>
      <c r="DR64" s="83">
        <v>0</v>
      </c>
      <c r="DS64" s="83">
        <v>0</v>
      </c>
      <c r="DT64" s="83">
        <v>0</v>
      </c>
      <c r="DU64" s="83">
        <v>0</v>
      </c>
      <c r="DV64" s="83">
        <v>0</v>
      </c>
      <c r="DW64" s="83">
        <v>0</v>
      </c>
      <c r="DX64" s="83">
        <v>0</v>
      </c>
      <c r="DY64" s="83">
        <v>0</v>
      </c>
      <c r="DZ64" s="83">
        <v>0</v>
      </c>
      <c r="EA64" s="83">
        <v>0</v>
      </c>
      <c r="EB64" s="4">
        <f t="shared" si="39"/>
        <v>0</v>
      </c>
      <c r="EC64" s="83">
        <v>0</v>
      </c>
      <c r="ED64" s="83">
        <v>0</v>
      </c>
      <c r="EE64" s="83">
        <v>0</v>
      </c>
      <c r="EF64" s="83">
        <v>0</v>
      </c>
      <c r="EG64" s="83">
        <v>0</v>
      </c>
      <c r="EH64" s="83">
        <v>0</v>
      </c>
      <c r="EI64" s="83">
        <v>0</v>
      </c>
      <c r="EJ64" s="83">
        <v>0</v>
      </c>
      <c r="EK64" s="83">
        <v>0</v>
      </c>
      <c r="EL64" s="83">
        <v>0</v>
      </c>
      <c r="EM64" s="83">
        <v>0</v>
      </c>
      <c r="EN64" s="83">
        <v>0</v>
      </c>
      <c r="EO64" s="4">
        <f t="shared" si="40"/>
        <v>0</v>
      </c>
      <c r="EP64" s="8">
        <f t="shared" si="41"/>
        <v>0.17564116489937781</v>
      </c>
      <c r="EQ64" s="181">
        <f>IFERROR(VLOOKUP(I64,CEI_012018!$A$1:$U$509,9,FALSE),0)</f>
        <v>0</v>
      </c>
      <c r="ER64" s="181">
        <f>IFERROR(VLOOKUP(I64,CEI_022018!$A$1:$U$509,9,FALSE),0)</f>
        <v>0</v>
      </c>
      <c r="ES64" s="181">
        <f>IFERROR(VLOOKUP(I64,CEI_032018!$A$1:$U$509,9,FALSE),0)</f>
        <v>0</v>
      </c>
      <c r="ET64" s="181">
        <f>IFERROR(VLOOKUP(I64,CEI_042018!$A$1:$U$491,9,FALSE),0)</f>
        <v>0</v>
      </c>
      <c r="EU64" s="181">
        <f>IFERROR(VLOOKUP(I64,CEI_052018!$A$1:$U$489,9,FALSE),0)</f>
        <v>0</v>
      </c>
      <c r="EV64" s="181">
        <f>IFERROR(VLOOKUP(I64,CEI_062018!$A$1:$U$489,9,FALSE),0)</f>
        <v>0</v>
      </c>
      <c r="EW64" s="181">
        <f>IFERROR(VLOOKUP(I64,CEI_072018!$A$1:$U$489,9,FALSE),0)</f>
        <v>0</v>
      </c>
      <c r="EX64" s="181">
        <f>IFERROR(VLOOKUP(I64,CEI_082018!$A$1:$U$489,9,FALSE),0)</f>
        <v>0</v>
      </c>
      <c r="EY64" s="181">
        <f>IFERROR(VLOOKUP(I64,CEI_092018!$A$1:$U$489,9,FALSE),0)</f>
        <v>0</v>
      </c>
      <c r="EZ64" s="181"/>
      <c r="FA64" s="181"/>
      <c r="FB64" s="181"/>
      <c r="FC64" s="181">
        <f>IFERROR(VLOOKUP(I64,CEI_092018!$A$1:$U$489,12,FALSE),0)</f>
        <v>0</v>
      </c>
      <c r="FD64" s="181">
        <f t="shared" si="42"/>
        <v>0</v>
      </c>
      <c r="FE64" s="181">
        <f t="shared" si="43"/>
        <v>0</v>
      </c>
      <c r="FF64"/>
      <c r="FG64"/>
      <c r="FH64"/>
      <c r="FI64"/>
      <c r="FJ64"/>
      <c r="FK64"/>
      <c r="FL64"/>
      <c r="FM64"/>
      <c r="FN64"/>
      <c r="FO64"/>
      <c r="FP64"/>
      <c r="FQ64"/>
      <c r="FR64"/>
      <c r="FS64"/>
      <c r="FT64"/>
      <c r="FU64"/>
      <c r="FV64"/>
      <c r="FW64"/>
      <c r="FX64"/>
      <c r="FY64"/>
      <c r="FZ64"/>
      <c r="GA64"/>
      <c r="GB64"/>
      <c r="GC64"/>
    </row>
    <row r="65" spans="1:185" ht="12.95" customHeight="1" x14ac:dyDescent="0.25">
      <c r="A65" s="202"/>
      <c r="B65" s="22" t="s">
        <v>63</v>
      </c>
      <c r="C65" s="34" t="s">
        <v>35</v>
      </c>
      <c r="D65" s="22" t="s">
        <v>628</v>
      </c>
      <c r="E65" s="25" t="s">
        <v>66</v>
      </c>
      <c r="F65" s="25" t="s">
        <v>628</v>
      </c>
      <c r="G65" s="25" t="s">
        <v>66</v>
      </c>
      <c r="H65" s="22" t="s">
        <v>65</v>
      </c>
      <c r="I65" s="423" t="s">
        <v>565</v>
      </c>
      <c r="J65" s="37"/>
      <c r="K65" s="23" t="s">
        <v>600</v>
      </c>
      <c r="L65" s="23" t="s">
        <v>571</v>
      </c>
      <c r="M65" s="23" t="s">
        <v>572</v>
      </c>
      <c r="N65" s="23"/>
      <c r="O65" s="2"/>
      <c r="P65" s="2"/>
      <c r="Q65" s="2"/>
      <c r="R65" s="2"/>
      <c r="S65" s="2"/>
      <c r="T65" s="116">
        <f t="shared" si="0"/>
        <v>0</v>
      </c>
      <c r="U65" s="324"/>
      <c r="V65" s="324"/>
      <c r="W65" s="324"/>
      <c r="X65" s="324"/>
      <c r="Y65" s="324"/>
      <c r="Z65" s="324"/>
      <c r="AA65" s="324"/>
      <c r="AB65" s="324"/>
      <c r="AC65" s="324"/>
      <c r="AD65" s="324"/>
      <c r="AE65" s="324"/>
      <c r="AF65" s="324"/>
      <c r="AG65" s="140">
        <f t="shared" si="1"/>
        <v>0</v>
      </c>
      <c r="AH65" s="324"/>
      <c r="AI65" s="324"/>
      <c r="AJ65" s="324"/>
      <c r="AK65" s="324"/>
      <c r="AL65" s="324"/>
      <c r="AM65" s="324"/>
      <c r="AN65" s="324"/>
      <c r="AO65" s="324"/>
      <c r="AP65" s="324"/>
      <c r="AQ65" s="324"/>
      <c r="AR65" s="324"/>
      <c r="AS65" s="324"/>
      <c r="AT65" s="140">
        <f t="shared" si="2"/>
        <v>0</v>
      </c>
      <c r="AU65" s="324"/>
      <c r="AV65" s="324"/>
      <c r="AW65" s="324"/>
      <c r="AX65" s="324"/>
      <c r="AY65" s="324"/>
      <c r="AZ65" s="324">
        <v>60</v>
      </c>
      <c r="BA65" s="324"/>
      <c r="BB65" s="324"/>
      <c r="BC65" s="324"/>
      <c r="BD65" s="324"/>
      <c r="BE65" s="324"/>
      <c r="BF65" s="324"/>
      <c r="BG65" s="140">
        <f t="shared" si="3"/>
        <v>60</v>
      </c>
      <c r="BH65" s="324"/>
      <c r="BI65" s="324"/>
      <c r="BJ65" s="324"/>
      <c r="BK65" s="324"/>
      <c r="BL65" s="324"/>
      <c r="BM65" s="324"/>
      <c r="BN65" s="324"/>
      <c r="BO65" s="324"/>
      <c r="BP65" s="324"/>
      <c r="BQ65" s="324"/>
      <c r="BR65" s="324"/>
      <c r="BS65" s="324"/>
      <c r="BT65" s="140">
        <f t="shared" si="4"/>
        <v>0</v>
      </c>
      <c r="BU65" s="114">
        <f t="shared" si="5"/>
        <v>60</v>
      </c>
      <c r="BV65" s="432"/>
      <c r="BW65" s="432"/>
      <c r="BX65" s="432"/>
      <c r="BY65" s="432"/>
      <c r="BZ65" s="433"/>
      <c r="CA65" s="434"/>
      <c r="CB65" s="7" t="s">
        <v>72</v>
      </c>
      <c r="CC65" s="83">
        <v>0</v>
      </c>
      <c r="CD65" s="83">
        <v>0</v>
      </c>
      <c r="CE65" s="83">
        <v>0</v>
      </c>
      <c r="CF65" s="83">
        <v>0</v>
      </c>
      <c r="CG65" s="83">
        <v>0</v>
      </c>
      <c r="CH65" s="83">
        <v>0</v>
      </c>
      <c r="CI65" s="83">
        <v>0</v>
      </c>
      <c r="CJ65" s="83">
        <v>0</v>
      </c>
      <c r="CK65" s="83">
        <v>0</v>
      </c>
      <c r="CL65" s="83">
        <v>0</v>
      </c>
      <c r="CM65" s="83">
        <v>0</v>
      </c>
      <c r="CN65" s="83">
        <v>0</v>
      </c>
      <c r="CO65" s="4">
        <f t="shared" si="36"/>
        <v>0</v>
      </c>
      <c r="CP65" s="83">
        <v>0</v>
      </c>
      <c r="CQ65" s="83">
        <v>0</v>
      </c>
      <c r="CR65" s="83">
        <v>0</v>
      </c>
      <c r="CS65" s="83">
        <v>0</v>
      </c>
      <c r="CT65" s="83">
        <v>0</v>
      </c>
      <c r="CU65" s="83">
        <v>0</v>
      </c>
      <c r="CV65" s="83">
        <v>0</v>
      </c>
      <c r="CW65" s="83">
        <v>0</v>
      </c>
      <c r="CX65" s="83">
        <v>0</v>
      </c>
      <c r="CY65" s="83">
        <v>0</v>
      </c>
      <c r="CZ65" s="83">
        <v>0</v>
      </c>
      <c r="DA65" s="83">
        <v>0</v>
      </c>
      <c r="DB65" s="4">
        <f t="shared" si="37"/>
        <v>0</v>
      </c>
      <c r="DC65" s="83">
        <v>0</v>
      </c>
      <c r="DD65" s="83">
        <v>0</v>
      </c>
      <c r="DE65" s="83">
        <v>0</v>
      </c>
      <c r="DF65" s="83">
        <v>0</v>
      </c>
      <c r="DG65" s="83">
        <v>0</v>
      </c>
      <c r="DH65" s="83">
        <v>0</v>
      </c>
      <c r="DI65" s="83">
        <v>0</v>
      </c>
      <c r="DJ65" s="83">
        <v>0</v>
      </c>
      <c r="DK65" s="83">
        <v>0</v>
      </c>
      <c r="DL65" s="83">
        <v>0</v>
      </c>
      <c r="DM65" s="83">
        <v>0</v>
      </c>
      <c r="DN65" s="83">
        <v>0</v>
      </c>
      <c r="DO65" s="4">
        <f t="shared" si="38"/>
        <v>0</v>
      </c>
      <c r="DP65" s="83">
        <v>0</v>
      </c>
      <c r="DQ65" s="83">
        <v>0</v>
      </c>
      <c r="DR65" s="83">
        <v>0</v>
      </c>
      <c r="DS65" s="83">
        <v>0</v>
      </c>
      <c r="DT65" s="83">
        <v>0</v>
      </c>
      <c r="DU65" s="83">
        <v>5.5813953488372092E-2</v>
      </c>
      <c r="DV65" s="83">
        <v>0</v>
      </c>
      <c r="DW65" s="83">
        <v>0</v>
      </c>
      <c r="DX65" s="83">
        <v>0</v>
      </c>
      <c r="DY65" s="83">
        <v>0</v>
      </c>
      <c r="DZ65" s="83">
        <v>0</v>
      </c>
      <c r="EA65" s="83">
        <v>0</v>
      </c>
      <c r="EB65" s="4">
        <f t="shared" si="39"/>
        <v>5.5813953488372092E-2</v>
      </c>
      <c r="EC65" s="83">
        <v>0</v>
      </c>
      <c r="ED65" s="83">
        <v>0</v>
      </c>
      <c r="EE65" s="83">
        <v>0</v>
      </c>
      <c r="EF65" s="83">
        <v>0</v>
      </c>
      <c r="EG65" s="83">
        <v>0</v>
      </c>
      <c r="EH65" s="83">
        <v>0</v>
      </c>
      <c r="EI65" s="83">
        <v>0</v>
      </c>
      <c r="EJ65" s="83">
        <v>0</v>
      </c>
      <c r="EK65" s="83">
        <v>0</v>
      </c>
      <c r="EL65" s="83">
        <v>0</v>
      </c>
      <c r="EM65" s="83">
        <v>0</v>
      </c>
      <c r="EN65" s="83">
        <v>0</v>
      </c>
      <c r="EO65" s="4">
        <f t="shared" si="40"/>
        <v>0</v>
      </c>
      <c r="EP65" s="8">
        <f t="shared" si="41"/>
        <v>5.5813953488372092E-2</v>
      </c>
      <c r="EQ65" s="181">
        <f>IFERROR(VLOOKUP(I65,CEI_012018!$A$1:$U$509,9,FALSE),0)</f>
        <v>0</v>
      </c>
      <c r="ER65" s="181">
        <f>IFERROR(VLOOKUP(I65,CEI_022018!$A$1:$U$509,9,FALSE),0)</f>
        <v>0</v>
      </c>
      <c r="ES65" s="181">
        <f>IFERROR(VLOOKUP(I65,CEI_032018!$A$1:$U$509,9,FALSE),0)</f>
        <v>0</v>
      </c>
      <c r="ET65" s="181">
        <f>IFERROR(VLOOKUP(I65,CEI_042018!$A$1:$U$491,9,FALSE),0)</f>
        <v>0</v>
      </c>
      <c r="EU65" s="181">
        <f>IFERROR(VLOOKUP(I65,CEI_052018!$A$1:$U$489,9,FALSE),0)</f>
        <v>0</v>
      </c>
      <c r="EV65" s="181">
        <f>IFERROR(VLOOKUP(I65,CEI_062018!$A$1:$U$489,9,FALSE),0)</f>
        <v>0</v>
      </c>
      <c r="EW65" s="181">
        <f>IFERROR(VLOOKUP(I65,CEI_072018!$A$1:$U$489,9,FALSE),0)</f>
        <v>0</v>
      </c>
      <c r="EX65" s="181">
        <f>IFERROR(VLOOKUP(I65,CEI_082018!$A$1:$U$489,9,FALSE),0)</f>
        <v>0</v>
      </c>
      <c r="EY65" s="181">
        <f>IFERROR(VLOOKUP(I65,CEI_092018!$A$1:$U$489,9,FALSE),0)</f>
        <v>0</v>
      </c>
      <c r="EZ65" s="181"/>
      <c r="FA65" s="181"/>
      <c r="FB65" s="181"/>
      <c r="FC65" s="181">
        <f>IFERROR(VLOOKUP(I65,CEI_092018!$A$1:$U$489,12,FALSE),0)</f>
        <v>0</v>
      </c>
      <c r="FD65" s="181">
        <f t="shared" si="42"/>
        <v>0</v>
      </c>
      <c r="FE65" s="181">
        <f t="shared" si="43"/>
        <v>0</v>
      </c>
      <c r="FF65"/>
      <c r="FG65"/>
      <c r="FH65"/>
      <c r="FI65"/>
      <c r="FJ65"/>
      <c r="FK65"/>
      <c r="FL65"/>
      <c r="FM65"/>
      <c r="FN65"/>
      <c r="FO65"/>
      <c r="FP65"/>
      <c r="FQ65"/>
      <c r="FR65"/>
      <c r="FS65"/>
      <c r="FT65"/>
      <c r="FU65"/>
      <c r="FV65"/>
      <c r="FW65"/>
      <c r="FX65"/>
      <c r="FY65"/>
      <c r="FZ65"/>
      <c r="GA65"/>
      <c r="GB65"/>
      <c r="GC65"/>
    </row>
    <row r="66" spans="1:185" ht="12.95" customHeight="1" x14ac:dyDescent="0.25">
      <c r="A66" s="202"/>
      <c r="B66" s="22" t="s">
        <v>63</v>
      </c>
      <c r="C66" s="34" t="s">
        <v>35</v>
      </c>
      <c r="D66" s="22" t="s">
        <v>631</v>
      </c>
      <c r="E66" s="25" t="s">
        <v>66</v>
      </c>
      <c r="F66" s="25" t="s">
        <v>631</v>
      </c>
      <c r="G66" s="25" t="s">
        <v>66</v>
      </c>
      <c r="H66" s="22" t="s">
        <v>65</v>
      </c>
      <c r="I66" s="423" t="s">
        <v>565</v>
      </c>
      <c r="J66" s="37"/>
      <c r="K66" s="23" t="s">
        <v>601</v>
      </c>
      <c r="L66" s="23" t="s">
        <v>576</v>
      </c>
      <c r="M66" s="23" t="s">
        <v>577</v>
      </c>
      <c r="N66" s="23"/>
      <c r="O66" s="2"/>
      <c r="P66" s="2"/>
      <c r="Q66" s="2"/>
      <c r="R66" s="2"/>
      <c r="S66" s="2"/>
      <c r="T66" s="116">
        <f t="shared" si="0"/>
        <v>0</v>
      </c>
      <c r="U66" s="324"/>
      <c r="V66" s="324"/>
      <c r="W66" s="324">
        <v>18</v>
      </c>
      <c r="X66" s="324"/>
      <c r="Y66" s="324"/>
      <c r="Z66" s="324"/>
      <c r="AA66" s="324"/>
      <c r="AB66" s="324"/>
      <c r="AC66" s="324"/>
      <c r="AD66" s="324"/>
      <c r="AE66" s="324"/>
      <c r="AF66" s="324"/>
      <c r="AG66" s="140">
        <f t="shared" si="1"/>
        <v>18</v>
      </c>
      <c r="AH66" s="324"/>
      <c r="AI66" s="324"/>
      <c r="AJ66" s="324"/>
      <c r="AK66" s="324"/>
      <c r="AL66" s="324"/>
      <c r="AM66" s="324"/>
      <c r="AN66" s="324"/>
      <c r="AO66" s="324"/>
      <c r="AP66" s="324"/>
      <c r="AQ66" s="324"/>
      <c r="AR66" s="324"/>
      <c r="AS66" s="324"/>
      <c r="AT66" s="140">
        <f t="shared" si="2"/>
        <v>0</v>
      </c>
      <c r="AU66" s="324"/>
      <c r="AV66" s="324"/>
      <c r="AW66" s="324"/>
      <c r="AX66" s="324"/>
      <c r="AY66" s="324"/>
      <c r="AZ66" s="324"/>
      <c r="BA66" s="324">
        <v>36</v>
      </c>
      <c r="BB66" s="324"/>
      <c r="BC66" s="324"/>
      <c r="BD66" s="324"/>
      <c r="BE66" s="324"/>
      <c r="BF66" s="324"/>
      <c r="BG66" s="140">
        <f t="shared" si="3"/>
        <v>36</v>
      </c>
      <c r="BH66" s="324"/>
      <c r="BI66" s="324"/>
      <c r="BJ66" s="324"/>
      <c r="BK66" s="324"/>
      <c r="BL66" s="324"/>
      <c r="BM66" s="324"/>
      <c r="BN66" s="324"/>
      <c r="BO66" s="324"/>
      <c r="BP66" s="324"/>
      <c r="BQ66" s="324"/>
      <c r="BR66" s="324"/>
      <c r="BS66" s="324"/>
      <c r="BT66" s="140">
        <f t="shared" si="4"/>
        <v>0</v>
      </c>
      <c r="BU66" s="114">
        <f t="shared" si="5"/>
        <v>54</v>
      </c>
      <c r="BV66" s="432"/>
      <c r="BW66" s="432"/>
      <c r="BX66" s="432"/>
      <c r="BY66" s="432"/>
      <c r="BZ66" s="433"/>
      <c r="CA66" s="434"/>
      <c r="CB66" s="7" t="s">
        <v>73</v>
      </c>
      <c r="CC66" s="3">
        <v>0</v>
      </c>
      <c r="CD66" s="3"/>
      <c r="CE66" s="3"/>
      <c r="CF66" s="3"/>
      <c r="CG66" s="3"/>
      <c r="CH66" s="3"/>
      <c r="CI66" s="3"/>
      <c r="CJ66" s="3"/>
      <c r="CK66" s="3"/>
      <c r="CL66" s="3"/>
      <c r="CM66" s="3"/>
      <c r="CN66" s="3"/>
      <c r="CO66" s="4">
        <f t="shared" si="36"/>
        <v>0</v>
      </c>
      <c r="CP66" s="3"/>
      <c r="CQ66" s="3"/>
      <c r="CR66" s="3">
        <v>3</v>
      </c>
      <c r="CS66" s="3"/>
      <c r="CT66" s="3"/>
      <c r="CU66" s="3"/>
      <c r="CV66" s="3"/>
      <c r="CW66" s="3"/>
      <c r="CX66" s="3"/>
      <c r="CY66" s="3"/>
      <c r="CZ66" s="3"/>
      <c r="DA66" s="3"/>
      <c r="DB66" s="4">
        <f t="shared" si="37"/>
        <v>3</v>
      </c>
      <c r="DC66" s="3"/>
      <c r="DD66" s="3"/>
      <c r="DE66" s="3"/>
      <c r="DF66" s="3"/>
      <c r="DG66" s="3"/>
      <c r="DH66" s="3"/>
      <c r="DI66" s="3"/>
      <c r="DJ66" s="3"/>
      <c r="DK66" s="3"/>
      <c r="DL66" s="3"/>
      <c r="DM66" s="3"/>
      <c r="DN66" s="3"/>
      <c r="DO66" s="4">
        <f t="shared" si="38"/>
        <v>0</v>
      </c>
      <c r="DP66" s="3"/>
      <c r="DQ66" s="3"/>
      <c r="DR66" s="3"/>
      <c r="DS66" s="3"/>
      <c r="DT66" s="3"/>
      <c r="DU66" s="3"/>
      <c r="DV66" s="3">
        <v>6</v>
      </c>
      <c r="DW66" s="3"/>
      <c r="DX66" s="3"/>
      <c r="DY66" s="3"/>
      <c r="DZ66" s="3"/>
      <c r="EA66" s="3"/>
      <c r="EB66" s="4">
        <f t="shared" si="39"/>
        <v>6</v>
      </c>
      <c r="EC66" s="3"/>
      <c r="ED66" s="3"/>
      <c r="EE66" s="3"/>
      <c r="EF66" s="3"/>
      <c r="EG66" s="3"/>
      <c r="EH66" s="3"/>
      <c r="EI66" s="3"/>
      <c r="EJ66" s="3"/>
      <c r="EK66" s="3"/>
      <c r="EL66" s="3"/>
      <c r="EM66" s="3"/>
      <c r="EN66" s="3"/>
      <c r="EO66" s="4">
        <f t="shared" si="40"/>
        <v>0</v>
      </c>
      <c r="EP66" s="8">
        <f t="shared" si="41"/>
        <v>9</v>
      </c>
      <c r="EQ66" s="181">
        <f>IFERROR(VLOOKUP(I66,CEI_012018!$A$1:$U$509,9,FALSE),0)</f>
        <v>0</v>
      </c>
      <c r="ER66" s="181">
        <f>IFERROR(VLOOKUP(I66,CEI_022018!$A$1:$U$509,9,FALSE),0)</f>
        <v>0</v>
      </c>
      <c r="ES66" s="181">
        <f>IFERROR(VLOOKUP(I66,CEI_032018!$A$1:$U$509,9,FALSE),0)</f>
        <v>0</v>
      </c>
      <c r="ET66" s="181">
        <f>IFERROR(VLOOKUP(I66,CEI_042018!$A$1:$U$491,9,FALSE),0)</f>
        <v>0</v>
      </c>
      <c r="EU66" s="181">
        <f>IFERROR(VLOOKUP(I66,CEI_052018!$A$1:$U$489,9,FALSE),0)</f>
        <v>0</v>
      </c>
      <c r="EV66" s="181">
        <f>IFERROR(VLOOKUP(I66,CEI_062018!$A$1:$U$489,9,FALSE),0)</f>
        <v>0</v>
      </c>
      <c r="EW66" s="181">
        <f>IFERROR(VLOOKUP(I66,CEI_072018!$A$1:$U$489,9,FALSE),0)</f>
        <v>0</v>
      </c>
      <c r="EX66" s="181">
        <f>IFERROR(VLOOKUP(I66,CEI_082018!$A$1:$U$489,9,FALSE),0)</f>
        <v>0</v>
      </c>
      <c r="EY66" s="181">
        <f>IFERROR(VLOOKUP(I66,CEI_092018!$A$1:$U$489,9,FALSE),0)</f>
        <v>0</v>
      </c>
      <c r="EZ66" s="181"/>
      <c r="FA66" s="181"/>
      <c r="FB66" s="181"/>
      <c r="FC66" s="181">
        <f>IFERROR(VLOOKUP(I66,CEI_092018!$A$1:$U$489,12,FALSE),0)</f>
        <v>0</v>
      </c>
      <c r="FD66" s="181">
        <f t="shared" si="42"/>
        <v>0</v>
      </c>
      <c r="FE66" s="181">
        <f t="shared" si="43"/>
        <v>0</v>
      </c>
      <c r="FF66"/>
      <c r="FG66"/>
      <c r="FH66"/>
      <c r="FI66"/>
      <c r="FJ66"/>
      <c r="FK66"/>
      <c r="FL66"/>
      <c r="FM66"/>
      <c r="FN66"/>
      <c r="FO66"/>
      <c r="FP66"/>
      <c r="FQ66"/>
      <c r="FR66"/>
      <c r="FS66"/>
      <c r="FT66"/>
      <c r="FU66"/>
      <c r="FV66"/>
      <c r="FW66"/>
      <c r="FX66"/>
      <c r="FY66"/>
      <c r="FZ66"/>
      <c r="GA66"/>
      <c r="GB66"/>
      <c r="GC66"/>
    </row>
    <row r="67" spans="1:185" ht="12.95" customHeight="1" x14ac:dyDescent="0.25">
      <c r="A67" s="202"/>
      <c r="B67" s="22" t="s">
        <v>63</v>
      </c>
      <c r="C67" s="34" t="s">
        <v>35</v>
      </c>
      <c r="D67" s="22" t="s">
        <v>58</v>
      </c>
      <c r="E67" s="25" t="s">
        <v>1034</v>
      </c>
      <c r="F67" s="25" t="s">
        <v>58</v>
      </c>
      <c r="G67" s="25" t="s">
        <v>1034</v>
      </c>
      <c r="H67" s="22" t="s">
        <v>56</v>
      </c>
      <c r="I67" s="423" t="s">
        <v>565</v>
      </c>
      <c r="J67" s="37"/>
      <c r="K67" s="23" t="s">
        <v>1082</v>
      </c>
      <c r="L67" s="23" t="s">
        <v>882</v>
      </c>
      <c r="M67" s="23" t="s">
        <v>450</v>
      </c>
      <c r="N67" s="23"/>
      <c r="O67" s="2"/>
      <c r="P67" s="2"/>
      <c r="Q67" s="2"/>
      <c r="R67" s="2"/>
      <c r="S67" s="2"/>
      <c r="T67" s="116">
        <f t="shared" si="0"/>
        <v>0</v>
      </c>
      <c r="U67" s="324"/>
      <c r="V67" s="324"/>
      <c r="W67" s="324"/>
      <c r="X67" s="324"/>
      <c r="Y67" s="324"/>
      <c r="Z67" s="324"/>
      <c r="AA67" s="324"/>
      <c r="AB67" s="324"/>
      <c r="AC67" s="324"/>
      <c r="AD67" s="324"/>
      <c r="AE67" s="324">
        <v>13</v>
      </c>
      <c r="AF67" s="324"/>
      <c r="AG67" s="140">
        <f t="shared" si="1"/>
        <v>13</v>
      </c>
      <c r="AH67" s="324"/>
      <c r="AI67" s="324"/>
      <c r="AJ67" s="324"/>
      <c r="AK67" s="324"/>
      <c r="AL67" s="324"/>
      <c r="AM67" s="324"/>
      <c r="AN67" s="324"/>
      <c r="AO67" s="324"/>
      <c r="AP67" s="324"/>
      <c r="AQ67" s="324"/>
      <c r="AR67" s="324">
        <v>13</v>
      </c>
      <c r="AS67" s="324"/>
      <c r="AT67" s="140">
        <f t="shared" si="2"/>
        <v>13</v>
      </c>
      <c r="AU67" s="324"/>
      <c r="AV67" s="324"/>
      <c r="AW67" s="324"/>
      <c r="AX67" s="324"/>
      <c r="AY67" s="324"/>
      <c r="AZ67" s="324"/>
      <c r="BA67" s="324"/>
      <c r="BB67" s="324"/>
      <c r="BC67" s="324"/>
      <c r="BD67" s="324"/>
      <c r="BE67" s="324"/>
      <c r="BF67" s="324"/>
      <c r="BG67" s="140">
        <f t="shared" si="3"/>
        <v>0</v>
      </c>
      <c r="BH67" s="324"/>
      <c r="BI67" s="324"/>
      <c r="BJ67" s="324"/>
      <c r="BK67" s="324"/>
      <c r="BL67" s="324"/>
      <c r="BM67" s="324"/>
      <c r="BN67" s="324"/>
      <c r="BO67" s="324"/>
      <c r="BP67" s="324"/>
      <c r="BQ67" s="324"/>
      <c r="BR67" s="324">
        <v>26</v>
      </c>
      <c r="BS67" s="324"/>
      <c r="BT67" s="140">
        <f t="shared" si="4"/>
        <v>26</v>
      </c>
      <c r="BU67" s="114">
        <f t="shared" si="5"/>
        <v>52</v>
      </c>
      <c r="BV67" s="432"/>
      <c r="BW67" s="432"/>
      <c r="BX67" s="432"/>
      <c r="BY67" s="432"/>
      <c r="BZ67" s="433"/>
      <c r="CA67" s="434"/>
      <c r="CB67" s="7" t="s">
        <v>291</v>
      </c>
      <c r="CC67" s="3"/>
      <c r="CD67" s="3"/>
      <c r="CE67" s="3"/>
      <c r="CF67" s="3"/>
      <c r="CG67" s="3"/>
      <c r="CH67" s="3"/>
      <c r="CI67" s="3"/>
      <c r="CJ67" s="3"/>
      <c r="CK67" s="3"/>
      <c r="CL67" s="3"/>
      <c r="CM67" s="3"/>
      <c r="CN67" s="3"/>
      <c r="CO67" s="4">
        <f t="shared" si="36"/>
        <v>0</v>
      </c>
      <c r="CP67" s="3"/>
      <c r="CQ67" s="3"/>
      <c r="CR67" s="3"/>
      <c r="CS67" s="3"/>
      <c r="CT67" s="3"/>
      <c r="CU67" s="3"/>
      <c r="CV67" s="3"/>
      <c r="CW67" s="3"/>
      <c r="CX67" s="3"/>
      <c r="CY67" s="3"/>
      <c r="CZ67" s="3">
        <v>6</v>
      </c>
      <c r="DA67" s="3"/>
      <c r="DB67" s="4">
        <f t="shared" si="37"/>
        <v>6</v>
      </c>
      <c r="DC67" s="3"/>
      <c r="DD67" s="3"/>
      <c r="DE67" s="3"/>
      <c r="DF67" s="3"/>
      <c r="DG67" s="3"/>
      <c r="DH67" s="3"/>
      <c r="DI67" s="3"/>
      <c r="DJ67" s="3"/>
      <c r="DK67" s="3"/>
      <c r="DL67" s="3"/>
      <c r="DM67" s="3">
        <v>6</v>
      </c>
      <c r="DN67" s="3"/>
      <c r="DO67" s="4">
        <f t="shared" si="38"/>
        <v>6</v>
      </c>
      <c r="DP67" s="3"/>
      <c r="DQ67" s="3"/>
      <c r="DR67" s="3"/>
      <c r="DS67" s="3"/>
      <c r="DT67" s="3"/>
      <c r="DU67" s="3"/>
      <c r="DV67" s="3"/>
      <c r="DW67" s="3"/>
      <c r="DX67" s="3"/>
      <c r="DY67" s="3"/>
      <c r="DZ67" s="3"/>
      <c r="EA67" s="3"/>
      <c r="EB67" s="4">
        <f t="shared" si="39"/>
        <v>0</v>
      </c>
      <c r="EC67" s="3"/>
      <c r="ED67" s="3"/>
      <c r="EE67" s="3"/>
      <c r="EF67" s="3"/>
      <c r="EG67" s="3"/>
      <c r="EH67" s="3"/>
      <c r="EI67" s="3"/>
      <c r="EJ67" s="3"/>
      <c r="EK67" s="3"/>
      <c r="EL67" s="3"/>
      <c r="EM67" s="3">
        <v>12</v>
      </c>
      <c r="EN67" s="3"/>
      <c r="EO67" s="4">
        <f t="shared" si="40"/>
        <v>12</v>
      </c>
      <c r="EP67" s="8">
        <f t="shared" si="41"/>
        <v>24</v>
      </c>
      <c r="EQ67" s="181">
        <f>IFERROR(VLOOKUP(I67,CEI_012018!$A$1:$U$509,9,FALSE),0)</f>
        <v>0</v>
      </c>
      <c r="ER67" s="181">
        <f>IFERROR(VLOOKUP(I67,CEI_022018!$A$1:$U$509,9,FALSE),0)</f>
        <v>0</v>
      </c>
      <c r="ES67" s="181">
        <f>IFERROR(VLOOKUP(I67,CEI_032018!$A$1:$U$509,9,FALSE),0)</f>
        <v>0</v>
      </c>
      <c r="ET67" s="181">
        <f>IFERROR(VLOOKUP(I67,CEI_042018!$A$1:$U$491,9,FALSE),0)</f>
        <v>0</v>
      </c>
      <c r="EU67" s="181">
        <f>IFERROR(VLOOKUP(I67,CEI_052018!$A$1:$U$489,9,FALSE),0)</f>
        <v>0</v>
      </c>
      <c r="EV67" s="181">
        <f>IFERROR(VLOOKUP(I67,CEI_062018!$A$1:$U$489,9,FALSE),0)</f>
        <v>0</v>
      </c>
      <c r="EW67" s="181">
        <f>IFERROR(VLOOKUP(I67,CEI_072018!$A$1:$U$489,9,FALSE),0)</f>
        <v>0</v>
      </c>
      <c r="EX67" s="181">
        <f>IFERROR(VLOOKUP(I67,CEI_082018!$A$1:$U$489,9,FALSE),0)</f>
        <v>0</v>
      </c>
      <c r="EY67" s="181">
        <f>IFERROR(VLOOKUP(I67,CEI_092018!$A$1:$U$489,9,FALSE),0)</f>
        <v>0</v>
      </c>
      <c r="EZ67" s="181"/>
      <c r="FA67" s="181"/>
      <c r="FB67" s="181"/>
      <c r="FC67" s="181">
        <f>IFERROR(VLOOKUP(I67,CEI_092018!$A$1:$U$489,12,FALSE),0)</f>
        <v>0</v>
      </c>
      <c r="FD67" s="181">
        <f t="shared" si="42"/>
        <v>0</v>
      </c>
      <c r="FE67" s="181">
        <f t="shared" si="43"/>
        <v>0</v>
      </c>
      <c r="FF67"/>
      <c r="FG67"/>
      <c r="FH67"/>
      <c r="FI67"/>
      <c r="FJ67"/>
      <c r="FK67"/>
      <c r="FL67"/>
      <c r="FM67"/>
      <c r="FN67"/>
      <c r="FO67"/>
      <c r="FP67"/>
      <c r="FQ67"/>
      <c r="FR67"/>
      <c r="FS67"/>
      <c r="FT67"/>
      <c r="FU67"/>
      <c r="FV67"/>
      <c r="FW67"/>
      <c r="FX67"/>
      <c r="FY67"/>
      <c r="FZ67"/>
      <c r="GA67"/>
      <c r="GB67"/>
      <c r="GC67"/>
    </row>
    <row r="68" spans="1:185" ht="12.95" customHeight="1" x14ac:dyDescent="0.25">
      <c r="A68" s="202"/>
      <c r="B68" s="22" t="s">
        <v>63</v>
      </c>
      <c r="C68" s="34" t="s">
        <v>35</v>
      </c>
      <c r="D68" s="22" t="s">
        <v>626</v>
      </c>
      <c r="E68" s="25" t="s">
        <v>66</v>
      </c>
      <c r="F68" s="25" t="s">
        <v>626</v>
      </c>
      <c r="G68" s="25" t="s">
        <v>66</v>
      </c>
      <c r="H68" s="22" t="s">
        <v>65</v>
      </c>
      <c r="I68" s="423" t="s">
        <v>565</v>
      </c>
      <c r="J68" s="37"/>
      <c r="K68" s="23" t="s">
        <v>876</v>
      </c>
      <c r="L68" s="23" t="s">
        <v>876</v>
      </c>
      <c r="M68" s="23" t="s">
        <v>67</v>
      </c>
      <c r="N68" s="23"/>
      <c r="O68" s="2"/>
      <c r="P68" s="2"/>
      <c r="Q68" s="2"/>
      <c r="R68" s="2"/>
      <c r="S68" s="2"/>
      <c r="T68" s="116">
        <f t="shared" si="0"/>
        <v>0</v>
      </c>
      <c r="U68" s="324"/>
      <c r="V68" s="324"/>
      <c r="W68" s="324"/>
      <c r="X68" s="324"/>
      <c r="Y68" s="324"/>
      <c r="Z68" s="324"/>
      <c r="AA68" s="324"/>
      <c r="AB68" s="324"/>
      <c r="AC68" s="324"/>
      <c r="AD68" s="324"/>
      <c r="AE68" s="324"/>
      <c r="AF68" s="324"/>
      <c r="AG68" s="140">
        <f t="shared" si="1"/>
        <v>0</v>
      </c>
      <c r="AH68" s="324"/>
      <c r="AI68" s="324"/>
      <c r="AJ68" s="324"/>
      <c r="AK68" s="324"/>
      <c r="AL68" s="324"/>
      <c r="AM68" s="324"/>
      <c r="AN68" s="324"/>
      <c r="AO68" s="324"/>
      <c r="AP68" s="324"/>
      <c r="AQ68" s="324"/>
      <c r="AR68" s="324"/>
      <c r="AS68" s="324"/>
      <c r="AT68" s="140">
        <f t="shared" si="2"/>
        <v>0</v>
      </c>
      <c r="AU68" s="324"/>
      <c r="AV68" s="324"/>
      <c r="AW68" s="324"/>
      <c r="AX68" s="324"/>
      <c r="AY68" s="324">
        <v>15</v>
      </c>
      <c r="AZ68" s="324"/>
      <c r="BA68" s="324"/>
      <c r="BB68" s="324"/>
      <c r="BC68" s="324"/>
      <c r="BD68" s="324"/>
      <c r="BE68" s="324"/>
      <c r="BF68" s="324"/>
      <c r="BG68" s="140">
        <f t="shared" si="3"/>
        <v>15</v>
      </c>
      <c r="BH68" s="324"/>
      <c r="BI68" s="324"/>
      <c r="BJ68" s="324"/>
      <c r="BK68" s="324"/>
      <c r="BL68" s="324"/>
      <c r="BM68" s="324"/>
      <c r="BN68" s="324"/>
      <c r="BO68" s="324"/>
      <c r="BP68" s="324"/>
      <c r="BQ68" s="324"/>
      <c r="BR68" s="324"/>
      <c r="BS68" s="324"/>
      <c r="BT68" s="140">
        <f t="shared" si="4"/>
        <v>0</v>
      </c>
      <c r="BU68" s="114">
        <f t="shared" si="5"/>
        <v>15</v>
      </c>
      <c r="BV68" s="432"/>
      <c r="BW68" s="432"/>
      <c r="BX68" s="432"/>
      <c r="BY68" s="432"/>
      <c r="BZ68" s="433"/>
      <c r="CA68" s="434"/>
      <c r="CB68" s="7" t="s">
        <v>73</v>
      </c>
      <c r="CC68" s="3">
        <v>0</v>
      </c>
      <c r="CD68" s="3"/>
      <c r="CE68" s="3"/>
      <c r="CF68" s="3"/>
      <c r="CG68" s="3"/>
      <c r="CH68" s="3"/>
      <c r="CI68" s="3"/>
      <c r="CJ68" s="3"/>
      <c r="CK68" s="3"/>
      <c r="CL68" s="3"/>
      <c r="CM68" s="3"/>
      <c r="CN68" s="3"/>
      <c r="CO68" s="4">
        <f t="shared" si="36"/>
        <v>0</v>
      </c>
      <c r="CP68" s="3"/>
      <c r="CQ68" s="3"/>
      <c r="CR68" s="3"/>
      <c r="CS68" s="3"/>
      <c r="CT68" s="3"/>
      <c r="CU68" s="3"/>
      <c r="CV68" s="3"/>
      <c r="CW68" s="3"/>
      <c r="CX68" s="3"/>
      <c r="CY68" s="3"/>
      <c r="CZ68" s="3"/>
      <c r="DA68" s="3"/>
      <c r="DB68" s="4">
        <f t="shared" si="37"/>
        <v>0</v>
      </c>
      <c r="DC68" s="3"/>
      <c r="DD68" s="3"/>
      <c r="DE68" s="3"/>
      <c r="DF68" s="3"/>
      <c r="DG68" s="3"/>
      <c r="DH68" s="3"/>
      <c r="DI68" s="3"/>
      <c r="DJ68" s="3"/>
      <c r="DK68" s="3"/>
      <c r="DL68" s="3"/>
      <c r="DM68" s="3"/>
      <c r="DN68" s="3"/>
      <c r="DO68" s="4">
        <f t="shared" si="38"/>
        <v>0</v>
      </c>
      <c r="DP68" s="3"/>
      <c r="DQ68" s="3"/>
      <c r="DR68" s="3"/>
      <c r="DS68" s="3"/>
      <c r="DT68" s="3">
        <v>5</v>
      </c>
      <c r="DU68" s="3"/>
      <c r="DV68" s="3"/>
      <c r="DW68" s="3"/>
      <c r="DX68" s="3"/>
      <c r="DY68" s="3"/>
      <c r="DZ68" s="3"/>
      <c r="EA68" s="3"/>
      <c r="EB68" s="4">
        <f t="shared" si="39"/>
        <v>5</v>
      </c>
      <c r="EC68" s="3"/>
      <c r="ED68" s="3"/>
      <c r="EE68" s="3"/>
      <c r="EF68" s="3"/>
      <c r="EG68" s="3"/>
      <c r="EH68" s="3"/>
      <c r="EI68" s="3"/>
      <c r="EJ68" s="3"/>
      <c r="EK68" s="3"/>
      <c r="EL68" s="3"/>
      <c r="EM68" s="3"/>
      <c r="EN68" s="3"/>
      <c r="EO68" s="4">
        <f t="shared" si="40"/>
        <v>0</v>
      </c>
      <c r="EP68" s="8">
        <f t="shared" si="41"/>
        <v>5</v>
      </c>
      <c r="EQ68" s="181">
        <f>IFERROR(VLOOKUP(I68,CEI_012018!$A$1:$U$509,9,FALSE),0)</f>
        <v>0</v>
      </c>
      <c r="ER68" s="181">
        <f>IFERROR(VLOOKUP(I68,CEI_022018!$A$1:$U$509,9,FALSE),0)</f>
        <v>0</v>
      </c>
      <c r="ES68" s="181">
        <f>IFERROR(VLOOKUP(I68,CEI_032018!$A$1:$U$509,9,FALSE),0)</f>
        <v>0</v>
      </c>
      <c r="ET68" s="181">
        <f>IFERROR(VLOOKUP(I68,CEI_042018!$A$1:$U$491,9,FALSE),0)</f>
        <v>0</v>
      </c>
      <c r="EU68" s="181">
        <f>IFERROR(VLOOKUP(I68,CEI_052018!$A$1:$U$489,9,FALSE),0)</f>
        <v>0</v>
      </c>
      <c r="EV68" s="181">
        <f>IFERROR(VLOOKUP(I68,CEI_062018!$A$1:$U$489,9,FALSE),0)</f>
        <v>0</v>
      </c>
      <c r="EW68" s="181">
        <f>IFERROR(VLOOKUP(I68,CEI_072018!$A$1:$U$489,9,FALSE),0)</f>
        <v>0</v>
      </c>
      <c r="EX68" s="181">
        <f>IFERROR(VLOOKUP(I68,CEI_082018!$A$1:$U$489,9,FALSE),0)</f>
        <v>0</v>
      </c>
      <c r="EY68" s="181">
        <f>IFERROR(VLOOKUP(I68,CEI_092018!$A$1:$U$489,9,FALSE),0)</f>
        <v>0</v>
      </c>
      <c r="EZ68" s="181"/>
      <c r="FA68" s="181"/>
      <c r="FB68" s="181"/>
      <c r="FC68" s="181">
        <f>IFERROR(VLOOKUP(I68,CEI_092018!$A$1:$U$489,12,FALSE),0)</f>
        <v>0</v>
      </c>
      <c r="FD68" s="181">
        <f t="shared" si="42"/>
        <v>0</v>
      </c>
      <c r="FE68" s="181">
        <f t="shared" si="43"/>
        <v>0</v>
      </c>
      <c r="FF68"/>
      <c r="FG68"/>
      <c r="FH68"/>
      <c r="FI68"/>
      <c r="FJ68"/>
      <c r="FK68"/>
      <c r="FL68"/>
      <c r="FM68"/>
      <c r="FN68"/>
      <c r="FO68"/>
      <c r="FP68"/>
      <c r="FQ68"/>
      <c r="FR68"/>
      <c r="FS68"/>
      <c r="FT68"/>
      <c r="FU68"/>
      <c r="FV68"/>
      <c r="FW68"/>
      <c r="FX68"/>
      <c r="FY68"/>
      <c r="FZ68"/>
      <c r="GA68"/>
      <c r="GB68"/>
      <c r="GC68"/>
    </row>
    <row r="69" spans="1:185" ht="12.95" customHeight="1" x14ac:dyDescent="0.25">
      <c r="A69" s="202"/>
      <c r="B69" s="22" t="s">
        <v>63</v>
      </c>
      <c r="C69" s="34" t="s">
        <v>35</v>
      </c>
      <c r="D69" s="22" t="s">
        <v>630</v>
      </c>
      <c r="E69" s="25" t="s">
        <v>66</v>
      </c>
      <c r="F69" s="25" t="s">
        <v>630</v>
      </c>
      <c r="G69" s="25" t="s">
        <v>66</v>
      </c>
      <c r="H69" s="22" t="s">
        <v>65</v>
      </c>
      <c r="I69" s="423" t="s">
        <v>565</v>
      </c>
      <c r="J69" s="37"/>
      <c r="K69" s="23" t="s">
        <v>640</v>
      </c>
      <c r="L69" s="23" t="s">
        <v>641</v>
      </c>
      <c r="M69" s="23" t="s">
        <v>642</v>
      </c>
      <c r="N69" s="23"/>
      <c r="O69" s="2"/>
      <c r="P69" s="2"/>
      <c r="Q69" s="2"/>
      <c r="R69" s="2"/>
      <c r="S69" s="2"/>
      <c r="T69" s="116">
        <f t="shared" si="0"/>
        <v>0</v>
      </c>
      <c r="U69" s="324"/>
      <c r="V69" s="324"/>
      <c r="W69" s="324"/>
      <c r="X69" s="324"/>
      <c r="Y69" s="324"/>
      <c r="Z69" s="324"/>
      <c r="AA69" s="324"/>
      <c r="AB69" s="324"/>
      <c r="AC69" s="324"/>
      <c r="AD69" s="324"/>
      <c r="AE69" s="324"/>
      <c r="AF69" s="324"/>
      <c r="AG69" s="140">
        <f t="shared" si="1"/>
        <v>0</v>
      </c>
      <c r="AH69" s="324"/>
      <c r="AI69" s="324"/>
      <c r="AJ69" s="324"/>
      <c r="AK69" s="324"/>
      <c r="AL69" s="324"/>
      <c r="AM69" s="324"/>
      <c r="AN69" s="324"/>
      <c r="AO69" s="324"/>
      <c r="AP69" s="324"/>
      <c r="AQ69" s="324"/>
      <c r="AR69" s="324"/>
      <c r="AS69" s="324"/>
      <c r="AT69" s="140">
        <f t="shared" si="2"/>
        <v>0</v>
      </c>
      <c r="AU69" s="324"/>
      <c r="AV69" s="324"/>
      <c r="AW69" s="324"/>
      <c r="AX69" s="324"/>
      <c r="AY69" s="324">
        <v>12.5</v>
      </c>
      <c r="AZ69" s="324"/>
      <c r="BA69" s="324"/>
      <c r="BB69" s="324"/>
      <c r="BC69" s="324"/>
      <c r="BD69" s="324"/>
      <c r="BE69" s="324"/>
      <c r="BF69" s="324"/>
      <c r="BG69" s="140">
        <f t="shared" si="3"/>
        <v>12.5</v>
      </c>
      <c r="BH69" s="324"/>
      <c r="BI69" s="324"/>
      <c r="BJ69" s="324"/>
      <c r="BK69" s="324"/>
      <c r="BL69" s="324"/>
      <c r="BM69" s="324"/>
      <c r="BN69" s="324"/>
      <c r="BO69" s="324"/>
      <c r="BP69" s="324"/>
      <c r="BQ69" s="324"/>
      <c r="BR69" s="324"/>
      <c r="BS69" s="324"/>
      <c r="BT69" s="140">
        <f t="shared" si="4"/>
        <v>0</v>
      </c>
      <c r="BU69" s="114">
        <f t="shared" si="5"/>
        <v>12.5</v>
      </c>
      <c r="BV69" s="432"/>
      <c r="BW69" s="432"/>
      <c r="BX69" s="432"/>
      <c r="BY69" s="432"/>
      <c r="BZ69" s="433"/>
      <c r="CA69" s="434"/>
      <c r="CB69" s="7" t="s">
        <v>73</v>
      </c>
      <c r="CC69" s="3">
        <v>0</v>
      </c>
      <c r="CD69" s="3"/>
      <c r="CE69" s="3"/>
      <c r="CF69" s="3"/>
      <c r="CG69" s="3"/>
      <c r="CH69" s="3"/>
      <c r="CI69" s="3"/>
      <c r="CJ69" s="3"/>
      <c r="CK69" s="3"/>
      <c r="CL69" s="3"/>
      <c r="CM69" s="3"/>
      <c r="CN69" s="3"/>
      <c r="CO69" s="4">
        <f t="shared" si="36"/>
        <v>0</v>
      </c>
      <c r="CP69" s="3"/>
      <c r="CQ69" s="3"/>
      <c r="CR69" s="3"/>
      <c r="CS69" s="3"/>
      <c r="CT69" s="3"/>
      <c r="CU69" s="3"/>
      <c r="CV69" s="3"/>
      <c r="CW69" s="3"/>
      <c r="CX69" s="3"/>
      <c r="CY69" s="3"/>
      <c r="CZ69" s="3"/>
      <c r="DA69" s="3"/>
      <c r="DB69" s="4">
        <f t="shared" si="37"/>
        <v>0</v>
      </c>
      <c r="DC69" s="3"/>
      <c r="DD69" s="3"/>
      <c r="DE69" s="3"/>
      <c r="DF69" s="3"/>
      <c r="DG69" s="3"/>
      <c r="DH69" s="3"/>
      <c r="DI69" s="3"/>
      <c r="DJ69" s="3"/>
      <c r="DK69" s="3"/>
      <c r="DL69" s="3"/>
      <c r="DM69" s="3"/>
      <c r="DN69" s="3"/>
      <c r="DO69" s="4">
        <f t="shared" si="38"/>
        <v>0</v>
      </c>
      <c r="DP69" s="3"/>
      <c r="DQ69" s="3"/>
      <c r="DR69" s="3"/>
      <c r="DS69" s="3"/>
      <c r="DT69" s="3">
        <v>5</v>
      </c>
      <c r="DU69" s="3"/>
      <c r="DV69" s="3"/>
      <c r="DW69" s="3"/>
      <c r="DX69" s="3"/>
      <c r="DY69" s="3"/>
      <c r="DZ69" s="3"/>
      <c r="EA69" s="3"/>
      <c r="EB69" s="4">
        <f t="shared" si="39"/>
        <v>5</v>
      </c>
      <c r="EC69" s="3"/>
      <c r="ED69" s="3"/>
      <c r="EE69" s="3"/>
      <c r="EF69" s="3"/>
      <c r="EG69" s="3"/>
      <c r="EH69" s="3"/>
      <c r="EI69" s="3"/>
      <c r="EJ69" s="3"/>
      <c r="EK69" s="3"/>
      <c r="EL69" s="3"/>
      <c r="EM69" s="3"/>
      <c r="EN69" s="3"/>
      <c r="EO69" s="4">
        <f t="shared" si="40"/>
        <v>0</v>
      </c>
      <c r="EP69" s="8">
        <f t="shared" si="41"/>
        <v>5</v>
      </c>
      <c r="EQ69" s="181">
        <f>IFERROR(VLOOKUP(I69,CEI_012018!$A$1:$U$509,9,FALSE),0)</f>
        <v>0</v>
      </c>
      <c r="ER69" s="181">
        <f>IFERROR(VLOOKUP(I69,CEI_022018!$A$1:$U$509,9,FALSE),0)</f>
        <v>0</v>
      </c>
      <c r="ES69" s="181">
        <f>IFERROR(VLOOKUP(I69,CEI_032018!$A$1:$U$509,9,FALSE),0)</f>
        <v>0</v>
      </c>
      <c r="ET69" s="181">
        <f>IFERROR(VLOOKUP(I69,CEI_042018!$A$1:$U$491,9,FALSE),0)</f>
        <v>0</v>
      </c>
      <c r="EU69" s="181">
        <f>IFERROR(VLOOKUP(I69,CEI_052018!$A$1:$U$489,9,FALSE),0)</f>
        <v>0</v>
      </c>
      <c r="EV69" s="181">
        <f>IFERROR(VLOOKUP(I69,CEI_062018!$A$1:$U$489,9,FALSE),0)</f>
        <v>0</v>
      </c>
      <c r="EW69" s="181">
        <f>IFERROR(VLOOKUP(I69,CEI_072018!$A$1:$U$489,9,FALSE),0)</f>
        <v>0</v>
      </c>
      <c r="EX69" s="181">
        <f>IFERROR(VLOOKUP(I69,CEI_082018!$A$1:$U$489,9,FALSE),0)</f>
        <v>0</v>
      </c>
      <c r="EY69" s="181">
        <f>IFERROR(VLOOKUP(I69,CEI_092018!$A$1:$U$489,9,FALSE),0)</f>
        <v>0</v>
      </c>
      <c r="EZ69" s="181"/>
      <c r="FA69" s="181"/>
      <c r="FB69" s="181"/>
      <c r="FC69" s="181">
        <f>IFERROR(VLOOKUP(I69,CEI_092018!$A$1:$U$489,12,FALSE),0)</f>
        <v>0</v>
      </c>
      <c r="FD69" s="181">
        <f t="shared" si="42"/>
        <v>0</v>
      </c>
      <c r="FE69" s="181">
        <f t="shared" si="43"/>
        <v>0</v>
      </c>
      <c r="FF69"/>
      <c r="FG69"/>
      <c r="FH69"/>
      <c r="FI69"/>
      <c r="FJ69"/>
      <c r="FK69"/>
      <c r="FL69"/>
      <c r="FM69"/>
      <c r="FN69"/>
      <c r="FO69"/>
      <c r="FP69"/>
      <c r="FQ69"/>
      <c r="FR69"/>
      <c r="FS69"/>
      <c r="FT69"/>
      <c r="FU69"/>
      <c r="FV69"/>
      <c r="FW69"/>
      <c r="FX69"/>
      <c r="FY69"/>
      <c r="FZ69"/>
      <c r="GA69"/>
      <c r="GB69"/>
      <c r="GC69"/>
    </row>
    <row r="70" spans="1:185" ht="12.95" customHeight="1" x14ac:dyDescent="0.25">
      <c r="A70" s="202"/>
      <c r="B70" s="22" t="s">
        <v>63</v>
      </c>
      <c r="C70" s="34" t="s">
        <v>35</v>
      </c>
      <c r="D70" s="22" t="s">
        <v>625</v>
      </c>
      <c r="E70" s="25" t="s">
        <v>66</v>
      </c>
      <c r="F70" s="25" t="s">
        <v>625</v>
      </c>
      <c r="G70" s="25" t="s">
        <v>66</v>
      </c>
      <c r="H70" s="22" t="s">
        <v>65</v>
      </c>
      <c r="I70" s="423" t="s">
        <v>565</v>
      </c>
      <c r="J70" s="37"/>
      <c r="K70" s="23" t="s">
        <v>1078</v>
      </c>
      <c r="L70" s="23" t="s">
        <v>598</v>
      </c>
      <c r="M70" s="23" t="s">
        <v>599</v>
      </c>
      <c r="N70" s="23"/>
      <c r="O70" s="2"/>
      <c r="P70" s="2"/>
      <c r="Q70" s="2"/>
      <c r="R70" s="2"/>
      <c r="S70" s="2"/>
      <c r="T70" s="116">
        <f t="shared" si="0"/>
        <v>0</v>
      </c>
      <c r="U70" s="324"/>
      <c r="V70" s="324"/>
      <c r="W70" s="324"/>
      <c r="X70" s="324"/>
      <c r="Y70" s="324"/>
      <c r="Z70" s="324"/>
      <c r="AA70" s="324"/>
      <c r="AB70" s="324"/>
      <c r="AC70" s="324"/>
      <c r="AD70" s="324"/>
      <c r="AE70" s="324"/>
      <c r="AF70" s="324"/>
      <c r="AG70" s="140">
        <f t="shared" si="1"/>
        <v>0</v>
      </c>
      <c r="AH70" s="324"/>
      <c r="AI70" s="324"/>
      <c r="AJ70" s="324"/>
      <c r="AK70" s="324"/>
      <c r="AL70" s="324"/>
      <c r="AM70" s="324"/>
      <c r="AN70" s="324"/>
      <c r="AO70" s="324"/>
      <c r="AP70" s="324"/>
      <c r="AQ70" s="324"/>
      <c r="AR70" s="324"/>
      <c r="AS70" s="324"/>
      <c r="AT70" s="140">
        <f t="shared" si="2"/>
        <v>0</v>
      </c>
      <c r="AU70" s="324"/>
      <c r="AV70" s="324"/>
      <c r="AW70" s="324"/>
      <c r="AX70" s="324"/>
      <c r="AY70" s="324">
        <v>8</v>
      </c>
      <c r="AZ70" s="324"/>
      <c r="BA70" s="324"/>
      <c r="BB70" s="324"/>
      <c r="BC70" s="324"/>
      <c r="BD70" s="324"/>
      <c r="BE70" s="324"/>
      <c r="BF70" s="324"/>
      <c r="BG70" s="140">
        <f t="shared" si="3"/>
        <v>8</v>
      </c>
      <c r="BH70" s="324"/>
      <c r="BI70" s="324"/>
      <c r="BJ70" s="324"/>
      <c r="BK70" s="324"/>
      <c r="BL70" s="324"/>
      <c r="BM70" s="324"/>
      <c r="BN70" s="324"/>
      <c r="BO70" s="324"/>
      <c r="BP70" s="324"/>
      <c r="BQ70" s="324"/>
      <c r="BR70" s="324"/>
      <c r="BS70" s="324"/>
      <c r="BT70" s="140">
        <f t="shared" si="4"/>
        <v>0</v>
      </c>
      <c r="BU70" s="114">
        <f t="shared" si="5"/>
        <v>8</v>
      </c>
      <c r="BV70" s="432"/>
      <c r="BW70" s="432"/>
      <c r="BX70" s="432"/>
      <c r="BY70" s="432"/>
      <c r="BZ70" s="433"/>
      <c r="CA70" s="434"/>
      <c r="CB70" s="7" t="s">
        <v>73</v>
      </c>
      <c r="CC70" s="3">
        <v>0</v>
      </c>
      <c r="CD70" s="3"/>
      <c r="CE70" s="3"/>
      <c r="CF70" s="3"/>
      <c r="CG70" s="3"/>
      <c r="CH70" s="3"/>
      <c r="CI70" s="3"/>
      <c r="CJ70" s="3"/>
      <c r="CK70" s="3"/>
      <c r="CL70" s="3"/>
      <c r="CM70" s="3"/>
      <c r="CN70" s="3"/>
      <c r="CO70" s="4">
        <f t="shared" si="36"/>
        <v>0</v>
      </c>
      <c r="CP70" s="3"/>
      <c r="CQ70" s="3"/>
      <c r="CR70" s="3"/>
      <c r="CS70" s="3"/>
      <c r="CT70" s="3"/>
      <c r="CU70" s="3"/>
      <c r="CV70" s="3"/>
      <c r="CW70" s="3"/>
      <c r="CX70" s="3"/>
      <c r="CY70" s="3"/>
      <c r="CZ70" s="3"/>
      <c r="DA70" s="3"/>
      <c r="DB70" s="4">
        <f t="shared" si="37"/>
        <v>0</v>
      </c>
      <c r="DC70" s="3"/>
      <c r="DD70" s="3"/>
      <c r="DE70" s="3"/>
      <c r="DF70" s="3"/>
      <c r="DG70" s="3"/>
      <c r="DH70" s="3"/>
      <c r="DI70" s="3"/>
      <c r="DJ70" s="3"/>
      <c r="DK70" s="3"/>
      <c r="DL70" s="3"/>
      <c r="DM70" s="3"/>
      <c r="DN70" s="3"/>
      <c r="DO70" s="4">
        <f t="shared" si="38"/>
        <v>0</v>
      </c>
      <c r="DP70" s="3"/>
      <c r="DQ70" s="3"/>
      <c r="DR70" s="3"/>
      <c r="DS70" s="3"/>
      <c r="DT70" s="3">
        <v>4</v>
      </c>
      <c r="DU70" s="3"/>
      <c r="DV70" s="3"/>
      <c r="DW70" s="3"/>
      <c r="DX70" s="3"/>
      <c r="DY70" s="3"/>
      <c r="DZ70" s="3"/>
      <c r="EA70" s="3"/>
      <c r="EB70" s="4">
        <f t="shared" si="39"/>
        <v>4</v>
      </c>
      <c r="EC70" s="3"/>
      <c r="ED70" s="3"/>
      <c r="EE70" s="3"/>
      <c r="EF70" s="3"/>
      <c r="EG70" s="3"/>
      <c r="EH70" s="3"/>
      <c r="EI70" s="3"/>
      <c r="EJ70" s="3"/>
      <c r="EK70" s="3"/>
      <c r="EL70" s="3"/>
      <c r="EM70" s="3"/>
      <c r="EN70" s="3"/>
      <c r="EO70" s="4">
        <f t="shared" si="40"/>
        <v>0</v>
      </c>
      <c r="EP70" s="8">
        <f t="shared" si="41"/>
        <v>4</v>
      </c>
      <c r="EQ70" s="181">
        <f>IFERROR(VLOOKUP(I70,CEI_012018!$A$1:$U$509,9,FALSE),0)</f>
        <v>0</v>
      </c>
      <c r="ER70" s="181">
        <f>IFERROR(VLOOKUP(I70,CEI_022018!$A$1:$U$509,9,FALSE),0)</f>
        <v>0</v>
      </c>
      <c r="ES70" s="181">
        <f>IFERROR(VLOOKUP(I70,CEI_032018!$A$1:$U$509,9,FALSE),0)</f>
        <v>0</v>
      </c>
      <c r="ET70" s="181">
        <f>IFERROR(VLOOKUP(I70,CEI_042018!$A$1:$U$491,9,FALSE),0)</f>
        <v>0</v>
      </c>
      <c r="EU70" s="181">
        <f>IFERROR(VLOOKUP(I70,CEI_052018!$A$1:$U$489,9,FALSE),0)</f>
        <v>0</v>
      </c>
      <c r="EV70" s="181">
        <f>IFERROR(VLOOKUP(I70,CEI_062018!$A$1:$U$489,9,FALSE),0)</f>
        <v>0</v>
      </c>
      <c r="EW70" s="181">
        <f>IFERROR(VLOOKUP(I70,CEI_072018!$A$1:$U$489,9,FALSE),0)</f>
        <v>0</v>
      </c>
      <c r="EX70" s="181">
        <f>IFERROR(VLOOKUP(I70,CEI_082018!$A$1:$U$489,9,FALSE),0)</f>
        <v>0</v>
      </c>
      <c r="EY70" s="181">
        <f>IFERROR(VLOOKUP(I70,CEI_092018!$A$1:$U$489,9,FALSE),0)</f>
        <v>0</v>
      </c>
      <c r="EZ70" s="181"/>
      <c r="FA70" s="181"/>
      <c r="FB70" s="181"/>
      <c r="FC70" s="181">
        <f>IFERROR(VLOOKUP(I70,CEI_092018!$A$1:$U$489,12,FALSE),0)</f>
        <v>0</v>
      </c>
      <c r="FD70" s="181">
        <f t="shared" si="42"/>
        <v>0</v>
      </c>
      <c r="FE70" s="181">
        <f t="shared" si="43"/>
        <v>0</v>
      </c>
      <c r="FF70"/>
      <c r="FG70"/>
      <c r="FH70"/>
      <c r="FI70"/>
      <c r="FJ70"/>
      <c r="FK70"/>
      <c r="FL70"/>
      <c r="FM70"/>
      <c r="FN70"/>
      <c r="FO70"/>
      <c r="FP70"/>
      <c r="FQ70"/>
      <c r="FR70"/>
      <c r="FS70"/>
      <c r="FT70"/>
      <c r="FU70"/>
      <c r="FV70"/>
      <c r="FW70"/>
      <c r="FX70"/>
      <c r="FY70"/>
      <c r="FZ70"/>
      <c r="GA70"/>
      <c r="GB70"/>
      <c r="GC70"/>
    </row>
    <row r="71" spans="1:185" ht="12.95" customHeight="1" x14ac:dyDescent="0.25">
      <c r="A71" s="202"/>
      <c r="B71" s="22" t="s">
        <v>63</v>
      </c>
      <c r="C71" s="34" t="s">
        <v>35</v>
      </c>
      <c r="D71" s="22" t="s">
        <v>627</v>
      </c>
      <c r="E71" s="25" t="s">
        <v>66</v>
      </c>
      <c r="F71" s="25" t="s">
        <v>627</v>
      </c>
      <c r="G71" s="25" t="s">
        <v>66</v>
      </c>
      <c r="H71" s="22" t="s">
        <v>65</v>
      </c>
      <c r="I71" s="423" t="s">
        <v>565</v>
      </c>
      <c r="J71" s="37"/>
      <c r="K71" s="23" t="s">
        <v>622</v>
      </c>
      <c r="L71" s="23" t="s">
        <v>623</v>
      </c>
      <c r="M71" s="23" t="s">
        <v>624</v>
      </c>
      <c r="N71" s="23"/>
      <c r="O71" s="2"/>
      <c r="P71" s="2"/>
      <c r="Q71" s="2"/>
      <c r="R71" s="2"/>
      <c r="S71" s="2"/>
      <c r="T71" s="116">
        <f t="shared" ref="T71:T135" si="44">SUM(O71:S71)</f>
        <v>0</v>
      </c>
      <c r="U71" s="324"/>
      <c r="V71" s="324"/>
      <c r="W71" s="324"/>
      <c r="X71" s="324"/>
      <c r="Y71" s="324"/>
      <c r="Z71" s="324"/>
      <c r="AA71" s="324"/>
      <c r="AB71" s="324"/>
      <c r="AC71" s="324"/>
      <c r="AD71" s="324"/>
      <c r="AE71" s="324"/>
      <c r="AF71" s="324"/>
      <c r="AG71" s="140">
        <f t="shared" si="1"/>
        <v>0</v>
      </c>
      <c r="AH71" s="324"/>
      <c r="AI71" s="324"/>
      <c r="AJ71" s="324"/>
      <c r="AK71" s="324"/>
      <c r="AL71" s="324"/>
      <c r="AM71" s="324"/>
      <c r="AN71" s="324"/>
      <c r="AO71" s="324"/>
      <c r="AP71" s="324"/>
      <c r="AQ71" s="324"/>
      <c r="AR71" s="324"/>
      <c r="AS71" s="324"/>
      <c r="AT71" s="140">
        <f t="shared" si="2"/>
        <v>0</v>
      </c>
      <c r="AU71" s="324"/>
      <c r="AV71" s="324"/>
      <c r="AW71" s="324"/>
      <c r="AX71" s="324"/>
      <c r="AY71" s="324">
        <v>4</v>
      </c>
      <c r="AZ71" s="324"/>
      <c r="BA71" s="324"/>
      <c r="BB71" s="324"/>
      <c r="BC71" s="324"/>
      <c r="BD71" s="324"/>
      <c r="BE71" s="324"/>
      <c r="BF71" s="324"/>
      <c r="BG71" s="140">
        <f t="shared" si="3"/>
        <v>4</v>
      </c>
      <c r="BH71" s="324"/>
      <c r="BI71" s="324"/>
      <c r="BJ71" s="324"/>
      <c r="BK71" s="324"/>
      <c r="BL71" s="324"/>
      <c r="BM71" s="324"/>
      <c r="BN71" s="324"/>
      <c r="BO71" s="324"/>
      <c r="BP71" s="324"/>
      <c r="BQ71" s="324"/>
      <c r="BR71" s="324"/>
      <c r="BS71" s="324"/>
      <c r="BT71" s="140">
        <f t="shared" si="4"/>
        <v>0</v>
      </c>
      <c r="BU71" s="114">
        <f t="shared" si="5"/>
        <v>4</v>
      </c>
      <c r="BV71" s="432"/>
      <c r="BW71" s="432"/>
      <c r="BX71" s="432"/>
      <c r="BY71" s="432"/>
      <c r="BZ71" s="433"/>
      <c r="CA71" s="434"/>
      <c r="CB71" s="7" t="s">
        <v>73</v>
      </c>
      <c r="CC71" s="3">
        <v>0</v>
      </c>
      <c r="CD71" s="3"/>
      <c r="CE71" s="3"/>
      <c r="CF71" s="3"/>
      <c r="CG71" s="3"/>
      <c r="CH71" s="3"/>
      <c r="CI71" s="3"/>
      <c r="CJ71" s="3"/>
      <c r="CK71" s="3"/>
      <c r="CL71" s="3"/>
      <c r="CM71" s="3"/>
      <c r="CN71" s="3"/>
      <c r="CO71" s="4">
        <f t="shared" si="36"/>
        <v>0</v>
      </c>
      <c r="CP71" s="3"/>
      <c r="CQ71" s="3"/>
      <c r="CR71" s="3"/>
      <c r="CS71" s="3"/>
      <c r="CT71" s="3"/>
      <c r="CU71" s="3"/>
      <c r="CV71" s="3"/>
      <c r="CW71" s="3"/>
      <c r="CX71" s="3"/>
      <c r="CY71" s="3"/>
      <c r="CZ71" s="3"/>
      <c r="DA71" s="3"/>
      <c r="DB71" s="4">
        <f t="shared" si="37"/>
        <v>0</v>
      </c>
      <c r="DC71" s="3"/>
      <c r="DD71" s="3"/>
      <c r="DE71" s="3"/>
      <c r="DF71" s="3"/>
      <c r="DG71" s="3"/>
      <c r="DH71" s="3"/>
      <c r="DI71" s="3"/>
      <c r="DJ71" s="3"/>
      <c r="DK71" s="3"/>
      <c r="DL71" s="3"/>
      <c r="DM71" s="3"/>
      <c r="DN71" s="3"/>
      <c r="DO71" s="4">
        <f t="shared" si="38"/>
        <v>0</v>
      </c>
      <c r="DP71" s="3"/>
      <c r="DQ71" s="3"/>
      <c r="DR71" s="3"/>
      <c r="DS71" s="3"/>
      <c r="DT71" s="3">
        <v>2</v>
      </c>
      <c r="DU71" s="3"/>
      <c r="DV71" s="3"/>
      <c r="DW71" s="3"/>
      <c r="DX71" s="3"/>
      <c r="DY71" s="3"/>
      <c r="DZ71" s="3"/>
      <c r="EA71" s="3"/>
      <c r="EB71" s="4">
        <f t="shared" si="39"/>
        <v>2</v>
      </c>
      <c r="EC71" s="3"/>
      <c r="ED71" s="3"/>
      <c r="EE71" s="3"/>
      <c r="EF71" s="3"/>
      <c r="EG71" s="3"/>
      <c r="EH71" s="3"/>
      <c r="EI71" s="3"/>
      <c r="EJ71" s="3"/>
      <c r="EK71" s="3"/>
      <c r="EL71" s="3"/>
      <c r="EM71" s="3"/>
      <c r="EN71" s="3"/>
      <c r="EO71" s="4">
        <f t="shared" si="40"/>
        <v>0</v>
      </c>
      <c r="EP71" s="8">
        <f t="shared" si="41"/>
        <v>2</v>
      </c>
      <c r="EQ71" s="181">
        <f>IFERROR(VLOOKUP(I71,CEI_012018!$A$1:$U$509,9,FALSE),0)</f>
        <v>0</v>
      </c>
      <c r="ER71" s="181">
        <f>IFERROR(VLOOKUP(I71,CEI_022018!$A$1:$U$509,9,FALSE),0)</f>
        <v>0</v>
      </c>
      <c r="ES71" s="181">
        <f>IFERROR(VLOOKUP(I71,CEI_032018!$A$1:$U$509,9,FALSE),0)</f>
        <v>0</v>
      </c>
      <c r="ET71" s="181">
        <f>IFERROR(VLOOKUP(I71,CEI_042018!$A$1:$U$491,9,FALSE),0)</f>
        <v>0</v>
      </c>
      <c r="EU71" s="181">
        <f>IFERROR(VLOOKUP(I71,CEI_052018!$A$1:$U$489,9,FALSE),0)</f>
        <v>0</v>
      </c>
      <c r="EV71" s="181">
        <f>IFERROR(VLOOKUP(I71,CEI_062018!$A$1:$U$489,9,FALSE),0)</f>
        <v>0</v>
      </c>
      <c r="EW71" s="181">
        <f>IFERROR(VLOOKUP(I71,CEI_072018!$A$1:$U$489,9,FALSE),0)</f>
        <v>0</v>
      </c>
      <c r="EX71" s="181">
        <f>IFERROR(VLOOKUP(I71,CEI_082018!$A$1:$U$489,9,FALSE),0)</f>
        <v>0</v>
      </c>
      <c r="EY71" s="181">
        <f>IFERROR(VLOOKUP(I71,CEI_092018!$A$1:$U$489,9,FALSE),0)</f>
        <v>0</v>
      </c>
      <c r="EZ71" s="181"/>
      <c r="FA71" s="181"/>
      <c r="FB71" s="181"/>
      <c r="FC71" s="181">
        <f>IFERROR(VLOOKUP(I71,CEI_092018!$A$1:$U$489,12,FALSE),0)</f>
        <v>0</v>
      </c>
      <c r="FD71" s="181">
        <f t="shared" si="42"/>
        <v>0</v>
      </c>
      <c r="FE71" s="181">
        <f t="shared" si="43"/>
        <v>0</v>
      </c>
      <c r="FF71"/>
      <c r="FG71"/>
      <c r="FH71"/>
      <c r="FI71"/>
      <c r="FJ71"/>
      <c r="FK71"/>
      <c r="FL71"/>
      <c r="FM71"/>
      <c r="FN71"/>
      <c r="FO71"/>
      <c r="FP71"/>
      <c r="FQ71"/>
      <c r="FR71"/>
      <c r="FS71"/>
      <c r="FT71"/>
      <c r="FU71"/>
      <c r="FV71"/>
      <c r="FW71"/>
      <c r="FX71"/>
      <c r="FY71"/>
      <c r="FZ71"/>
      <c r="GA71"/>
      <c r="GB71"/>
      <c r="GC71"/>
    </row>
    <row r="72" spans="1:185" ht="12.95" customHeight="1" x14ac:dyDescent="0.25">
      <c r="A72" s="202"/>
      <c r="B72" s="22" t="s">
        <v>63</v>
      </c>
      <c r="C72" s="34" t="s">
        <v>36</v>
      </c>
      <c r="D72" s="22" t="s">
        <v>318</v>
      </c>
      <c r="E72" s="25" t="s">
        <v>1061</v>
      </c>
      <c r="F72" s="25" t="s">
        <v>318</v>
      </c>
      <c r="G72" s="25" t="s">
        <v>1061</v>
      </c>
      <c r="H72" s="22" t="s">
        <v>56</v>
      </c>
      <c r="I72" s="423" t="s">
        <v>565</v>
      </c>
      <c r="J72" s="37" t="s">
        <v>59</v>
      </c>
      <c r="K72" s="23" t="s">
        <v>747</v>
      </c>
      <c r="L72" s="23" t="s">
        <v>748</v>
      </c>
      <c r="M72" s="23" t="s">
        <v>749</v>
      </c>
      <c r="N72" s="23" t="s">
        <v>1872</v>
      </c>
      <c r="O72" s="2">
        <v>0</v>
      </c>
      <c r="P72" s="2">
        <v>0</v>
      </c>
      <c r="Q72" s="2">
        <v>0</v>
      </c>
      <c r="R72" s="2">
        <v>0</v>
      </c>
      <c r="S72" s="2">
        <v>0</v>
      </c>
      <c r="T72" s="116">
        <f t="shared" si="44"/>
        <v>0</v>
      </c>
      <c r="U72" s="324">
        <v>0</v>
      </c>
      <c r="V72" s="324">
        <v>0</v>
      </c>
      <c r="W72" s="324">
        <v>0</v>
      </c>
      <c r="X72" s="324">
        <v>0</v>
      </c>
      <c r="Y72" s="324">
        <v>0</v>
      </c>
      <c r="Z72" s="324">
        <v>0</v>
      </c>
      <c r="AA72" s="324">
        <v>0</v>
      </c>
      <c r="AB72" s="324">
        <v>0</v>
      </c>
      <c r="AC72" s="324">
        <v>0</v>
      </c>
      <c r="AD72" s="324">
        <v>250</v>
      </c>
      <c r="AE72" s="324">
        <v>0</v>
      </c>
      <c r="AF72" s="324">
        <v>0</v>
      </c>
      <c r="AG72" s="140">
        <f t="shared" ref="AG72:AG137" si="45">SUM(U72:AF72)</f>
        <v>250</v>
      </c>
      <c r="AH72" s="324">
        <v>0</v>
      </c>
      <c r="AI72" s="324">
        <v>0</v>
      </c>
      <c r="AJ72" s="324">
        <v>0</v>
      </c>
      <c r="AK72" s="324">
        <v>0</v>
      </c>
      <c r="AL72" s="324">
        <v>0</v>
      </c>
      <c r="AM72" s="324">
        <v>0</v>
      </c>
      <c r="AN72" s="324">
        <v>0</v>
      </c>
      <c r="AO72" s="324">
        <v>0</v>
      </c>
      <c r="AP72" s="324">
        <v>0</v>
      </c>
      <c r="AQ72" s="324">
        <v>0</v>
      </c>
      <c r="AR72" s="324">
        <v>0</v>
      </c>
      <c r="AS72" s="324">
        <v>0</v>
      </c>
      <c r="AT72" s="140">
        <f t="shared" ref="AT72:AT137" si="46">SUM(AH72:AS72)</f>
        <v>0</v>
      </c>
      <c r="AU72" s="324">
        <v>0</v>
      </c>
      <c r="AV72" s="324">
        <v>0</v>
      </c>
      <c r="AW72" s="324">
        <v>0</v>
      </c>
      <c r="AX72" s="324">
        <v>0</v>
      </c>
      <c r="AY72" s="324">
        <v>0</v>
      </c>
      <c r="AZ72" s="324">
        <v>0</v>
      </c>
      <c r="BA72" s="324">
        <v>0</v>
      </c>
      <c r="BB72" s="324">
        <v>0</v>
      </c>
      <c r="BC72" s="324">
        <v>0</v>
      </c>
      <c r="BD72" s="324">
        <v>0</v>
      </c>
      <c r="BE72" s="324">
        <v>0</v>
      </c>
      <c r="BF72" s="324">
        <v>0</v>
      </c>
      <c r="BG72" s="140">
        <f t="shared" ref="BG72:BG137" si="47">SUM(AU72:BF72)</f>
        <v>0</v>
      </c>
      <c r="BH72" s="324">
        <v>0</v>
      </c>
      <c r="BI72" s="324">
        <v>0</v>
      </c>
      <c r="BJ72" s="324">
        <v>0</v>
      </c>
      <c r="BK72" s="324">
        <v>0</v>
      </c>
      <c r="BL72" s="324">
        <v>0</v>
      </c>
      <c r="BM72" s="324">
        <v>0</v>
      </c>
      <c r="BN72" s="324">
        <v>0</v>
      </c>
      <c r="BO72" s="324">
        <v>0</v>
      </c>
      <c r="BP72" s="324">
        <v>0</v>
      </c>
      <c r="BQ72" s="324">
        <v>0</v>
      </c>
      <c r="BR72" s="324">
        <v>0</v>
      </c>
      <c r="BS72" s="324">
        <v>0</v>
      </c>
      <c r="BT72" s="140">
        <f t="shared" ref="BT72:BT137" si="48">SUM(BH72:BS72)</f>
        <v>0</v>
      </c>
      <c r="BU72" s="114">
        <f t="shared" ref="BU72:BU137" si="49">SUM(BT72,BG72,AT72,AG72,T72)</f>
        <v>250</v>
      </c>
      <c r="BV72" s="432"/>
      <c r="BW72" s="432"/>
      <c r="BX72" s="432"/>
      <c r="BY72" s="432"/>
      <c r="BZ72" s="433"/>
      <c r="CA72" s="434"/>
      <c r="CB72" s="7" t="s">
        <v>1681</v>
      </c>
      <c r="CC72" s="3">
        <v>0</v>
      </c>
      <c r="CD72" s="3">
        <v>0</v>
      </c>
      <c r="CE72" s="3">
        <v>0</v>
      </c>
      <c r="CF72" s="3">
        <v>0</v>
      </c>
      <c r="CG72" s="3">
        <v>0</v>
      </c>
      <c r="CH72" s="3">
        <v>0</v>
      </c>
      <c r="CI72" s="3">
        <v>0</v>
      </c>
      <c r="CJ72" s="3">
        <v>0</v>
      </c>
      <c r="CK72" s="3">
        <v>0</v>
      </c>
      <c r="CL72" s="3">
        <v>0</v>
      </c>
      <c r="CM72" s="3">
        <v>0</v>
      </c>
      <c r="CN72" s="3">
        <v>0</v>
      </c>
      <c r="CO72" s="4">
        <f t="shared" si="36"/>
        <v>0</v>
      </c>
      <c r="CP72" s="3">
        <v>0</v>
      </c>
      <c r="CQ72" s="3">
        <v>0</v>
      </c>
      <c r="CR72" s="3">
        <v>0</v>
      </c>
      <c r="CS72" s="3">
        <v>0</v>
      </c>
      <c r="CT72" s="3">
        <v>0</v>
      </c>
      <c r="CU72" s="3">
        <v>0</v>
      </c>
      <c r="CV72" s="3">
        <v>0</v>
      </c>
      <c r="CW72" s="3">
        <v>0</v>
      </c>
      <c r="CX72" s="3">
        <v>0</v>
      </c>
      <c r="CY72" s="3">
        <v>2</v>
      </c>
      <c r="CZ72" s="3">
        <v>0</v>
      </c>
      <c r="DA72" s="3">
        <v>0</v>
      </c>
      <c r="DB72" s="4">
        <f t="shared" si="37"/>
        <v>2</v>
      </c>
      <c r="DC72" s="3">
        <v>0</v>
      </c>
      <c r="DD72" s="3">
        <v>0</v>
      </c>
      <c r="DE72" s="3">
        <v>0</v>
      </c>
      <c r="DF72" s="3">
        <v>0</v>
      </c>
      <c r="DG72" s="3">
        <v>0</v>
      </c>
      <c r="DH72" s="3">
        <v>0</v>
      </c>
      <c r="DI72" s="3">
        <v>0</v>
      </c>
      <c r="DJ72" s="3">
        <v>0</v>
      </c>
      <c r="DK72" s="3">
        <v>0</v>
      </c>
      <c r="DL72" s="3">
        <v>0</v>
      </c>
      <c r="DM72" s="3">
        <v>0</v>
      </c>
      <c r="DN72" s="3">
        <v>0</v>
      </c>
      <c r="DO72" s="4">
        <f t="shared" si="38"/>
        <v>0</v>
      </c>
      <c r="DP72" s="3">
        <v>0</v>
      </c>
      <c r="DQ72" s="3">
        <v>0</v>
      </c>
      <c r="DR72" s="3">
        <v>0</v>
      </c>
      <c r="DS72" s="3">
        <v>0</v>
      </c>
      <c r="DT72" s="3">
        <v>0</v>
      </c>
      <c r="DU72" s="3">
        <v>0</v>
      </c>
      <c r="DV72" s="3">
        <v>0</v>
      </c>
      <c r="DW72" s="3">
        <v>0</v>
      </c>
      <c r="DX72" s="3">
        <v>0</v>
      </c>
      <c r="DY72" s="3">
        <v>0</v>
      </c>
      <c r="DZ72" s="3">
        <v>0</v>
      </c>
      <c r="EA72" s="3">
        <v>0</v>
      </c>
      <c r="EB72" s="4">
        <f t="shared" si="39"/>
        <v>0</v>
      </c>
      <c r="EC72" s="3">
        <v>0</v>
      </c>
      <c r="ED72" s="3">
        <v>0</v>
      </c>
      <c r="EE72" s="3">
        <v>0</v>
      </c>
      <c r="EF72" s="3">
        <v>0</v>
      </c>
      <c r="EG72" s="3">
        <v>0</v>
      </c>
      <c r="EH72" s="3">
        <v>0</v>
      </c>
      <c r="EI72" s="3">
        <v>0</v>
      </c>
      <c r="EJ72" s="3">
        <v>0</v>
      </c>
      <c r="EK72" s="3">
        <v>0</v>
      </c>
      <c r="EL72" s="3">
        <v>0</v>
      </c>
      <c r="EM72" s="3">
        <v>0</v>
      </c>
      <c r="EN72" s="3">
        <v>0</v>
      </c>
      <c r="EO72" s="4">
        <f t="shared" si="40"/>
        <v>0</v>
      </c>
      <c r="EP72" s="8">
        <f t="shared" si="41"/>
        <v>2</v>
      </c>
      <c r="EQ72" s="181">
        <f>IFERROR(VLOOKUP(I72,CEI_012018!$A$1:$U$509,9,FALSE),0)</f>
        <v>0</v>
      </c>
      <c r="ER72" s="181">
        <f>IFERROR(VLOOKUP(I72,CEI_022018!$A$1:$U$509,9,FALSE),0)</f>
        <v>0</v>
      </c>
      <c r="ES72" s="181">
        <f>IFERROR(VLOOKUP(I72,CEI_032018!$A$1:$U$509,9,FALSE),0)</f>
        <v>0</v>
      </c>
      <c r="ET72" s="181">
        <f>IFERROR(VLOOKUP(I72,CEI_042018!$A$1:$U$491,9,FALSE),0)</f>
        <v>0</v>
      </c>
      <c r="EU72" s="181">
        <f>IFERROR(VLOOKUP(I72,CEI_052018!$A$1:$U$489,9,FALSE),0)</f>
        <v>0</v>
      </c>
      <c r="EV72" s="181">
        <f>IFERROR(VLOOKUP(I72,CEI_062018!$A$1:$U$489,9,FALSE),0)</f>
        <v>0</v>
      </c>
      <c r="EW72" s="181">
        <f>IFERROR(VLOOKUP(I72,CEI_072018!$A$1:$U$489,9,FALSE),0)</f>
        <v>0</v>
      </c>
      <c r="EX72" s="181">
        <f>IFERROR(VLOOKUP(I72,CEI_082018!$A$1:$U$489,9,FALSE),0)</f>
        <v>0</v>
      </c>
      <c r="EY72" s="181">
        <f>IFERROR(VLOOKUP(I72,CEI_092018!$A$1:$U$489,9,FALSE),0)</f>
        <v>0</v>
      </c>
      <c r="EZ72" s="181"/>
      <c r="FA72" s="181"/>
      <c r="FB72" s="181"/>
      <c r="FC72" s="181">
        <f>IFERROR(VLOOKUP(I72,CEI_092018!$A$1:$U$489,12,FALSE),0)</f>
        <v>0</v>
      </c>
      <c r="FD72" s="181">
        <f t="shared" si="42"/>
        <v>0</v>
      </c>
      <c r="FE72" s="181">
        <f t="shared" si="43"/>
        <v>0</v>
      </c>
      <c r="FF72"/>
      <c r="FG72"/>
      <c r="FH72"/>
      <c r="FI72"/>
      <c r="FJ72"/>
      <c r="FK72"/>
      <c r="FL72"/>
      <c r="FM72"/>
      <c r="FN72"/>
      <c r="FO72"/>
      <c r="FP72"/>
      <c r="FQ72"/>
      <c r="FR72"/>
      <c r="FS72"/>
      <c r="FT72"/>
      <c r="FU72"/>
      <c r="FV72"/>
      <c r="FW72"/>
      <c r="FX72"/>
      <c r="FY72"/>
      <c r="FZ72"/>
      <c r="GA72"/>
      <c r="GB72"/>
      <c r="GC72"/>
    </row>
    <row r="73" spans="1:185" ht="12.95" customHeight="1" x14ac:dyDescent="0.25">
      <c r="A73" s="202"/>
      <c r="B73" s="22" t="s">
        <v>63</v>
      </c>
      <c r="C73" s="34" t="s">
        <v>36</v>
      </c>
      <c r="D73" s="22" t="s">
        <v>318</v>
      </c>
      <c r="E73" s="25" t="s">
        <v>1061</v>
      </c>
      <c r="F73" s="25" t="s">
        <v>64</v>
      </c>
      <c r="G73" s="25" t="s">
        <v>66</v>
      </c>
      <c r="H73" s="22" t="s">
        <v>56</v>
      </c>
      <c r="I73" s="423" t="s">
        <v>1742</v>
      </c>
      <c r="J73" s="37" t="s">
        <v>59</v>
      </c>
      <c r="K73" s="23" t="s">
        <v>1723</v>
      </c>
      <c r="L73" s="23" t="s">
        <v>1710</v>
      </c>
      <c r="M73" s="23" t="s">
        <v>570</v>
      </c>
      <c r="N73" s="23" t="s">
        <v>1871</v>
      </c>
      <c r="O73" s="2">
        <v>0</v>
      </c>
      <c r="P73" s="2">
        <v>0</v>
      </c>
      <c r="Q73" s="2">
        <v>142.21934999999999</v>
      </c>
      <c r="R73" s="2">
        <v>0</v>
      </c>
      <c r="S73" s="2">
        <v>0</v>
      </c>
      <c r="T73" s="116">
        <f t="shared" si="44"/>
        <v>142.21934999999999</v>
      </c>
      <c r="U73" s="324">
        <v>0</v>
      </c>
      <c r="V73" s="324">
        <v>0</v>
      </c>
      <c r="W73" s="324">
        <v>0</v>
      </c>
      <c r="X73" s="324">
        <v>0</v>
      </c>
      <c r="Y73" s="324">
        <v>0</v>
      </c>
      <c r="Z73" s="324">
        <v>0</v>
      </c>
      <c r="AA73" s="324">
        <v>0</v>
      </c>
      <c r="AB73" s="324">
        <v>0</v>
      </c>
      <c r="AC73" s="324">
        <v>0</v>
      </c>
      <c r="AD73" s="324">
        <v>0</v>
      </c>
      <c r="AE73" s="324">
        <v>0</v>
      </c>
      <c r="AF73" s="324">
        <v>0</v>
      </c>
      <c r="AG73" s="140">
        <f t="shared" si="45"/>
        <v>0</v>
      </c>
      <c r="AH73" s="324">
        <v>0</v>
      </c>
      <c r="AI73" s="324">
        <v>0</v>
      </c>
      <c r="AJ73" s="324">
        <v>0</v>
      </c>
      <c r="AK73" s="324">
        <v>0</v>
      </c>
      <c r="AL73" s="324">
        <v>0</v>
      </c>
      <c r="AM73" s="324">
        <v>0</v>
      </c>
      <c r="AN73" s="324">
        <v>0</v>
      </c>
      <c r="AO73" s="324">
        <v>0</v>
      </c>
      <c r="AP73" s="324">
        <v>0</v>
      </c>
      <c r="AQ73" s="324">
        <v>0</v>
      </c>
      <c r="AR73" s="324">
        <v>0</v>
      </c>
      <c r="AS73" s="324">
        <v>0</v>
      </c>
      <c r="AT73" s="140">
        <f t="shared" si="46"/>
        <v>0</v>
      </c>
      <c r="AU73" s="324">
        <v>0</v>
      </c>
      <c r="AV73" s="324">
        <v>0</v>
      </c>
      <c r="AW73" s="324">
        <v>0</v>
      </c>
      <c r="AX73" s="324">
        <v>0</v>
      </c>
      <c r="AY73" s="324">
        <v>0</v>
      </c>
      <c r="AZ73" s="324">
        <v>0</v>
      </c>
      <c r="BA73" s="324">
        <v>0</v>
      </c>
      <c r="BB73" s="324">
        <v>0</v>
      </c>
      <c r="BC73" s="324">
        <v>0</v>
      </c>
      <c r="BD73" s="324">
        <v>0</v>
      </c>
      <c r="BE73" s="324">
        <v>0</v>
      </c>
      <c r="BF73" s="324">
        <v>0</v>
      </c>
      <c r="BG73" s="140">
        <f t="shared" si="47"/>
        <v>0</v>
      </c>
      <c r="BH73" s="324">
        <v>0</v>
      </c>
      <c r="BI73" s="324">
        <v>0</v>
      </c>
      <c r="BJ73" s="324">
        <v>0</v>
      </c>
      <c r="BK73" s="324">
        <v>0</v>
      </c>
      <c r="BL73" s="324">
        <v>0</v>
      </c>
      <c r="BM73" s="324">
        <v>0</v>
      </c>
      <c r="BN73" s="324">
        <v>0</v>
      </c>
      <c r="BO73" s="324">
        <v>0</v>
      </c>
      <c r="BP73" s="324">
        <v>0</v>
      </c>
      <c r="BQ73" s="324">
        <v>0</v>
      </c>
      <c r="BR73" s="324">
        <v>0</v>
      </c>
      <c r="BS73" s="324">
        <v>0</v>
      </c>
      <c r="BT73" s="140">
        <f t="shared" si="48"/>
        <v>0</v>
      </c>
      <c r="BU73" s="114">
        <f t="shared" si="49"/>
        <v>142.21934999999999</v>
      </c>
      <c r="BV73" s="372">
        <v>-1</v>
      </c>
      <c r="BW73" s="372">
        <v>-1</v>
      </c>
      <c r="BX73" s="372">
        <v>-1</v>
      </c>
      <c r="BY73" s="372">
        <v>-1</v>
      </c>
      <c r="BZ73" s="436">
        <f>IFERROR((EX73/T73%),0)</f>
        <v>0</v>
      </c>
      <c r="CA73" s="428">
        <f>IFERROR((FD73/T73%),0)</f>
        <v>100.00000459632621</v>
      </c>
      <c r="CB73" s="7" t="s">
        <v>1681</v>
      </c>
      <c r="CC73" s="3">
        <v>0</v>
      </c>
      <c r="CD73" s="3">
        <v>0</v>
      </c>
      <c r="CE73" s="3">
        <v>0</v>
      </c>
      <c r="CF73" s="3">
        <v>0</v>
      </c>
      <c r="CG73" s="3">
        <v>0</v>
      </c>
      <c r="CH73" s="3">
        <v>0</v>
      </c>
      <c r="CI73" s="3">
        <v>0</v>
      </c>
      <c r="CJ73" s="3">
        <v>0</v>
      </c>
      <c r="CK73" s="3">
        <v>0</v>
      </c>
      <c r="CL73" s="3">
        <v>21</v>
      </c>
      <c r="CM73" s="3">
        <v>0</v>
      </c>
      <c r="CN73" s="3">
        <v>0</v>
      </c>
      <c r="CO73" s="4">
        <f t="shared" si="36"/>
        <v>21</v>
      </c>
      <c r="CP73" s="3">
        <v>0</v>
      </c>
      <c r="CQ73" s="3">
        <v>0</v>
      </c>
      <c r="CR73" s="3">
        <v>0</v>
      </c>
      <c r="CS73" s="3">
        <v>0</v>
      </c>
      <c r="CT73" s="3">
        <v>0</v>
      </c>
      <c r="CU73" s="3">
        <v>0</v>
      </c>
      <c r="CV73" s="3">
        <v>0</v>
      </c>
      <c r="CW73" s="3">
        <v>0</v>
      </c>
      <c r="CX73" s="3">
        <v>0</v>
      </c>
      <c r="CY73" s="3">
        <v>0</v>
      </c>
      <c r="CZ73" s="3">
        <v>0</v>
      </c>
      <c r="DA73" s="3">
        <v>0</v>
      </c>
      <c r="DB73" s="4">
        <f t="shared" si="37"/>
        <v>0</v>
      </c>
      <c r="DC73" s="3">
        <v>0</v>
      </c>
      <c r="DD73" s="3">
        <v>0</v>
      </c>
      <c r="DE73" s="3">
        <v>0</v>
      </c>
      <c r="DF73" s="3">
        <v>0</v>
      </c>
      <c r="DG73" s="3">
        <v>0</v>
      </c>
      <c r="DH73" s="3">
        <v>0</v>
      </c>
      <c r="DI73" s="3">
        <v>0</v>
      </c>
      <c r="DJ73" s="3">
        <v>0</v>
      </c>
      <c r="DK73" s="3">
        <v>0</v>
      </c>
      <c r="DL73" s="3">
        <v>0</v>
      </c>
      <c r="DM73" s="3">
        <v>0</v>
      </c>
      <c r="DN73" s="3">
        <v>0</v>
      </c>
      <c r="DO73" s="4">
        <f t="shared" si="38"/>
        <v>0</v>
      </c>
      <c r="DP73" s="3">
        <v>0</v>
      </c>
      <c r="DQ73" s="3">
        <v>0</v>
      </c>
      <c r="DR73" s="3">
        <v>0</v>
      </c>
      <c r="DS73" s="3">
        <v>0</v>
      </c>
      <c r="DT73" s="3">
        <v>0</v>
      </c>
      <c r="DU73" s="3">
        <v>0</v>
      </c>
      <c r="DV73" s="3">
        <v>0</v>
      </c>
      <c r="DW73" s="3">
        <v>0</v>
      </c>
      <c r="DX73" s="3">
        <v>0</v>
      </c>
      <c r="DY73" s="3">
        <v>0</v>
      </c>
      <c r="DZ73" s="3">
        <v>0</v>
      </c>
      <c r="EA73" s="3">
        <v>0</v>
      </c>
      <c r="EB73" s="4">
        <f t="shared" si="39"/>
        <v>0</v>
      </c>
      <c r="EC73" s="3">
        <v>0</v>
      </c>
      <c r="ED73" s="3">
        <v>0</v>
      </c>
      <c r="EE73" s="3">
        <v>0</v>
      </c>
      <c r="EF73" s="3">
        <v>0</v>
      </c>
      <c r="EG73" s="3">
        <v>0</v>
      </c>
      <c r="EH73" s="3">
        <v>0</v>
      </c>
      <c r="EI73" s="3">
        <v>0</v>
      </c>
      <c r="EJ73" s="3">
        <v>0</v>
      </c>
      <c r="EK73" s="3">
        <v>0</v>
      </c>
      <c r="EL73" s="3">
        <v>0</v>
      </c>
      <c r="EM73" s="3">
        <v>0</v>
      </c>
      <c r="EN73" s="3">
        <v>0</v>
      </c>
      <c r="EO73" s="4">
        <f t="shared" si="40"/>
        <v>0</v>
      </c>
      <c r="EP73" s="8">
        <f t="shared" si="41"/>
        <v>21</v>
      </c>
      <c r="EQ73" s="181">
        <f>IFERROR(VLOOKUP(I73,CEI_012018!$A$1:$U$509,9,FALSE),0)</f>
        <v>0</v>
      </c>
      <c r="ER73" s="181">
        <f>IFERROR(VLOOKUP(I73,CEI_022018!$A$1:$U$509,9,FALSE),0)</f>
        <v>0</v>
      </c>
      <c r="ES73" s="181">
        <f>IFERROR(VLOOKUP(I73,CEI_032018!$A$1:$U$509,9,FALSE),0)</f>
        <v>0</v>
      </c>
      <c r="ET73" s="181">
        <f>IFERROR(VLOOKUP(I73,CEI_042018!$A$1:$U$491,9,FALSE),0)</f>
        <v>0</v>
      </c>
      <c r="EU73" s="181">
        <f>IFERROR(VLOOKUP(I73,CEI_052018!$A$1:$U$489,9,FALSE),0)</f>
        <v>0</v>
      </c>
      <c r="EV73" s="181">
        <f>IFERROR(VLOOKUP(I73,CEI_062018!$A$1:$U$489,9,FALSE),0)</f>
        <v>0</v>
      </c>
      <c r="EW73" s="181">
        <f>IFERROR(VLOOKUP(I73,CEI_072018!$A$1:$U$489,9,FALSE),0)</f>
        <v>0</v>
      </c>
      <c r="EX73" s="181">
        <f>IFERROR(VLOOKUP(I73,CEI_082018!$A$1:$U$489,9,FALSE),0)</f>
        <v>0</v>
      </c>
      <c r="EY73" s="181">
        <f>IFERROR(VLOOKUP(I73,CEI_092018!$A$1:$U$489,9,FALSE),0)</f>
        <v>0</v>
      </c>
      <c r="EZ73" s="181"/>
      <c r="FA73" s="181"/>
      <c r="FB73" s="181"/>
      <c r="FC73" s="181">
        <f>IFERROR(VLOOKUP(I73,CEI_092018!$A$1:$U$489,12,FALSE),0)</f>
        <v>142.21935653686523</v>
      </c>
      <c r="FD73" s="181">
        <f t="shared" si="42"/>
        <v>142.21935653686523</v>
      </c>
      <c r="FE73" s="181">
        <f t="shared" si="43"/>
        <v>-6.5368652428787755E-6</v>
      </c>
      <c r="FF73"/>
      <c r="FG73"/>
      <c r="FH73"/>
      <c r="FI73"/>
      <c r="FJ73"/>
      <c r="FK73"/>
      <c r="FL73"/>
      <c r="FM73"/>
      <c r="FN73"/>
      <c r="FO73"/>
      <c r="FP73"/>
      <c r="FQ73"/>
      <c r="FR73"/>
      <c r="FS73"/>
      <c r="FT73"/>
      <c r="FU73"/>
      <c r="FV73"/>
      <c r="FW73"/>
      <c r="FX73"/>
      <c r="FY73"/>
      <c r="FZ73"/>
      <c r="GA73"/>
      <c r="GB73"/>
      <c r="GC73"/>
    </row>
    <row r="74" spans="1:185" ht="12.95" customHeight="1" x14ac:dyDescent="0.25">
      <c r="A74" s="202"/>
      <c r="B74" s="22" t="s">
        <v>63</v>
      </c>
      <c r="C74" s="34" t="s">
        <v>36</v>
      </c>
      <c r="D74" s="22" t="s">
        <v>1058</v>
      </c>
      <c r="E74" s="388" t="s">
        <v>1783</v>
      </c>
      <c r="F74" s="25" t="s">
        <v>1058</v>
      </c>
      <c r="G74" s="25" t="s">
        <v>1783</v>
      </c>
      <c r="H74" s="22" t="s">
        <v>56</v>
      </c>
      <c r="I74" s="423" t="s">
        <v>565</v>
      </c>
      <c r="J74" s="37"/>
      <c r="K74" s="23" t="s">
        <v>1861</v>
      </c>
      <c r="L74" s="23" t="s">
        <v>1862</v>
      </c>
      <c r="M74" s="23" t="s">
        <v>738</v>
      </c>
      <c r="N74" s="23" t="s">
        <v>59</v>
      </c>
      <c r="O74" s="2">
        <v>0</v>
      </c>
      <c r="P74" s="2">
        <v>0</v>
      </c>
      <c r="Q74" s="2">
        <v>0</v>
      </c>
      <c r="R74" s="2">
        <v>0</v>
      </c>
      <c r="S74" s="2">
        <v>0</v>
      </c>
      <c r="T74" s="116">
        <f t="shared" si="44"/>
        <v>0</v>
      </c>
      <c r="U74" s="324">
        <v>0</v>
      </c>
      <c r="V74" s="324">
        <v>0</v>
      </c>
      <c r="W74" s="324">
        <v>0</v>
      </c>
      <c r="X74" s="324">
        <v>0</v>
      </c>
      <c r="Y74" s="324">
        <v>0</v>
      </c>
      <c r="Z74" s="324">
        <v>0</v>
      </c>
      <c r="AA74" s="324">
        <v>0</v>
      </c>
      <c r="AB74" s="324">
        <v>0</v>
      </c>
      <c r="AC74" s="324">
        <v>124.39999999999999</v>
      </c>
      <c r="AD74" s="324">
        <v>0</v>
      </c>
      <c r="AE74" s="324">
        <v>0</v>
      </c>
      <c r="AF74" s="324">
        <v>0</v>
      </c>
      <c r="AG74" s="140">
        <f t="shared" si="45"/>
        <v>124.39999999999999</v>
      </c>
      <c r="AH74" s="324">
        <v>0</v>
      </c>
      <c r="AI74" s="324">
        <v>0</v>
      </c>
      <c r="AJ74" s="324">
        <v>0</v>
      </c>
      <c r="AK74" s="324">
        <v>0</v>
      </c>
      <c r="AL74" s="324">
        <v>0</v>
      </c>
      <c r="AM74" s="324">
        <v>0</v>
      </c>
      <c r="AN74" s="324">
        <v>0</v>
      </c>
      <c r="AO74" s="324">
        <v>0</v>
      </c>
      <c r="AP74" s="324">
        <v>0</v>
      </c>
      <c r="AQ74" s="324">
        <v>0</v>
      </c>
      <c r="AR74" s="324">
        <v>0</v>
      </c>
      <c r="AS74" s="324">
        <v>0</v>
      </c>
      <c r="AT74" s="140">
        <f t="shared" si="46"/>
        <v>0</v>
      </c>
      <c r="AU74" s="324">
        <v>0</v>
      </c>
      <c r="AV74" s="324">
        <v>0</v>
      </c>
      <c r="AW74" s="324">
        <v>0</v>
      </c>
      <c r="AX74" s="324">
        <v>0</v>
      </c>
      <c r="AY74" s="324">
        <v>0</v>
      </c>
      <c r="AZ74" s="324">
        <v>0</v>
      </c>
      <c r="BA74" s="324">
        <v>0</v>
      </c>
      <c r="BB74" s="324">
        <v>0</v>
      </c>
      <c r="BC74" s="324">
        <v>0</v>
      </c>
      <c r="BD74" s="324">
        <v>0</v>
      </c>
      <c r="BE74" s="324">
        <v>0</v>
      </c>
      <c r="BF74" s="324">
        <v>0</v>
      </c>
      <c r="BG74" s="140">
        <f t="shared" si="47"/>
        <v>0</v>
      </c>
      <c r="BH74" s="324">
        <v>0</v>
      </c>
      <c r="BI74" s="324">
        <v>0</v>
      </c>
      <c r="BJ74" s="324">
        <v>0</v>
      </c>
      <c r="BK74" s="324">
        <v>0</v>
      </c>
      <c r="BL74" s="324">
        <v>0</v>
      </c>
      <c r="BM74" s="324">
        <v>0</v>
      </c>
      <c r="BN74" s="324">
        <v>0</v>
      </c>
      <c r="BO74" s="324">
        <v>0</v>
      </c>
      <c r="BP74" s="324">
        <v>0</v>
      </c>
      <c r="BQ74" s="324">
        <v>0</v>
      </c>
      <c r="BR74" s="324">
        <v>0</v>
      </c>
      <c r="BS74" s="324">
        <v>0</v>
      </c>
      <c r="BT74" s="140">
        <f t="shared" si="48"/>
        <v>0</v>
      </c>
      <c r="BU74" s="114">
        <f t="shared" si="49"/>
        <v>124.39999999999999</v>
      </c>
      <c r="BV74" s="432"/>
      <c r="BW74" s="432"/>
      <c r="BX74" s="432"/>
      <c r="BY74" s="432"/>
      <c r="BZ74" s="433"/>
      <c r="CA74" s="434"/>
      <c r="CB74" s="7" t="s">
        <v>1681</v>
      </c>
      <c r="CC74" s="3">
        <v>0</v>
      </c>
      <c r="CD74" s="3">
        <v>0</v>
      </c>
      <c r="CE74" s="3">
        <v>0</v>
      </c>
      <c r="CF74" s="3">
        <v>0</v>
      </c>
      <c r="CG74" s="3">
        <v>0</v>
      </c>
      <c r="CH74" s="3">
        <v>0</v>
      </c>
      <c r="CI74" s="3">
        <v>0</v>
      </c>
      <c r="CJ74" s="3">
        <v>0</v>
      </c>
      <c r="CK74" s="3">
        <v>0</v>
      </c>
      <c r="CL74" s="3">
        <v>0</v>
      </c>
      <c r="CM74" s="3">
        <v>0</v>
      </c>
      <c r="CN74" s="3">
        <v>0</v>
      </c>
      <c r="CO74" s="4">
        <f t="shared" si="36"/>
        <v>0</v>
      </c>
      <c r="CP74" s="3">
        <v>0</v>
      </c>
      <c r="CQ74" s="3">
        <v>0</v>
      </c>
      <c r="CR74" s="3">
        <v>0</v>
      </c>
      <c r="CS74" s="3">
        <v>0</v>
      </c>
      <c r="CT74" s="3">
        <v>0</v>
      </c>
      <c r="CU74" s="3">
        <v>0</v>
      </c>
      <c r="CV74" s="3">
        <v>0</v>
      </c>
      <c r="CW74" s="3">
        <v>0</v>
      </c>
      <c r="CX74" s="3">
        <v>12</v>
      </c>
      <c r="CY74" s="3">
        <v>0</v>
      </c>
      <c r="CZ74" s="3">
        <v>0</v>
      </c>
      <c r="DA74" s="3">
        <v>0</v>
      </c>
      <c r="DB74" s="4">
        <f t="shared" si="37"/>
        <v>12</v>
      </c>
      <c r="DC74" s="3">
        <v>0</v>
      </c>
      <c r="DD74" s="3">
        <v>0</v>
      </c>
      <c r="DE74" s="3">
        <v>0</v>
      </c>
      <c r="DF74" s="3">
        <v>0</v>
      </c>
      <c r="DG74" s="3">
        <v>0</v>
      </c>
      <c r="DH74" s="3">
        <v>0</v>
      </c>
      <c r="DI74" s="3">
        <v>0</v>
      </c>
      <c r="DJ74" s="3">
        <v>0</v>
      </c>
      <c r="DK74" s="3">
        <v>0</v>
      </c>
      <c r="DL74" s="3">
        <v>0</v>
      </c>
      <c r="DM74" s="3">
        <v>0</v>
      </c>
      <c r="DN74" s="3">
        <v>0</v>
      </c>
      <c r="DO74" s="4">
        <f t="shared" si="38"/>
        <v>0</v>
      </c>
      <c r="DP74" s="3">
        <v>0</v>
      </c>
      <c r="DQ74" s="3">
        <v>0</v>
      </c>
      <c r="DR74" s="3">
        <v>0</v>
      </c>
      <c r="DS74" s="3">
        <v>0</v>
      </c>
      <c r="DT74" s="3">
        <v>0</v>
      </c>
      <c r="DU74" s="3">
        <v>0</v>
      </c>
      <c r="DV74" s="3">
        <v>0</v>
      </c>
      <c r="DW74" s="3">
        <v>0</v>
      </c>
      <c r="DX74" s="3">
        <v>0</v>
      </c>
      <c r="DY74" s="3">
        <v>0</v>
      </c>
      <c r="DZ74" s="3">
        <v>0</v>
      </c>
      <c r="EA74" s="3">
        <v>0</v>
      </c>
      <c r="EB74" s="4">
        <f t="shared" si="39"/>
        <v>0</v>
      </c>
      <c r="EC74" s="3">
        <v>0</v>
      </c>
      <c r="ED74" s="3">
        <v>0</v>
      </c>
      <c r="EE74" s="3">
        <v>0</v>
      </c>
      <c r="EF74" s="3">
        <v>0</v>
      </c>
      <c r="EG74" s="3">
        <v>0</v>
      </c>
      <c r="EH74" s="3">
        <v>0</v>
      </c>
      <c r="EI74" s="3">
        <v>0</v>
      </c>
      <c r="EJ74" s="3">
        <v>0</v>
      </c>
      <c r="EK74" s="3">
        <v>0</v>
      </c>
      <c r="EL74" s="3">
        <v>0</v>
      </c>
      <c r="EM74" s="3">
        <v>0</v>
      </c>
      <c r="EN74" s="3">
        <v>0</v>
      </c>
      <c r="EO74" s="4">
        <f t="shared" si="40"/>
        <v>0</v>
      </c>
      <c r="EP74" s="8">
        <f t="shared" si="41"/>
        <v>12</v>
      </c>
      <c r="EQ74" s="181">
        <f>IFERROR(VLOOKUP(I74,CEI_012018!$A$1:$U$509,9,FALSE),0)</f>
        <v>0</v>
      </c>
      <c r="ER74" s="181">
        <f>IFERROR(VLOOKUP(I74,CEI_022018!$A$1:$U$509,9,FALSE),0)</f>
        <v>0</v>
      </c>
      <c r="ES74" s="181">
        <f>IFERROR(VLOOKUP(I74,CEI_032018!$A$1:$U$509,9,FALSE),0)</f>
        <v>0</v>
      </c>
      <c r="ET74" s="181">
        <f>IFERROR(VLOOKUP(I74,CEI_042018!$A$1:$U$491,9,FALSE),0)</f>
        <v>0</v>
      </c>
      <c r="EU74" s="181">
        <f>IFERROR(VLOOKUP(I74,CEI_052018!$A$1:$U$489,9,FALSE),0)</f>
        <v>0</v>
      </c>
      <c r="EV74" s="181">
        <f>IFERROR(VLOOKUP(I74,CEI_062018!$A$1:$U$489,9,FALSE),0)</f>
        <v>0</v>
      </c>
      <c r="EW74" s="181">
        <f>IFERROR(VLOOKUP(I74,CEI_072018!$A$1:$U$489,9,FALSE),0)</f>
        <v>0</v>
      </c>
      <c r="EX74" s="181">
        <f>IFERROR(VLOOKUP(I74,CEI_082018!$A$1:$U$489,9,FALSE),0)</f>
        <v>0</v>
      </c>
      <c r="EY74" s="181">
        <f>IFERROR(VLOOKUP(I74,CEI_092018!$A$1:$U$489,9,FALSE),0)</f>
        <v>0</v>
      </c>
      <c r="EZ74" s="181"/>
      <c r="FA74" s="181"/>
      <c r="FB74" s="181"/>
      <c r="FC74" s="181">
        <f>IFERROR(VLOOKUP(I74,CEI_092018!$A$1:$U$489,12,FALSE),0)</f>
        <v>0</v>
      </c>
      <c r="FD74" s="181">
        <f t="shared" si="42"/>
        <v>0</v>
      </c>
      <c r="FE74" s="181">
        <f t="shared" si="43"/>
        <v>0</v>
      </c>
      <c r="FF74"/>
      <c r="FG74"/>
      <c r="FH74"/>
      <c r="FI74"/>
      <c r="FJ74"/>
      <c r="FK74"/>
      <c r="FL74"/>
      <c r="FM74"/>
      <c r="FN74"/>
      <c r="FO74"/>
      <c r="FP74"/>
      <c r="FQ74"/>
      <c r="FR74"/>
      <c r="FS74"/>
      <c r="FT74"/>
      <c r="FU74"/>
      <c r="FV74"/>
      <c r="FW74"/>
      <c r="FX74"/>
      <c r="FY74"/>
      <c r="FZ74"/>
      <c r="GA74"/>
      <c r="GB74"/>
      <c r="GC74"/>
    </row>
    <row r="75" spans="1:185" ht="12.95" customHeight="1" x14ac:dyDescent="0.25">
      <c r="A75" s="202"/>
      <c r="B75" s="22" t="s">
        <v>63</v>
      </c>
      <c r="C75" s="34" t="s">
        <v>36</v>
      </c>
      <c r="D75" s="22" t="s">
        <v>1058</v>
      </c>
      <c r="E75" s="388" t="s">
        <v>1783</v>
      </c>
      <c r="F75" s="25" t="s">
        <v>1058</v>
      </c>
      <c r="G75" s="25" t="s">
        <v>1783</v>
      </c>
      <c r="H75" s="22" t="s">
        <v>56</v>
      </c>
      <c r="I75" s="423" t="s">
        <v>1969</v>
      </c>
      <c r="J75" s="37"/>
      <c r="K75" s="23" t="s">
        <v>1782</v>
      </c>
      <c r="L75" s="23"/>
      <c r="M75" s="23"/>
      <c r="N75" s="23" t="s">
        <v>1873</v>
      </c>
      <c r="O75" s="2">
        <v>0</v>
      </c>
      <c r="P75" s="2">
        <v>0</v>
      </c>
      <c r="Q75" s="2">
        <v>0</v>
      </c>
      <c r="R75" s="2">
        <v>0</v>
      </c>
      <c r="S75" s="2">
        <v>0</v>
      </c>
      <c r="T75" s="116">
        <f t="shared" si="44"/>
        <v>0</v>
      </c>
      <c r="U75" s="324">
        <v>40</v>
      </c>
      <c r="V75" s="324">
        <v>0</v>
      </c>
      <c r="W75" s="324">
        <v>0</v>
      </c>
      <c r="X75" s="324">
        <v>0</v>
      </c>
      <c r="Y75" s="324">
        <v>0</v>
      </c>
      <c r="Z75" s="324">
        <v>0</v>
      </c>
      <c r="AA75" s="324">
        <v>0</v>
      </c>
      <c r="AB75" s="324">
        <f>34.1+0.333332495118157</f>
        <v>34.433332495118158</v>
      </c>
      <c r="AC75" s="324">
        <v>0</v>
      </c>
      <c r="AD75" s="324">
        <v>0</v>
      </c>
      <c r="AE75" s="324">
        <v>0</v>
      </c>
      <c r="AF75" s="324">
        <v>0</v>
      </c>
      <c r="AG75" s="140">
        <f t="shared" si="45"/>
        <v>74.433332495118151</v>
      </c>
      <c r="AH75" s="324">
        <v>0</v>
      </c>
      <c r="AI75" s="324">
        <v>0</v>
      </c>
      <c r="AJ75" s="324">
        <v>0</v>
      </c>
      <c r="AK75" s="324">
        <v>0</v>
      </c>
      <c r="AL75" s="324">
        <v>0</v>
      </c>
      <c r="AM75" s="324">
        <v>0</v>
      </c>
      <c r="AN75" s="324">
        <v>0</v>
      </c>
      <c r="AO75" s="324">
        <v>0</v>
      </c>
      <c r="AP75" s="324">
        <v>0</v>
      </c>
      <c r="AQ75" s="324">
        <v>0</v>
      </c>
      <c r="AR75" s="324">
        <v>0</v>
      </c>
      <c r="AS75" s="324">
        <v>0</v>
      </c>
      <c r="AT75" s="140">
        <f t="shared" si="46"/>
        <v>0</v>
      </c>
      <c r="AU75" s="324">
        <v>0</v>
      </c>
      <c r="AV75" s="324">
        <v>0</v>
      </c>
      <c r="AW75" s="324">
        <v>0</v>
      </c>
      <c r="AX75" s="324">
        <v>0</v>
      </c>
      <c r="AY75" s="324">
        <v>0</v>
      </c>
      <c r="AZ75" s="324">
        <v>0</v>
      </c>
      <c r="BA75" s="324">
        <v>0</v>
      </c>
      <c r="BB75" s="324">
        <v>0</v>
      </c>
      <c r="BC75" s="324">
        <v>0</v>
      </c>
      <c r="BD75" s="324">
        <v>0</v>
      </c>
      <c r="BE75" s="324">
        <v>0</v>
      </c>
      <c r="BF75" s="324">
        <v>0</v>
      </c>
      <c r="BG75" s="140">
        <f t="shared" si="47"/>
        <v>0</v>
      </c>
      <c r="BH75" s="324">
        <v>0</v>
      </c>
      <c r="BI75" s="324">
        <v>0</v>
      </c>
      <c r="BJ75" s="324">
        <v>0</v>
      </c>
      <c r="BK75" s="324">
        <v>0</v>
      </c>
      <c r="BL75" s="324">
        <v>0</v>
      </c>
      <c r="BM75" s="324">
        <v>0</v>
      </c>
      <c r="BN75" s="324">
        <v>0</v>
      </c>
      <c r="BO75" s="324">
        <v>0</v>
      </c>
      <c r="BP75" s="324">
        <v>0</v>
      </c>
      <c r="BQ75" s="324">
        <v>0</v>
      </c>
      <c r="BR75" s="324">
        <v>0</v>
      </c>
      <c r="BS75" s="324">
        <v>0</v>
      </c>
      <c r="BT75" s="140">
        <f t="shared" si="48"/>
        <v>0</v>
      </c>
      <c r="BU75" s="114">
        <f t="shared" si="49"/>
        <v>74.433332495118151</v>
      </c>
      <c r="BV75" s="372">
        <v>-1</v>
      </c>
      <c r="BW75" s="372">
        <v>-1</v>
      </c>
      <c r="BX75" s="372">
        <v>-1</v>
      </c>
      <c r="BY75" s="372">
        <v>-1</v>
      </c>
      <c r="BZ75" s="436">
        <f t="shared" ref="BZ75:BZ77" si="50">IFERROR((EX75/T75%),0)</f>
        <v>0</v>
      </c>
      <c r="CA75" s="428">
        <f>IFERROR((FD75/T75%),0)</f>
        <v>0</v>
      </c>
      <c r="CB75" s="7" t="s">
        <v>1681</v>
      </c>
      <c r="CC75" s="3">
        <v>0</v>
      </c>
      <c r="CD75" s="3">
        <v>0</v>
      </c>
      <c r="CE75" s="3">
        <v>0</v>
      </c>
      <c r="CF75" s="3">
        <v>0</v>
      </c>
      <c r="CG75" s="3">
        <v>0</v>
      </c>
      <c r="CH75" s="3">
        <v>0</v>
      </c>
      <c r="CI75" s="3">
        <v>0</v>
      </c>
      <c r="CJ75" s="3">
        <v>0</v>
      </c>
      <c r="CK75" s="3">
        <v>0</v>
      </c>
      <c r="CL75" s="3">
        <v>0</v>
      </c>
      <c r="CM75" s="3">
        <v>18.974358974358974</v>
      </c>
      <c r="CN75" s="3">
        <v>0</v>
      </c>
      <c r="CO75" s="4">
        <f t="shared" si="36"/>
        <v>18.974358974358974</v>
      </c>
      <c r="CP75" s="3">
        <v>0</v>
      </c>
      <c r="CQ75" s="3">
        <v>0</v>
      </c>
      <c r="CR75" s="3">
        <v>0</v>
      </c>
      <c r="CS75" s="3">
        <v>0</v>
      </c>
      <c r="CT75" s="3">
        <v>0</v>
      </c>
      <c r="CU75" s="3">
        <v>0</v>
      </c>
      <c r="CV75" s="3">
        <v>0</v>
      </c>
      <c r="CW75" s="3">
        <v>0</v>
      </c>
      <c r="CX75" s="3">
        <v>0</v>
      </c>
      <c r="CY75" s="3">
        <v>0</v>
      </c>
      <c r="CZ75" s="3">
        <v>0</v>
      </c>
      <c r="DA75" s="3">
        <v>0</v>
      </c>
      <c r="DB75" s="4">
        <f t="shared" si="37"/>
        <v>0</v>
      </c>
      <c r="DC75" s="3">
        <v>0</v>
      </c>
      <c r="DD75" s="3">
        <v>0</v>
      </c>
      <c r="DE75" s="3">
        <v>0</v>
      </c>
      <c r="DF75" s="3">
        <v>0</v>
      </c>
      <c r="DG75" s="3">
        <v>0</v>
      </c>
      <c r="DH75" s="3">
        <v>0</v>
      </c>
      <c r="DI75" s="3">
        <v>0</v>
      </c>
      <c r="DJ75" s="3">
        <v>0</v>
      </c>
      <c r="DK75" s="3">
        <v>0</v>
      </c>
      <c r="DL75" s="3">
        <v>0</v>
      </c>
      <c r="DM75" s="3">
        <v>0</v>
      </c>
      <c r="DN75" s="3">
        <v>0</v>
      </c>
      <c r="DO75" s="4">
        <f t="shared" si="38"/>
        <v>0</v>
      </c>
      <c r="DP75" s="3">
        <v>0</v>
      </c>
      <c r="DQ75" s="3">
        <v>0</v>
      </c>
      <c r="DR75" s="3">
        <v>0</v>
      </c>
      <c r="DS75" s="3">
        <v>0</v>
      </c>
      <c r="DT75" s="3">
        <v>0</v>
      </c>
      <c r="DU75" s="3">
        <v>0</v>
      </c>
      <c r="DV75" s="3">
        <v>0</v>
      </c>
      <c r="DW75" s="3">
        <v>0</v>
      </c>
      <c r="DX75" s="3">
        <v>0</v>
      </c>
      <c r="DY75" s="3">
        <v>0</v>
      </c>
      <c r="DZ75" s="3">
        <v>0</v>
      </c>
      <c r="EA75" s="3">
        <v>0</v>
      </c>
      <c r="EB75" s="4">
        <f t="shared" si="39"/>
        <v>0</v>
      </c>
      <c r="EC75" s="3">
        <v>0</v>
      </c>
      <c r="ED75" s="3">
        <v>0</v>
      </c>
      <c r="EE75" s="3">
        <v>0</v>
      </c>
      <c r="EF75" s="3">
        <v>0</v>
      </c>
      <c r="EG75" s="3">
        <v>0</v>
      </c>
      <c r="EH75" s="3">
        <v>0</v>
      </c>
      <c r="EI75" s="3">
        <v>0</v>
      </c>
      <c r="EJ75" s="3">
        <v>0</v>
      </c>
      <c r="EK75" s="3">
        <v>0</v>
      </c>
      <c r="EL75" s="3">
        <v>0</v>
      </c>
      <c r="EM75" s="3">
        <v>0</v>
      </c>
      <c r="EN75" s="3">
        <v>0</v>
      </c>
      <c r="EO75" s="4">
        <f t="shared" si="40"/>
        <v>0</v>
      </c>
      <c r="EP75" s="8">
        <f t="shared" si="41"/>
        <v>18.974358974358974</v>
      </c>
      <c r="EQ75" s="181">
        <f>IFERROR(VLOOKUP(I75,CEI_012018!$A$1:$U$509,9,FALSE),0)</f>
        <v>0</v>
      </c>
      <c r="ER75" s="181">
        <f>IFERROR(VLOOKUP(I75,CEI_022018!$A$1:$U$509,9,FALSE),0)</f>
        <v>0</v>
      </c>
      <c r="ES75" s="181">
        <f>IFERROR(VLOOKUP(I75,CEI_032018!$A$1:$U$509,9,FALSE),0)</f>
        <v>0</v>
      </c>
      <c r="ET75" s="181">
        <f>IFERROR(VLOOKUP(I75,CEI_042018!$A$1:$U$491,9,FALSE),0)</f>
        <v>0</v>
      </c>
      <c r="EU75" s="181">
        <f>IFERROR(VLOOKUP(I75,CEI_052018!$A$1:$U$489,9,FALSE),0)</f>
        <v>0</v>
      </c>
      <c r="EV75" s="181">
        <f>IFERROR(VLOOKUP(I75,CEI_062018!$A$1:$U$489,9,FALSE),0)</f>
        <v>0</v>
      </c>
      <c r="EW75" s="181">
        <f>IFERROR(VLOOKUP(I75,CEI_072018!$A$1:$U$489,9,FALSE),0)</f>
        <v>0</v>
      </c>
      <c r="EX75" s="181">
        <f>IFERROR(VLOOKUP(I75,CEI_082018!$A$1:$U$489,9,FALSE),0)</f>
        <v>0</v>
      </c>
      <c r="EY75" s="181">
        <f>IFERROR(VLOOKUP(I75,CEI_092018!$A$1:$U$489,9,FALSE),0)</f>
        <v>0</v>
      </c>
      <c r="EZ75" s="181"/>
      <c r="FA75" s="181"/>
      <c r="FB75" s="181"/>
      <c r="FC75" s="181">
        <f>IFERROR(VLOOKUP(I75,CEI_092018!$A$1:$U$489,12,FALSE),0)</f>
        <v>0</v>
      </c>
      <c r="FD75" s="181">
        <f t="shared" si="42"/>
        <v>0</v>
      </c>
      <c r="FE75" s="181">
        <f t="shared" si="43"/>
        <v>0</v>
      </c>
      <c r="FF75"/>
      <c r="FG75"/>
      <c r="FH75"/>
      <c r="FI75"/>
      <c r="FJ75"/>
      <c r="FK75"/>
      <c r="FL75"/>
      <c r="FM75"/>
      <c r="FN75"/>
      <c r="FO75"/>
      <c r="FP75"/>
      <c r="FQ75"/>
      <c r="FR75"/>
      <c r="FS75"/>
      <c r="FT75"/>
      <c r="FU75"/>
      <c r="FV75"/>
      <c r="FW75"/>
      <c r="FX75"/>
      <c r="FY75"/>
      <c r="FZ75"/>
      <c r="GA75"/>
      <c r="GB75"/>
      <c r="GC75"/>
    </row>
    <row r="76" spans="1:185" ht="12.95" customHeight="1" x14ac:dyDescent="0.25">
      <c r="A76" s="202"/>
      <c r="B76" s="22" t="s">
        <v>63</v>
      </c>
      <c r="C76" s="34" t="s">
        <v>37</v>
      </c>
      <c r="D76" s="22" t="s">
        <v>1058</v>
      </c>
      <c r="E76" s="25" t="s">
        <v>1062</v>
      </c>
      <c r="F76" s="25" t="s">
        <v>1058</v>
      </c>
      <c r="G76" s="25" t="s">
        <v>1062</v>
      </c>
      <c r="H76" s="22" t="s">
        <v>56</v>
      </c>
      <c r="I76" s="483" t="s">
        <v>1477</v>
      </c>
      <c r="J76" s="255" t="s">
        <v>1478</v>
      </c>
      <c r="K76" s="253" t="s">
        <v>1719</v>
      </c>
      <c r="L76" s="23" t="s">
        <v>399</v>
      </c>
      <c r="M76" s="23" t="s">
        <v>59</v>
      </c>
      <c r="N76" s="23" t="s">
        <v>59</v>
      </c>
      <c r="O76" s="2">
        <v>0</v>
      </c>
      <c r="P76" s="2">
        <v>0</v>
      </c>
      <c r="Q76" s="2">
        <v>0</v>
      </c>
      <c r="R76" s="2">
        <v>0</v>
      </c>
      <c r="S76" s="2">
        <v>415</v>
      </c>
      <c r="T76" s="116">
        <f t="shared" si="44"/>
        <v>415</v>
      </c>
      <c r="U76" s="324">
        <v>0</v>
      </c>
      <c r="V76" s="324">
        <v>0</v>
      </c>
      <c r="W76" s="324">
        <v>0</v>
      </c>
      <c r="X76" s="324">
        <v>0</v>
      </c>
      <c r="Y76" s="324">
        <v>0</v>
      </c>
      <c r="Z76" s="324">
        <v>0</v>
      </c>
      <c r="AA76" s="324">
        <v>0</v>
      </c>
      <c r="AB76" s="324">
        <v>0</v>
      </c>
      <c r="AC76" s="324">
        <v>55</v>
      </c>
      <c r="AD76" s="324">
        <v>0</v>
      </c>
      <c r="AE76" s="324">
        <v>0</v>
      </c>
      <c r="AF76" s="324">
        <v>0</v>
      </c>
      <c r="AG76" s="140">
        <f t="shared" si="45"/>
        <v>55</v>
      </c>
      <c r="AH76" s="324">
        <v>0</v>
      </c>
      <c r="AI76" s="324">
        <v>0</v>
      </c>
      <c r="AJ76" s="324">
        <v>0</v>
      </c>
      <c r="AK76" s="324">
        <v>0</v>
      </c>
      <c r="AL76" s="324">
        <v>0</v>
      </c>
      <c r="AM76" s="324">
        <v>0</v>
      </c>
      <c r="AN76" s="324">
        <v>0</v>
      </c>
      <c r="AO76" s="324">
        <v>209</v>
      </c>
      <c r="AP76" s="324">
        <v>0</v>
      </c>
      <c r="AQ76" s="324">
        <v>0</v>
      </c>
      <c r="AR76" s="324">
        <v>0</v>
      </c>
      <c r="AS76" s="324">
        <v>0</v>
      </c>
      <c r="AT76" s="140">
        <f t="shared" si="46"/>
        <v>209</v>
      </c>
      <c r="AU76" s="324">
        <v>0</v>
      </c>
      <c r="AV76" s="324">
        <v>0</v>
      </c>
      <c r="AW76" s="324">
        <v>0</v>
      </c>
      <c r="AX76" s="324">
        <v>0</v>
      </c>
      <c r="AY76" s="324">
        <v>0</v>
      </c>
      <c r="AZ76" s="324">
        <v>0</v>
      </c>
      <c r="BA76" s="324">
        <v>0</v>
      </c>
      <c r="BB76" s="324">
        <v>55</v>
      </c>
      <c r="BC76" s="324">
        <v>0</v>
      </c>
      <c r="BD76" s="324">
        <v>0</v>
      </c>
      <c r="BE76" s="324">
        <v>0</v>
      </c>
      <c r="BF76" s="324">
        <v>0</v>
      </c>
      <c r="BG76" s="140">
        <f t="shared" si="47"/>
        <v>55</v>
      </c>
      <c r="BH76" s="324">
        <v>0</v>
      </c>
      <c r="BI76" s="324">
        <v>0</v>
      </c>
      <c r="BJ76" s="324">
        <v>0</v>
      </c>
      <c r="BK76" s="324">
        <v>0</v>
      </c>
      <c r="BL76" s="324">
        <v>0</v>
      </c>
      <c r="BM76" s="324">
        <v>0</v>
      </c>
      <c r="BN76" s="324">
        <v>0</v>
      </c>
      <c r="BO76" s="324">
        <v>209.5</v>
      </c>
      <c r="BP76" s="324">
        <v>0</v>
      </c>
      <c r="BQ76" s="324">
        <v>0</v>
      </c>
      <c r="BR76" s="324">
        <v>0</v>
      </c>
      <c r="BS76" s="324">
        <v>0</v>
      </c>
      <c r="BT76" s="140">
        <f t="shared" si="48"/>
        <v>209.5</v>
      </c>
      <c r="BU76" s="114">
        <f t="shared" si="49"/>
        <v>943.5</v>
      </c>
      <c r="BV76" s="372">
        <v>1</v>
      </c>
      <c r="BW76" s="372">
        <v>1</v>
      </c>
      <c r="BX76" s="372">
        <v>1</v>
      </c>
      <c r="BY76" s="372">
        <v>-1</v>
      </c>
      <c r="BZ76" s="436">
        <f t="shared" si="50"/>
        <v>0</v>
      </c>
      <c r="CA76" s="428">
        <f>IFERROR((FD76/T76%),0)</f>
        <v>93.611516378012041</v>
      </c>
      <c r="CB76" s="7" t="s">
        <v>1681</v>
      </c>
      <c r="CC76" s="3">
        <v>0</v>
      </c>
      <c r="CD76" s="3">
        <v>0</v>
      </c>
      <c r="CE76" s="3">
        <v>0</v>
      </c>
      <c r="CF76" s="3">
        <v>0</v>
      </c>
      <c r="CG76" s="3">
        <v>0</v>
      </c>
      <c r="CH76" s="3">
        <v>0</v>
      </c>
      <c r="CI76" s="3">
        <v>0</v>
      </c>
      <c r="CJ76" s="3">
        <v>83</v>
      </c>
      <c r="CK76" s="3">
        <v>0</v>
      </c>
      <c r="CL76" s="3">
        <v>0</v>
      </c>
      <c r="CM76" s="3">
        <v>0</v>
      </c>
      <c r="CN76" s="3">
        <v>0</v>
      </c>
      <c r="CO76" s="4">
        <f t="shared" si="36"/>
        <v>83</v>
      </c>
      <c r="CP76" s="3">
        <v>0</v>
      </c>
      <c r="CQ76" s="3">
        <v>0</v>
      </c>
      <c r="CR76" s="3">
        <v>0</v>
      </c>
      <c r="CS76" s="3">
        <v>0</v>
      </c>
      <c r="CT76" s="3">
        <v>0</v>
      </c>
      <c r="CU76" s="3">
        <v>0</v>
      </c>
      <c r="CV76" s="3">
        <v>0</v>
      </c>
      <c r="CW76" s="3">
        <v>0</v>
      </c>
      <c r="CX76" s="3">
        <v>11</v>
      </c>
      <c r="CY76" s="3">
        <v>0</v>
      </c>
      <c r="CZ76" s="3">
        <v>0</v>
      </c>
      <c r="DA76" s="3">
        <v>0</v>
      </c>
      <c r="DB76" s="4">
        <f t="shared" si="37"/>
        <v>11</v>
      </c>
      <c r="DC76" s="3">
        <v>0</v>
      </c>
      <c r="DD76" s="3">
        <v>0</v>
      </c>
      <c r="DE76" s="3">
        <v>0</v>
      </c>
      <c r="DF76" s="3">
        <v>0</v>
      </c>
      <c r="DG76" s="3">
        <v>0</v>
      </c>
      <c r="DH76" s="3">
        <v>0</v>
      </c>
      <c r="DI76" s="3">
        <v>0</v>
      </c>
      <c r="DJ76" s="3">
        <v>41.8</v>
      </c>
      <c r="DK76" s="3">
        <v>0</v>
      </c>
      <c r="DL76" s="3">
        <v>0</v>
      </c>
      <c r="DM76" s="3">
        <v>0</v>
      </c>
      <c r="DN76" s="3">
        <v>0</v>
      </c>
      <c r="DO76" s="4">
        <f t="shared" si="38"/>
        <v>41.8</v>
      </c>
      <c r="DP76" s="3">
        <v>0</v>
      </c>
      <c r="DQ76" s="3">
        <v>0</v>
      </c>
      <c r="DR76" s="3">
        <v>0</v>
      </c>
      <c r="DS76" s="3">
        <v>0</v>
      </c>
      <c r="DT76" s="3">
        <v>0</v>
      </c>
      <c r="DU76" s="3">
        <v>0</v>
      </c>
      <c r="DV76" s="3">
        <v>0</v>
      </c>
      <c r="DW76" s="3">
        <v>11</v>
      </c>
      <c r="DX76" s="3">
        <v>0</v>
      </c>
      <c r="DY76" s="3">
        <v>0</v>
      </c>
      <c r="DZ76" s="3">
        <v>0</v>
      </c>
      <c r="EA76" s="3">
        <v>0</v>
      </c>
      <c r="EB76" s="4">
        <f t="shared" si="39"/>
        <v>11</v>
      </c>
      <c r="EC76" s="3">
        <v>0</v>
      </c>
      <c r="ED76" s="3">
        <v>0</v>
      </c>
      <c r="EE76" s="3">
        <v>0</v>
      </c>
      <c r="EF76" s="3">
        <v>0</v>
      </c>
      <c r="EG76" s="3">
        <v>0</v>
      </c>
      <c r="EH76" s="3">
        <v>0</v>
      </c>
      <c r="EI76" s="3">
        <v>0</v>
      </c>
      <c r="EJ76" s="3">
        <v>41.9</v>
      </c>
      <c r="EK76" s="3">
        <v>0</v>
      </c>
      <c r="EL76" s="3">
        <v>0</v>
      </c>
      <c r="EM76" s="3">
        <v>0</v>
      </c>
      <c r="EN76" s="3">
        <v>0</v>
      </c>
      <c r="EO76" s="4">
        <f t="shared" si="40"/>
        <v>41.9</v>
      </c>
      <c r="EP76" s="8">
        <f t="shared" si="41"/>
        <v>188.7</v>
      </c>
      <c r="EQ76" s="181">
        <f>IFERROR(VLOOKUP(I76,CEI_012018!$A$1:$U$509,9,FALSE),0)</f>
        <v>0</v>
      </c>
      <c r="ER76" s="181">
        <f>IFERROR(VLOOKUP(I76,CEI_022018!$A$1:$U$509,9,FALSE),0)</f>
        <v>0</v>
      </c>
      <c r="ES76" s="181">
        <f>IFERROR(VLOOKUP(I76,CEI_032018!$A$1:$U$509,9,FALSE),0)</f>
        <v>0</v>
      </c>
      <c r="ET76" s="181">
        <f>IFERROR(VLOOKUP(I76,CEI_042018!$A$1:$U$491,9,FALSE),0)</f>
        <v>0</v>
      </c>
      <c r="EU76" s="181">
        <f>IFERROR(VLOOKUP(I76,CEI_052018!$A$1:$U$489,9,FALSE),0)</f>
        <v>0</v>
      </c>
      <c r="EV76" s="181">
        <f>IFERROR(VLOOKUP(I76,CEI_062018!$A$1:$U$489,9,FALSE),0)</f>
        <v>0</v>
      </c>
      <c r="EW76" s="181">
        <f>IFERROR(VLOOKUP(I76,CEI_072018!$A$1:$U$489,9,FALSE),0)</f>
        <v>0</v>
      </c>
      <c r="EX76" s="181">
        <f>IFERROR(VLOOKUP(I76,CEI_082018!$A$1:$U$489,9,FALSE),0)</f>
        <v>0</v>
      </c>
      <c r="EY76" s="181">
        <f>IFERROR(VLOOKUP(I76,CEI_092018!$A$1:$U$489,9,FALSE),0)</f>
        <v>0</v>
      </c>
      <c r="EZ76" s="181"/>
      <c r="FA76" s="181"/>
      <c r="FB76" s="181"/>
      <c r="FC76" s="181">
        <f>IFERROR(VLOOKUP(I76,CEI_092018!$A$1:$U$489,12,FALSE),0)</f>
        <v>388.48779296875</v>
      </c>
      <c r="FD76" s="181">
        <f t="shared" si="42"/>
        <v>388.48779296875</v>
      </c>
      <c r="FE76" s="181">
        <f t="shared" si="43"/>
        <v>26.51220703125</v>
      </c>
      <c r="FF76"/>
      <c r="FG76"/>
      <c r="FH76"/>
      <c r="FI76"/>
      <c r="FJ76"/>
      <c r="FK76"/>
      <c r="FL76"/>
      <c r="FM76"/>
      <c r="FN76"/>
      <c r="FO76"/>
      <c r="FP76"/>
      <c r="FQ76"/>
      <c r="FR76"/>
      <c r="FS76"/>
      <c r="FT76"/>
      <c r="FU76"/>
      <c r="FV76"/>
      <c r="FW76"/>
      <c r="FX76"/>
      <c r="FY76"/>
      <c r="FZ76"/>
      <c r="GA76"/>
      <c r="GB76"/>
      <c r="GC76"/>
    </row>
    <row r="77" spans="1:185" ht="12.95" customHeight="1" x14ac:dyDescent="0.25">
      <c r="A77" s="202"/>
      <c r="B77" s="22" t="s">
        <v>63</v>
      </c>
      <c r="C77" s="34" t="s">
        <v>38</v>
      </c>
      <c r="D77" s="22" t="s">
        <v>318</v>
      </c>
      <c r="E77" s="390" t="s">
        <v>1066</v>
      </c>
      <c r="F77" s="25" t="s">
        <v>318</v>
      </c>
      <c r="G77" s="25" t="s">
        <v>1066</v>
      </c>
      <c r="H77" s="22" t="s">
        <v>56</v>
      </c>
      <c r="I77" s="423" t="s">
        <v>1665</v>
      </c>
      <c r="J77" s="37" t="s">
        <v>1667</v>
      </c>
      <c r="K77" s="23" t="s">
        <v>1708</v>
      </c>
      <c r="L77" s="23" t="s">
        <v>1709</v>
      </c>
      <c r="M77" s="23" t="s">
        <v>1711</v>
      </c>
      <c r="N77" s="23" t="s">
        <v>1865</v>
      </c>
      <c r="O77" s="2">
        <v>97.797317504882813</v>
      </c>
      <c r="P77" s="2">
        <v>0</v>
      </c>
      <c r="Q77" s="2">
        <v>0</v>
      </c>
      <c r="R77" s="2">
        <v>0</v>
      </c>
      <c r="S77" s="440">
        <v>0</v>
      </c>
      <c r="T77" s="116">
        <f t="shared" si="44"/>
        <v>97.797317504882813</v>
      </c>
      <c r="U77" s="324">
        <v>0</v>
      </c>
      <c r="V77" s="324">
        <v>0</v>
      </c>
      <c r="W77" s="324">
        <v>0</v>
      </c>
      <c r="X77" s="324">
        <v>0</v>
      </c>
      <c r="Y77" s="324">
        <v>0</v>
      </c>
      <c r="Z77" s="324">
        <v>0</v>
      </c>
      <c r="AA77" s="324">
        <v>0</v>
      </c>
      <c r="AB77" s="324">
        <v>0</v>
      </c>
      <c r="AC77" s="324">
        <v>0</v>
      </c>
      <c r="AD77" s="324">
        <v>98</v>
      </c>
      <c r="AE77" s="324">
        <v>0</v>
      </c>
      <c r="AF77" s="324">
        <v>0</v>
      </c>
      <c r="AG77" s="140">
        <f t="shared" si="45"/>
        <v>98</v>
      </c>
      <c r="AH77" s="324">
        <v>0</v>
      </c>
      <c r="AI77" s="324">
        <v>0</v>
      </c>
      <c r="AJ77" s="324">
        <v>0</v>
      </c>
      <c r="AK77" s="324">
        <v>0</v>
      </c>
      <c r="AL77" s="324">
        <v>0</v>
      </c>
      <c r="AM77" s="324">
        <v>98</v>
      </c>
      <c r="AN77" s="324">
        <v>0</v>
      </c>
      <c r="AO77" s="324">
        <v>0</v>
      </c>
      <c r="AP77" s="324">
        <v>0</v>
      </c>
      <c r="AQ77" s="324">
        <v>0</v>
      </c>
      <c r="AR77" s="324">
        <v>0</v>
      </c>
      <c r="AS77" s="324">
        <v>0</v>
      </c>
      <c r="AT77" s="140">
        <f t="shared" si="46"/>
        <v>98</v>
      </c>
      <c r="AU77" s="324">
        <v>0</v>
      </c>
      <c r="AV77" s="324">
        <v>0</v>
      </c>
      <c r="AW77" s="324">
        <v>0</v>
      </c>
      <c r="AX77" s="324">
        <v>0</v>
      </c>
      <c r="AY77" s="324">
        <v>0</v>
      </c>
      <c r="AZ77" s="324">
        <v>98</v>
      </c>
      <c r="BA77" s="324">
        <v>0</v>
      </c>
      <c r="BB77" s="324">
        <v>0</v>
      </c>
      <c r="BC77" s="324">
        <v>0</v>
      </c>
      <c r="BD77" s="324">
        <v>0</v>
      </c>
      <c r="BE77" s="324">
        <v>0</v>
      </c>
      <c r="BF77" s="324">
        <v>0</v>
      </c>
      <c r="BG77" s="140">
        <f t="shared" si="47"/>
        <v>98</v>
      </c>
      <c r="BH77" s="324">
        <v>0</v>
      </c>
      <c r="BI77" s="324">
        <v>0</v>
      </c>
      <c r="BJ77" s="324">
        <v>0</v>
      </c>
      <c r="BK77" s="324">
        <v>0</v>
      </c>
      <c r="BL77" s="324">
        <v>0</v>
      </c>
      <c r="BM77" s="324">
        <v>98</v>
      </c>
      <c r="BN77" s="324">
        <v>0</v>
      </c>
      <c r="BO77" s="324">
        <v>0</v>
      </c>
      <c r="BP77" s="324">
        <v>0</v>
      </c>
      <c r="BQ77" s="324">
        <v>0</v>
      </c>
      <c r="BR77" s="324">
        <v>0</v>
      </c>
      <c r="BS77" s="324">
        <v>0</v>
      </c>
      <c r="BT77" s="140">
        <f t="shared" si="48"/>
        <v>98</v>
      </c>
      <c r="BU77" s="114">
        <f t="shared" si="49"/>
        <v>489.79731750488281</v>
      </c>
      <c r="BV77" s="372">
        <v>1</v>
      </c>
      <c r="BW77" s="372">
        <v>1</v>
      </c>
      <c r="BX77" s="372">
        <v>1</v>
      </c>
      <c r="BY77" s="372">
        <v>1</v>
      </c>
      <c r="BZ77" s="436">
        <f t="shared" si="50"/>
        <v>100</v>
      </c>
      <c r="CA77" s="428">
        <f>IFERROR((FD77/T77%),0)</f>
        <v>100</v>
      </c>
      <c r="CB77" s="7" t="s">
        <v>1702</v>
      </c>
      <c r="CC77" s="3">
        <v>0</v>
      </c>
      <c r="CD77" s="3">
        <v>0</v>
      </c>
      <c r="CE77" s="3">
        <v>0</v>
      </c>
      <c r="CF77" s="3">
        <v>0</v>
      </c>
      <c r="CG77" s="3">
        <v>0</v>
      </c>
      <c r="CH77" s="3">
        <v>0</v>
      </c>
      <c r="CI77" s="3">
        <v>1</v>
      </c>
      <c r="CJ77" s="3">
        <v>0</v>
      </c>
      <c r="CK77" s="3">
        <v>0</v>
      </c>
      <c r="CL77" s="3">
        <v>0</v>
      </c>
      <c r="CM77" s="3">
        <v>0</v>
      </c>
      <c r="CN77" s="3">
        <v>0</v>
      </c>
      <c r="CO77" s="4">
        <f t="shared" si="36"/>
        <v>1</v>
      </c>
      <c r="CP77" s="3">
        <v>0</v>
      </c>
      <c r="CQ77" s="3">
        <v>0</v>
      </c>
      <c r="CR77" s="3">
        <v>0</v>
      </c>
      <c r="CS77" s="3">
        <v>0</v>
      </c>
      <c r="CT77" s="3">
        <v>0</v>
      </c>
      <c r="CU77" s="3">
        <v>0</v>
      </c>
      <c r="CV77" s="3">
        <v>0</v>
      </c>
      <c r="CW77" s="3">
        <v>0</v>
      </c>
      <c r="CX77" s="3">
        <v>0</v>
      </c>
      <c r="CY77" s="3">
        <v>1</v>
      </c>
      <c r="CZ77" s="3">
        <v>0</v>
      </c>
      <c r="DA77" s="3">
        <v>0</v>
      </c>
      <c r="DB77" s="4">
        <f t="shared" si="37"/>
        <v>1</v>
      </c>
      <c r="DC77" s="3">
        <v>0</v>
      </c>
      <c r="DD77" s="3">
        <v>0</v>
      </c>
      <c r="DE77" s="3">
        <v>0</v>
      </c>
      <c r="DF77" s="3">
        <v>0</v>
      </c>
      <c r="DG77" s="3">
        <v>0</v>
      </c>
      <c r="DH77" s="3">
        <v>1</v>
      </c>
      <c r="DI77" s="3">
        <v>0</v>
      </c>
      <c r="DJ77" s="3">
        <v>0</v>
      </c>
      <c r="DK77" s="3">
        <v>0</v>
      </c>
      <c r="DL77" s="3">
        <v>0</v>
      </c>
      <c r="DM77" s="3">
        <v>0</v>
      </c>
      <c r="DN77" s="3">
        <v>0</v>
      </c>
      <c r="DO77" s="4">
        <f t="shared" si="38"/>
        <v>1</v>
      </c>
      <c r="DP77" s="3">
        <v>0</v>
      </c>
      <c r="DQ77" s="3">
        <v>0</v>
      </c>
      <c r="DR77" s="3">
        <v>0</v>
      </c>
      <c r="DS77" s="3">
        <v>0</v>
      </c>
      <c r="DT77" s="3">
        <v>0</v>
      </c>
      <c r="DU77" s="3">
        <v>1</v>
      </c>
      <c r="DV77" s="3">
        <v>0</v>
      </c>
      <c r="DW77" s="3">
        <v>0</v>
      </c>
      <c r="DX77" s="3">
        <v>0</v>
      </c>
      <c r="DY77" s="3">
        <v>0</v>
      </c>
      <c r="DZ77" s="3">
        <v>0</v>
      </c>
      <c r="EA77" s="3">
        <v>0</v>
      </c>
      <c r="EB77" s="4">
        <f t="shared" si="39"/>
        <v>1</v>
      </c>
      <c r="EC77" s="3">
        <v>0</v>
      </c>
      <c r="ED77" s="3">
        <v>0</v>
      </c>
      <c r="EE77" s="3">
        <v>0</v>
      </c>
      <c r="EF77" s="3">
        <v>0</v>
      </c>
      <c r="EG77" s="3">
        <v>0</v>
      </c>
      <c r="EH77" s="3">
        <v>1</v>
      </c>
      <c r="EI77" s="3">
        <v>0</v>
      </c>
      <c r="EJ77" s="3">
        <v>0</v>
      </c>
      <c r="EK77" s="3">
        <v>0</v>
      </c>
      <c r="EL77" s="3">
        <v>0</v>
      </c>
      <c r="EM77" s="3">
        <v>0</v>
      </c>
      <c r="EN77" s="3">
        <v>0</v>
      </c>
      <c r="EO77" s="4">
        <f t="shared" si="40"/>
        <v>1</v>
      </c>
      <c r="EP77" s="8">
        <f t="shared" si="41"/>
        <v>5</v>
      </c>
      <c r="EQ77" s="181">
        <f>IFERROR(VLOOKUP(I77,CEI_012018!$A$1:$U$509,9,FALSE),0)</f>
        <v>0</v>
      </c>
      <c r="ER77" s="181">
        <f>IFERROR(VLOOKUP(I77,CEI_022018!$A$1:$U$509,9,FALSE),0)</f>
        <v>0</v>
      </c>
      <c r="ES77" s="181">
        <f>IFERROR(VLOOKUP(I77,CEI_032018!$A$1:$U$509,9,FALSE),0)</f>
        <v>0</v>
      </c>
      <c r="ET77" s="181">
        <f>IFERROR(VLOOKUP(I77,CEI_042018!$A$1:$U$491,9,FALSE),0)</f>
        <v>0</v>
      </c>
      <c r="EU77" s="181">
        <f>IFERROR(VLOOKUP(I77,CEI_052018!$A$1:$U$489,9,FALSE),0)</f>
        <v>0</v>
      </c>
      <c r="EV77" s="181">
        <f>IFERROR(VLOOKUP(I77,CEI_062018!$A$1:$U$489,9,FALSE),0)</f>
        <v>0</v>
      </c>
      <c r="EW77" s="181">
        <f>IFERROR(VLOOKUP(I77,CEI_072018!$A$1:$U$489,9,FALSE),0)</f>
        <v>97.797317504882813</v>
      </c>
      <c r="EX77" s="181">
        <f>IFERROR(VLOOKUP(I77,CEI_082018!$A$1:$U$489,9,FALSE),0)</f>
        <v>97.797317504882813</v>
      </c>
      <c r="EY77" s="181">
        <f>IFERROR(VLOOKUP(I77,CEI_092018!$A$1:$U$489,9,FALSE),0)</f>
        <v>97.797317504882813</v>
      </c>
      <c r="EZ77" s="181"/>
      <c r="FA77" s="181"/>
      <c r="FB77" s="181"/>
      <c r="FC77" s="181">
        <f>IFERROR(VLOOKUP(I77,CEI_092018!$A$1:$U$489,12,FALSE),0)</f>
        <v>0</v>
      </c>
      <c r="FD77" s="181">
        <f t="shared" si="42"/>
        <v>97.797317504882813</v>
      </c>
      <c r="FE77" s="181">
        <f t="shared" si="43"/>
        <v>0</v>
      </c>
      <c r="FF77"/>
      <c r="FG77"/>
      <c r="FH77"/>
      <c r="FI77"/>
      <c r="FJ77"/>
      <c r="FK77"/>
      <c r="FL77"/>
      <c r="FM77"/>
      <c r="FN77"/>
      <c r="FO77"/>
      <c r="FP77"/>
      <c r="FQ77"/>
      <c r="FR77"/>
      <c r="FS77"/>
      <c r="FT77"/>
      <c r="FU77"/>
      <c r="FV77"/>
      <c r="FW77"/>
      <c r="FX77"/>
      <c r="FY77"/>
      <c r="FZ77"/>
      <c r="GA77"/>
      <c r="GB77"/>
      <c r="GC77"/>
    </row>
    <row r="78" spans="1:185" ht="12.95" customHeight="1" x14ac:dyDescent="0.25">
      <c r="A78" s="202"/>
      <c r="B78" s="22" t="s">
        <v>63</v>
      </c>
      <c r="C78" s="34" t="s">
        <v>38</v>
      </c>
      <c r="D78" s="22" t="s">
        <v>1059</v>
      </c>
      <c r="E78" s="390" t="s">
        <v>1063</v>
      </c>
      <c r="F78" s="25" t="s">
        <v>1059</v>
      </c>
      <c r="G78" s="25" t="s">
        <v>1063</v>
      </c>
      <c r="H78" s="22" t="s">
        <v>56</v>
      </c>
      <c r="I78" s="423" t="s">
        <v>565</v>
      </c>
      <c r="J78" s="37"/>
      <c r="K78" s="23" t="s">
        <v>1781</v>
      </c>
      <c r="L78" s="23"/>
      <c r="M78" s="23"/>
      <c r="N78" s="23" t="s">
        <v>1873</v>
      </c>
      <c r="O78" s="2">
        <v>0</v>
      </c>
      <c r="P78" s="2"/>
      <c r="Q78" s="2">
        <v>0</v>
      </c>
      <c r="R78" s="2">
        <v>0</v>
      </c>
      <c r="S78" s="2">
        <v>0</v>
      </c>
      <c r="T78" s="116">
        <f t="shared" si="44"/>
        <v>0</v>
      </c>
      <c r="U78" s="324">
        <v>0</v>
      </c>
      <c r="V78" s="324">
        <v>0</v>
      </c>
      <c r="W78" s="324">
        <v>50</v>
      </c>
      <c r="X78" s="324">
        <v>50</v>
      </c>
      <c r="Y78" s="324">
        <v>100</v>
      </c>
      <c r="Z78" s="324">
        <v>0</v>
      </c>
      <c r="AA78" s="324">
        <v>0</v>
      </c>
      <c r="AB78" s="324">
        <v>0</v>
      </c>
      <c r="AC78" s="324">
        <v>0</v>
      </c>
      <c r="AD78" s="324">
        <v>0</v>
      </c>
      <c r="AE78" s="324">
        <v>0</v>
      </c>
      <c r="AF78" s="324">
        <v>0</v>
      </c>
      <c r="AG78" s="140">
        <f t="shared" si="45"/>
        <v>200</v>
      </c>
      <c r="AH78" s="324">
        <v>0</v>
      </c>
      <c r="AI78" s="324">
        <v>0</v>
      </c>
      <c r="AJ78" s="324">
        <v>0</v>
      </c>
      <c r="AK78" s="324">
        <v>0</v>
      </c>
      <c r="AL78" s="324">
        <v>0</v>
      </c>
      <c r="AM78" s="324">
        <v>0</v>
      </c>
      <c r="AN78" s="324">
        <v>0</v>
      </c>
      <c r="AO78" s="324">
        <v>0</v>
      </c>
      <c r="AP78" s="324">
        <v>0</v>
      </c>
      <c r="AQ78" s="324">
        <v>0</v>
      </c>
      <c r="AR78" s="324">
        <v>0</v>
      </c>
      <c r="AS78" s="324">
        <v>0</v>
      </c>
      <c r="AT78" s="140">
        <f t="shared" si="46"/>
        <v>0</v>
      </c>
      <c r="AU78" s="324">
        <v>0</v>
      </c>
      <c r="AV78" s="324">
        <v>0</v>
      </c>
      <c r="AW78" s="324">
        <v>0</v>
      </c>
      <c r="AX78" s="324">
        <v>0</v>
      </c>
      <c r="AY78" s="324">
        <v>0</v>
      </c>
      <c r="AZ78" s="324">
        <v>0</v>
      </c>
      <c r="BA78" s="324">
        <v>0</v>
      </c>
      <c r="BB78" s="324">
        <v>0</v>
      </c>
      <c r="BC78" s="324">
        <v>0</v>
      </c>
      <c r="BD78" s="324">
        <v>0</v>
      </c>
      <c r="BE78" s="324">
        <v>0</v>
      </c>
      <c r="BF78" s="324">
        <v>0</v>
      </c>
      <c r="BG78" s="140">
        <f t="shared" si="47"/>
        <v>0</v>
      </c>
      <c r="BH78" s="324">
        <v>0</v>
      </c>
      <c r="BI78" s="324">
        <v>0</v>
      </c>
      <c r="BJ78" s="324">
        <v>0</v>
      </c>
      <c r="BK78" s="324">
        <v>0</v>
      </c>
      <c r="BL78" s="324">
        <v>0</v>
      </c>
      <c r="BM78" s="324">
        <v>0</v>
      </c>
      <c r="BN78" s="324">
        <v>0</v>
      </c>
      <c r="BO78" s="324">
        <v>0</v>
      </c>
      <c r="BP78" s="324">
        <v>0</v>
      </c>
      <c r="BQ78" s="324">
        <v>0</v>
      </c>
      <c r="BR78" s="324">
        <v>0</v>
      </c>
      <c r="BS78" s="324">
        <v>0</v>
      </c>
      <c r="BT78" s="140">
        <f t="shared" si="48"/>
        <v>0</v>
      </c>
      <c r="BU78" s="114">
        <f t="shared" si="49"/>
        <v>200</v>
      </c>
      <c r="BV78" s="432"/>
      <c r="BW78" s="432"/>
      <c r="BX78" s="432"/>
      <c r="BY78" s="432"/>
      <c r="BZ78" s="433"/>
      <c r="CA78" s="434"/>
      <c r="CB78" s="7" t="s">
        <v>1700</v>
      </c>
      <c r="CC78" s="3">
        <v>0</v>
      </c>
      <c r="CD78" s="3">
        <v>0</v>
      </c>
      <c r="CE78" s="3">
        <v>0</v>
      </c>
      <c r="CF78" s="3">
        <v>0</v>
      </c>
      <c r="CG78" s="3">
        <v>0</v>
      </c>
      <c r="CH78" s="3">
        <v>0</v>
      </c>
      <c r="CI78" s="3">
        <v>0</v>
      </c>
      <c r="CJ78" s="3">
        <v>0</v>
      </c>
      <c r="CK78" s="3">
        <v>0</v>
      </c>
      <c r="CL78" s="3">
        <v>0</v>
      </c>
      <c r="CM78" s="3">
        <v>0</v>
      </c>
      <c r="CN78" s="3">
        <v>0</v>
      </c>
      <c r="CO78" s="4">
        <f t="shared" si="36"/>
        <v>0</v>
      </c>
      <c r="CP78" s="3">
        <v>0</v>
      </c>
      <c r="CQ78" s="3">
        <v>0</v>
      </c>
      <c r="CR78" s="3">
        <v>116.27906976744187</v>
      </c>
      <c r="CS78" s="3">
        <v>116.27906976744187</v>
      </c>
      <c r="CT78" s="3">
        <v>232.55813953488374</v>
      </c>
      <c r="CU78" s="3">
        <v>0</v>
      </c>
      <c r="CV78" s="3">
        <v>0</v>
      </c>
      <c r="CW78" s="3">
        <v>0</v>
      </c>
      <c r="CX78" s="3">
        <v>0</v>
      </c>
      <c r="CY78" s="3">
        <v>0</v>
      </c>
      <c r="CZ78" s="3">
        <v>0</v>
      </c>
      <c r="DA78" s="3">
        <v>0</v>
      </c>
      <c r="DB78" s="4">
        <f t="shared" si="37"/>
        <v>465.11627906976747</v>
      </c>
      <c r="DC78" s="3">
        <v>0</v>
      </c>
      <c r="DD78" s="3">
        <v>0</v>
      </c>
      <c r="DE78" s="3">
        <v>0</v>
      </c>
      <c r="DF78" s="3">
        <v>0</v>
      </c>
      <c r="DG78" s="3">
        <v>0</v>
      </c>
      <c r="DH78" s="3">
        <v>0</v>
      </c>
      <c r="DI78" s="3">
        <v>0</v>
      </c>
      <c r="DJ78" s="3">
        <v>0</v>
      </c>
      <c r="DK78" s="3">
        <v>0</v>
      </c>
      <c r="DL78" s="3">
        <v>0</v>
      </c>
      <c r="DM78" s="3">
        <v>0</v>
      </c>
      <c r="DN78" s="3">
        <v>0</v>
      </c>
      <c r="DO78" s="4">
        <f t="shared" si="38"/>
        <v>0</v>
      </c>
      <c r="DP78" s="3">
        <v>0</v>
      </c>
      <c r="DQ78" s="3">
        <v>0</v>
      </c>
      <c r="DR78" s="3">
        <v>0</v>
      </c>
      <c r="DS78" s="3">
        <v>0</v>
      </c>
      <c r="DT78" s="3">
        <v>0</v>
      </c>
      <c r="DU78" s="3">
        <v>0</v>
      </c>
      <c r="DV78" s="3">
        <v>0</v>
      </c>
      <c r="DW78" s="3">
        <v>0</v>
      </c>
      <c r="DX78" s="3">
        <v>0</v>
      </c>
      <c r="DY78" s="3">
        <v>0</v>
      </c>
      <c r="DZ78" s="3">
        <v>0</v>
      </c>
      <c r="EA78" s="3">
        <v>0</v>
      </c>
      <c r="EB78" s="4">
        <f t="shared" si="39"/>
        <v>0</v>
      </c>
      <c r="EC78" s="3">
        <v>0</v>
      </c>
      <c r="ED78" s="3">
        <v>0</v>
      </c>
      <c r="EE78" s="3">
        <v>0</v>
      </c>
      <c r="EF78" s="3">
        <v>0</v>
      </c>
      <c r="EG78" s="3">
        <v>0</v>
      </c>
      <c r="EH78" s="3">
        <v>0</v>
      </c>
      <c r="EI78" s="3">
        <v>0</v>
      </c>
      <c r="EJ78" s="3">
        <v>0</v>
      </c>
      <c r="EK78" s="3">
        <v>0</v>
      </c>
      <c r="EL78" s="3">
        <v>0</v>
      </c>
      <c r="EM78" s="3">
        <v>0</v>
      </c>
      <c r="EN78" s="3">
        <v>0</v>
      </c>
      <c r="EO78" s="4">
        <f t="shared" si="40"/>
        <v>0</v>
      </c>
      <c r="EP78" s="8">
        <f t="shared" si="41"/>
        <v>465.11627906976747</v>
      </c>
      <c r="EQ78" s="181">
        <f>IFERROR(VLOOKUP(I78,CEI_012018!$A$1:$U$509,9,FALSE),0)</f>
        <v>0</v>
      </c>
      <c r="ER78" s="181">
        <f>IFERROR(VLOOKUP(I78,CEI_022018!$A$1:$U$509,9,FALSE),0)</f>
        <v>0</v>
      </c>
      <c r="ES78" s="181">
        <f>IFERROR(VLOOKUP(I78,CEI_032018!$A$1:$U$509,9,FALSE),0)</f>
        <v>0</v>
      </c>
      <c r="ET78" s="181">
        <f>IFERROR(VLOOKUP(I78,CEI_042018!$A$1:$U$491,9,FALSE),0)</f>
        <v>0</v>
      </c>
      <c r="EU78" s="181">
        <f>IFERROR(VLOOKUP(I78,CEI_052018!$A$1:$U$489,9,FALSE),0)</f>
        <v>0</v>
      </c>
      <c r="EV78" s="181">
        <f>IFERROR(VLOOKUP(I78,CEI_062018!$A$1:$U$489,9,FALSE),0)</f>
        <v>0</v>
      </c>
      <c r="EW78" s="181">
        <f>IFERROR(VLOOKUP(I78,CEI_072018!$A$1:$U$489,9,FALSE),0)</f>
        <v>0</v>
      </c>
      <c r="EX78" s="181">
        <f>IFERROR(VLOOKUP(I78,CEI_082018!$A$1:$U$489,9,FALSE),0)</f>
        <v>0</v>
      </c>
      <c r="EY78" s="181">
        <f>IFERROR(VLOOKUP(I78,CEI_092018!$A$1:$U$489,9,FALSE),0)</f>
        <v>0</v>
      </c>
      <c r="EZ78" s="181"/>
      <c r="FA78" s="181"/>
      <c r="FB78" s="181"/>
      <c r="FC78" s="181">
        <f>IFERROR(VLOOKUP(I78,CEI_092018!$A$1:$U$489,12,FALSE),0)</f>
        <v>0</v>
      </c>
      <c r="FD78" s="181">
        <f t="shared" si="42"/>
        <v>0</v>
      </c>
      <c r="FE78" s="181">
        <f t="shared" si="43"/>
        <v>0</v>
      </c>
      <c r="FF78"/>
      <c r="FG78"/>
      <c r="FH78"/>
      <c r="FI78"/>
      <c r="FJ78"/>
      <c r="FK78"/>
      <c r="FL78"/>
      <c r="FM78"/>
      <c r="FN78"/>
      <c r="FO78"/>
      <c r="FP78"/>
      <c r="FQ78"/>
      <c r="FR78"/>
      <c r="FS78"/>
      <c r="FT78"/>
      <c r="FU78"/>
      <c r="FV78"/>
      <c r="FW78"/>
      <c r="FX78"/>
      <c r="FY78"/>
      <c r="FZ78"/>
      <c r="GA78"/>
      <c r="GB78"/>
      <c r="GC78"/>
    </row>
    <row r="79" spans="1:185" ht="12.95" customHeight="1" x14ac:dyDescent="0.25">
      <c r="A79" s="202"/>
      <c r="B79" s="22" t="s">
        <v>63</v>
      </c>
      <c r="C79" s="34" t="s">
        <v>39</v>
      </c>
      <c r="D79" s="22" t="s">
        <v>68</v>
      </c>
      <c r="E79" s="25" t="s">
        <v>66</v>
      </c>
      <c r="F79" s="25" t="s">
        <v>68</v>
      </c>
      <c r="G79" s="25" t="s">
        <v>66</v>
      </c>
      <c r="H79" s="22" t="s">
        <v>65</v>
      </c>
      <c r="I79" s="423" t="s">
        <v>1514</v>
      </c>
      <c r="J79" s="37" t="s">
        <v>1516</v>
      </c>
      <c r="K79" s="23" t="s">
        <v>70</v>
      </c>
      <c r="L79" s="23" t="s">
        <v>702</v>
      </c>
      <c r="M79" s="23" t="s">
        <v>602</v>
      </c>
      <c r="N79" s="23" t="s">
        <v>1754</v>
      </c>
      <c r="O79" s="2"/>
      <c r="P79" s="2"/>
      <c r="Q79" s="2"/>
      <c r="R79" s="2"/>
      <c r="S79" s="2"/>
      <c r="T79" s="116">
        <f t="shared" si="44"/>
        <v>0</v>
      </c>
      <c r="U79" s="324"/>
      <c r="V79" s="324"/>
      <c r="W79" s="324"/>
      <c r="X79" s="324"/>
      <c r="Y79" s="324">
        <v>1513</v>
      </c>
      <c r="Z79" s="324"/>
      <c r="AA79" s="324"/>
      <c r="AB79" s="324"/>
      <c r="AC79" s="324"/>
      <c r="AD79" s="324"/>
      <c r="AE79" s="324"/>
      <c r="AF79" s="324"/>
      <c r="AG79" s="140">
        <f t="shared" si="45"/>
        <v>1513</v>
      </c>
      <c r="AH79" s="324"/>
      <c r="AI79" s="324"/>
      <c r="AJ79" s="324"/>
      <c r="AK79" s="324"/>
      <c r="AL79" s="324"/>
      <c r="AM79" s="324"/>
      <c r="AN79" s="324"/>
      <c r="AO79" s="324"/>
      <c r="AP79" s="324"/>
      <c r="AQ79" s="324"/>
      <c r="AR79" s="324">
        <v>1050</v>
      </c>
      <c r="AS79" s="324"/>
      <c r="AT79" s="140">
        <f t="shared" si="46"/>
        <v>1050</v>
      </c>
      <c r="AU79" s="324"/>
      <c r="AV79" s="324"/>
      <c r="AW79" s="324"/>
      <c r="AX79" s="324"/>
      <c r="AY79" s="324"/>
      <c r="AZ79" s="324"/>
      <c r="BA79" s="324"/>
      <c r="BB79" s="324"/>
      <c r="BC79" s="324"/>
      <c r="BD79" s="324"/>
      <c r="BE79" s="324">
        <v>1008</v>
      </c>
      <c r="BF79" s="324"/>
      <c r="BG79" s="140">
        <f t="shared" si="47"/>
        <v>1008</v>
      </c>
      <c r="BH79" s="324"/>
      <c r="BI79" s="324"/>
      <c r="BJ79" s="324"/>
      <c r="BK79" s="324"/>
      <c r="BL79" s="324"/>
      <c r="BM79" s="324"/>
      <c r="BN79" s="324"/>
      <c r="BO79" s="324"/>
      <c r="BP79" s="324"/>
      <c r="BQ79" s="324"/>
      <c r="BR79" s="324"/>
      <c r="BS79" s="324"/>
      <c r="BT79" s="140">
        <f t="shared" si="48"/>
        <v>0</v>
      </c>
      <c r="BU79" s="114">
        <f t="shared" si="49"/>
        <v>3571</v>
      </c>
      <c r="BV79" s="432"/>
      <c r="BW79" s="432"/>
      <c r="BX79" s="432"/>
      <c r="BY79" s="432"/>
      <c r="BZ79" s="436">
        <f>IFERROR((EX79/T79%),0)</f>
        <v>0</v>
      </c>
      <c r="CA79" s="434"/>
      <c r="CB79" s="7" t="s">
        <v>73</v>
      </c>
      <c r="CC79" s="3">
        <v>0</v>
      </c>
      <c r="CD79" s="3"/>
      <c r="CE79" s="3"/>
      <c r="CF79" s="3"/>
      <c r="CG79" s="3"/>
      <c r="CH79" s="3"/>
      <c r="CI79" s="3"/>
      <c r="CJ79" s="3"/>
      <c r="CK79" s="3"/>
      <c r="CL79" s="3"/>
      <c r="CM79" s="3">
        <v>11</v>
      </c>
      <c r="CN79" s="3"/>
      <c r="CO79" s="4">
        <f t="shared" si="36"/>
        <v>11</v>
      </c>
      <c r="CP79" s="3"/>
      <c r="CQ79" s="3"/>
      <c r="CR79" s="3"/>
      <c r="CS79" s="3"/>
      <c r="CT79" s="3"/>
      <c r="CU79" s="3"/>
      <c r="CV79" s="3"/>
      <c r="CW79" s="3"/>
      <c r="CX79" s="3"/>
      <c r="CY79" s="3"/>
      <c r="CZ79" s="3"/>
      <c r="DA79" s="3"/>
      <c r="DB79" s="4">
        <f t="shared" si="37"/>
        <v>0</v>
      </c>
      <c r="DC79" s="3"/>
      <c r="DD79" s="3"/>
      <c r="DE79" s="3"/>
      <c r="DF79" s="3"/>
      <c r="DG79" s="3"/>
      <c r="DH79" s="3"/>
      <c r="DI79" s="3"/>
      <c r="DJ79" s="3"/>
      <c r="DK79" s="3"/>
      <c r="DL79" s="3"/>
      <c r="DM79" s="3">
        <v>4</v>
      </c>
      <c r="DN79" s="3"/>
      <c r="DO79" s="4">
        <f t="shared" si="38"/>
        <v>4</v>
      </c>
      <c r="DP79" s="3"/>
      <c r="DQ79" s="3"/>
      <c r="DR79" s="3"/>
      <c r="DS79" s="3"/>
      <c r="DT79" s="3"/>
      <c r="DU79" s="3"/>
      <c r="DV79" s="3"/>
      <c r="DW79" s="3"/>
      <c r="DX79" s="3"/>
      <c r="DY79" s="3"/>
      <c r="DZ79" s="3">
        <v>3</v>
      </c>
      <c r="EA79" s="3"/>
      <c r="EB79" s="4">
        <f t="shared" si="39"/>
        <v>3</v>
      </c>
      <c r="EC79" s="3"/>
      <c r="ED79" s="3"/>
      <c r="EE79" s="3"/>
      <c r="EF79" s="3"/>
      <c r="EG79" s="3"/>
      <c r="EH79" s="3"/>
      <c r="EI79" s="3"/>
      <c r="EJ79" s="3"/>
      <c r="EK79" s="3"/>
      <c r="EL79" s="3"/>
      <c r="EM79" s="3"/>
      <c r="EN79" s="3"/>
      <c r="EO79" s="4">
        <f t="shared" si="40"/>
        <v>0</v>
      </c>
      <c r="EP79" s="8">
        <f t="shared" si="41"/>
        <v>18</v>
      </c>
      <c r="EQ79" s="181">
        <f>IFERROR(VLOOKUP(I79,CEI_012018!$A$1:$U$509,9,FALSE),0)</f>
        <v>0</v>
      </c>
      <c r="ER79" s="181">
        <f>IFERROR(VLOOKUP(I79,CEI_022018!$A$1:$U$509,9,FALSE),0)</f>
        <v>0</v>
      </c>
      <c r="ES79" s="181">
        <f>IFERROR(VLOOKUP(I79,CEI_032018!$A$1:$U$509,9,FALSE),0)</f>
        <v>0</v>
      </c>
      <c r="ET79" s="181">
        <f>IFERROR(VLOOKUP(I79,CEI_042018!$A$1:$U$491,9,FALSE),0)</f>
        <v>0</v>
      </c>
      <c r="EU79" s="181">
        <f>IFERROR(VLOOKUP(I79,CEI_052018!$A$1:$U$489,9,FALSE),0)</f>
        <v>0</v>
      </c>
      <c r="EV79" s="181">
        <f>IFERROR(VLOOKUP(I79,CEI_062018!$A$1:$U$489,9,FALSE),0)</f>
        <v>0</v>
      </c>
      <c r="EW79" s="181">
        <f>IFERROR(VLOOKUP(I79,CEI_072018!$A$1:$U$489,9,FALSE),0)</f>
        <v>0</v>
      </c>
      <c r="EX79" s="181">
        <f>IFERROR(VLOOKUP(I79,CEI_082018!$A$1:$U$489,9,FALSE),0)</f>
        <v>0</v>
      </c>
      <c r="EY79" s="181">
        <f>IFERROR(VLOOKUP(I79,CEI_092018!$A$1:$U$489,9,FALSE),0)</f>
        <v>0</v>
      </c>
      <c r="EZ79" s="181"/>
      <c r="FA79" s="181"/>
      <c r="FB79" s="181"/>
      <c r="FC79" s="181">
        <f>IFERROR(VLOOKUP(I79,CEI_092018!$A$1:$U$489,12,FALSE),0)</f>
        <v>988</v>
      </c>
      <c r="FD79" s="181">
        <f t="shared" si="42"/>
        <v>988</v>
      </c>
      <c r="FE79" s="181">
        <f t="shared" si="43"/>
        <v>-988</v>
      </c>
      <c r="FF79"/>
      <c r="FG79"/>
      <c r="FH79"/>
      <c r="FI79"/>
      <c r="FJ79"/>
      <c r="FK79"/>
      <c r="FL79"/>
      <c r="FM79"/>
      <c r="FN79"/>
      <c r="FO79"/>
      <c r="FP79"/>
      <c r="FQ79"/>
      <c r="FR79"/>
      <c r="FS79"/>
      <c r="FT79"/>
      <c r="FU79"/>
      <c r="FV79"/>
      <c r="FW79"/>
      <c r="FX79"/>
      <c r="FY79"/>
      <c r="FZ79"/>
      <c r="GA79"/>
      <c r="GB79"/>
      <c r="GC79"/>
    </row>
    <row r="80" spans="1:185" ht="12.75" customHeight="1" x14ac:dyDescent="0.25">
      <c r="A80" s="202"/>
      <c r="B80" s="22" t="s">
        <v>63</v>
      </c>
      <c r="C80" s="34" t="s">
        <v>39</v>
      </c>
      <c r="D80" s="22" t="s">
        <v>58</v>
      </c>
      <c r="E80" s="25" t="s">
        <v>484</v>
      </c>
      <c r="F80" s="25" t="s">
        <v>58</v>
      </c>
      <c r="G80" s="25" t="s">
        <v>484</v>
      </c>
      <c r="H80" s="22" t="s">
        <v>56</v>
      </c>
      <c r="I80" s="423" t="s">
        <v>565</v>
      </c>
      <c r="J80" s="37"/>
      <c r="K80" s="23" t="s">
        <v>584</v>
      </c>
      <c r="L80" s="23" t="s">
        <v>680</v>
      </c>
      <c r="M80" s="23" t="s">
        <v>682</v>
      </c>
      <c r="N80" s="380" t="s">
        <v>1765</v>
      </c>
      <c r="O80" s="2"/>
      <c r="P80" s="2"/>
      <c r="Q80" s="2"/>
      <c r="R80" s="2"/>
      <c r="S80" s="2"/>
      <c r="T80" s="116">
        <f t="shared" si="44"/>
        <v>0</v>
      </c>
      <c r="U80" s="324"/>
      <c r="V80" s="324"/>
      <c r="W80" s="324"/>
      <c r="X80" s="324"/>
      <c r="Y80" s="324"/>
      <c r="Z80" s="324"/>
      <c r="AA80" s="324">
        <v>105.44</v>
      </c>
      <c r="AB80" s="324"/>
      <c r="AC80" s="324"/>
      <c r="AD80" s="324"/>
      <c r="AE80" s="324"/>
      <c r="AF80" s="324"/>
      <c r="AG80" s="140">
        <f t="shared" si="45"/>
        <v>105.44</v>
      </c>
      <c r="AH80" s="324"/>
      <c r="AI80" s="324"/>
      <c r="AJ80" s="324"/>
      <c r="AK80" s="324"/>
      <c r="AL80" s="324"/>
      <c r="AM80" s="324"/>
      <c r="AN80" s="324"/>
      <c r="AO80" s="324"/>
      <c r="AP80" s="324"/>
      <c r="AQ80" s="324"/>
      <c r="AR80" s="324"/>
      <c r="AS80" s="324"/>
      <c r="AT80" s="140">
        <f t="shared" si="46"/>
        <v>0</v>
      </c>
      <c r="AU80" s="324"/>
      <c r="AV80" s="324"/>
      <c r="AW80" s="324"/>
      <c r="AX80" s="324"/>
      <c r="AY80" s="324"/>
      <c r="AZ80" s="324"/>
      <c r="BA80" s="324"/>
      <c r="BB80" s="324"/>
      <c r="BC80" s="324"/>
      <c r="BD80" s="324"/>
      <c r="BE80" s="324"/>
      <c r="BF80" s="324"/>
      <c r="BG80" s="140">
        <f t="shared" si="47"/>
        <v>0</v>
      </c>
      <c r="BH80" s="324"/>
      <c r="BI80" s="324"/>
      <c r="BJ80" s="324"/>
      <c r="BK80" s="324"/>
      <c r="BL80" s="324"/>
      <c r="BM80" s="324"/>
      <c r="BN80" s="324"/>
      <c r="BO80" s="324"/>
      <c r="BP80" s="324"/>
      <c r="BQ80" s="324"/>
      <c r="BR80" s="324"/>
      <c r="BS80" s="324"/>
      <c r="BT80" s="140">
        <f t="shared" si="48"/>
        <v>0</v>
      </c>
      <c r="BU80" s="114">
        <f t="shared" si="49"/>
        <v>105.44</v>
      </c>
      <c r="BV80" s="432"/>
      <c r="BW80" s="432"/>
      <c r="BX80" s="432"/>
      <c r="BY80" s="432"/>
      <c r="BZ80" s="433"/>
      <c r="CA80" s="434"/>
      <c r="CB80" s="7" t="s">
        <v>585</v>
      </c>
      <c r="CC80" s="3"/>
      <c r="CD80" s="3"/>
      <c r="CE80" s="3"/>
      <c r="CF80" s="3"/>
      <c r="CG80" s="3"/>
      <c r="CH80" s="3"/>
      <c r="CI80" s="3"/>
      <c r="CJ80" s="3"/>
      <c r="CK80" s="3"/>
      <c r="CL80" s="3"/>
      <c r="CM80" s="3"/>
      <c r="CN80" s="3">
        <v>1</v>
      </c>
      <c r="CO80" s="4">
        <f t="shared" si="36"/>
        <v>1</v>
      </c>
      <c r="CP80" s="3"/>
      <c r="CQ80" s="3"/>
      <c r="CR80" s="3"/>
      <c r="CS80" s="3"/>
      <c r="CT80" s="3"/>
      <c r="CU80" s="3"/>
      <c r="CV80" s="3"/>
      <c r="CW80" s="3"/>
      <c r="CX80" s="3"/>
      <c r="CY80" s="3"/>
      <c r="CZ80" s="3"/>
      <c r="DA80" s="3"/>
      <c r="DB80" s="4">
        <f t="shared" si="37"/>
        <v>0</v>
      </c>
      <c r="DC80" s="3"/>
      <c r="DD80" s="3"/>
      <c r="DE80" s="3"/>
      <c r="DF80" s="3"/>
      <c r="DG80" s="3"/>
      <c r="DH80" s="3"/>
      <c r="DI80" s="3"/>
      <c r="DJ80" s="3"/>
      <c r="DK80" s="3"/>
      <c r="DL80" s="3"/>
      <c r="DM80" s="3"/>
      <c r="DN80" s="3"/>
      <c r="DO80" s="4">
        <f t="shared" si="38"/>
        <v>0</v>
      </c>
      <c r="DP80" s="3"/>
      <c r="DQ80" s="3"/>
      <c r="DR80" s="3"/>
      <c r="DS80" s="3"/>
      <c r="DT80" s="3"/>
      <c r="DU80" s="3"/>
      <c r="DV80" s="3"/>
      <c r="DW80" s="3"/>
      <c r="DX80" s="3"/>
      <c r="DY80" s="3"/>
      <c r="DZ80" s="3"/>
      <c r="EA80" s="3"/>
      <c r="EB80" s="4">
        <f t="shared" si="39"/>
        <v>0</v>
      </c>
      <c r="EC80" s="3"/>
      <c r="ED80" s="3"/>
      <c r="EE80" s="3"/>
      <c r="EF80" s="3"/>
      <c r="EG80" s="3"/>
      <c r="EH80" s="3"/>
      <c r="EI80" s="3"/>
      <c r="EJ80" s="3"/>
      <c r="EK80" s="3"/>
      <c r="EL80" s="3"/>
      <c r="EM80" s="3"/>
      <c r="EN80" s="3"/>
      <c r="EO80" s="4">
        <f t="shared" si="40"/>
        <v>0</v>
      </c>
      <c r="EP80" s="8">
        <f t="shared" si="41"/>
        <v>1</v>
      </c>
      <c r="EQ80" s="181">
        <f>IFERROR(VLOOKUP(I80,CEI_012018!$A$1:$U$509,9,FALSE),0)</f>
        <v>0</v>
      </c>
      <c r="ER80" s="181">
        <f>IFERROR(VLOOKUP(I80,CEI_022018!$A$1:$U$509,9,FALSE),0)</f>
        <v>0</v>
      </c>
      <c r="ES80" s="181">
        <f>IFERROR(VLOOKUP(I80,CEI_032018!$A$1:$U$509,9,FALSE),0)</f>
        <v>0</v>
      </c>
      <c r="ET80" s="181">
        <f>IFERROR(VLOOKUP(I80,CEI_042018!$A$1:$U$491,9,FALSE),0)</f>
        <v>0</v>
      </c>
      <c r="EU80" s="181">
        <f>IFERROR(VLOOKUP(I80,CEI_052018!$A$1:$U$489,9,FALSE),0)</f>
        <v>0</v>
      </c>
      <c r="EV80" s="181">
        <f>IFERROR(VLOOKUP(I80,CEI_062018!$A$1:$U$489,9,FALSE),0)</f>
        <v>0</v>
      </c>
      <c r="EW80" s="181">
        <f>IFERROR(VLOOKUP(I80,CEI_072018!$A$1:$U$489,9,FALSE),0)</f>
        <v>0</v>
      </c>
      <c r="EX80" s="181">
        <f>IFERROR(VLOOKUP(I80,CEI_082018!$A$1:$U$489,9,FALSE),0)</f>
        <v>0</v>
      </c>
      <c r="EY80" s="181">
        <f>IFERROR(VLOOKUP(I80,CEI_092018!$A$1:$U$489,9,FALSE),0)</f>
        <v>0</v>
      </c>
      <c r="EZ80" s="181"/>
      <c r="FA80" s="181"/>
      <c r="FB80" s="181"/>
      <c r="FC80" s="181">
        <f>IFERROR(VLOOKUP(I80,CEI_092018!$A$1:$U$489,12,FALSE),0)</f>
        <v>0</v>
      </c>
      <c r="FD80" s="181">
        <f t="shared" si="42"/>
        <v>0</v>
      </c>
      <c r="FE80" s="181">
        <f t="shared" si="43"/>
        <v>0</v>
      </c>
      <c r="FF80"/>
      <c r="FG80"/>
      <c r="FH80"/>
      <c r="FI80"/>
      <c r="FJ80"/>
      <c r="FK80"/>
      <c r="FL80"/>
      <c r="FM80"/>
      <c r="FN80"/>
      <c r="FO80"/>
      <c r="FP80"/>
      <c r="FQ80"/>
      <c r="FR80"/>
      <c r="FS80"/>
      <c r="FT80"/>
      <c r="FU80"/>
      <c r="FV80"/>
      <c r="FW80"/>
      <c r="FX80"/>
      <c r="FY80"/>
      <c r="FZ80"/>
      <c r="GA80"/>
      <c r="GB80"/>
      <c r="GC80"/>
    </row>
    <row r="81" spans="1:185" ht="12.95" customHeight="1" x14ac:dyDescent="0.25">
      <c r="A81" s="202"/>
      <c r="B81" s="22" t="s">
        <v>63</v>
      </c>
      <c r="C81" s="34" t="s">
        <v>1493</v>
      </c>
      <c r="D81" s="22" t="s">
        <v>64</v>
      </c>
      <c r="E81" s="25" t="s">
        <v>208</v>
      </c>
      <c r="F81" s="25" t="s">
        <v>64</v>
      </c>
      <c r="G81" s="25" t="s">
        <v>208</v>
      </c>
      <c r="H81" s="22" t="s">
        <v>65</v>
      </c>
      <c r="I81" s="423" t="s">
        <v>565</v>
      </c>
      <c r="J81" s="37" t="s">
        <v>59</v>
      </c>
      <c r="K81" s="23" t="s">
        <v>604</v>
      </c>
      <c r="L81" s="23" t="s">
        <v>603</v>
      </c>
      <c r="M81" s="23" t="s">
        <v>605</v>
      </c>
      <c r="N81" s="23"/>
      <c r="O81" s="2">
        <v>0</v>
      </c>
      <c r="P81" s="2">
        <v>0</v>
      </c>
      <c r="Q81" s="2">
        <v>0</v>
      </c>
      <c r="R81" s="2">
        <v>0</v>
      </c>
      <c r="S81" s="2">
        <v>0</v>
      </c>
      <c r="T81" s="116">
        <f t="shared" si="44"/>
        <v>0</v>
      </c>
      <c r="U81" s="324">
        <v>0</v>
      </c>
      <c r="V81" s="324">
        <v>0</v>
      </c>
      <c r="W81" s="324">
        <v>0</v>
      </c>
      <c r="X81" s="324">
        <v>0</v>
      </c>
      <c r="Y81" s="324">
        <v>0</v>
      </c>
      <c r="Z81" s="324">
        <v>0</v>
      </c>
      <c r="AA81" s="324">
        <v>0</v>
      </c>
      <c r="AB81" s="324">
        <v>0</v>
      </c>
      <c r="AC81" s="324">
        <v>0</v>
      </c>
      <c r="AD81" s="324">
        <v>0</v>
      </c>
      <c r="AE81" s="324">
        <v>0</v>
      </c>
      <c r="AF81" s="324">
        <v>0</v>
      </c>
      <c r="AG81" s="140">
        <f t="shared" si="45"/>
        <v>0</v>
      </c>
      <c r="AH81" s="324">
        <v>0</v>
      </c>
      <c r="AI81" s="324">
        <v>0</v>
      </c>
      <c r="AJ81" s="324">
        <v>0</v>
      </c>
      <c r="AK81" s="324">
        <v>0</v>
      </c>
      <c r="AL81" s="324">
        <v>0</v>
      </c>
      <c r="AM81" s="324">
        <v>0</v>
      </c>
      <c r="AN81" s="324">
        <v>0</v>
      </c>
      <c r="AO81" s="324">
        <v>0</v>
      </c>
      <c r="AP81" s="324">
        <v>0</v>
      </c>
      <c r="AQ81" s="324">
        <v>0</v>
      </c>
      <c r="AR81" s="324">
        <v>0</v>
      </c>
      <c r="AS81" s="324">
        <v>0</v>
      </c>
      <c r="AT81" s="140">
        <f t="shared" si="46"/>
        <v>0</v>
      </c>
      <c r="AU81" s="324">
        <v>0</v>
      </c>
      <c r="AV81" s="324">
        <v>0</v>
      </c>
      <c r="AW81" s="324">
        <v>2244.14</v>
      </c>
      <c r="AX81" s="324">
        <v>0</v>
      </c>
      <c r="AY81" s="324">
        <v>0</v>
      </c>
      <c r="AZ81" s="324">
        <v>305.57898999999998</v>
      </c>
      <c r="BA81" s="324"/>
      <c r="BB81" s="324"/>
      <c r="BC81" s="324"/>
      <c r="BD81" s="324"/>
      <c r="BE81" s="324"/>
      <c r="BF81" s="324"/>
      <c r="BG81" s="140">
        <f t="shared" si="47"/>
        <v>2549.7189899999998</v>
      </c>
      <c r="BH81" s="324"/>
      <c r="BI81" s="324"/>
      <c r="BJ81" s="324"/>
      <c r="BK81" s="324"/>
      <c r="BL81" s="324"/>
      <c r="BM81" s="324"/>
      <c r="BN81" s="324"/>
      <c r="BO81" s="324"/>
      <c r="BP81" s="324"/>
      <c r="BQ81" s="324"/>
      <c r="BR81" s="324"/>
      <c r="BS81" s="324"/>
      <c r="BT81" s="140">
        <f t="shared" si="48"/>
        <v>0</v>
      </c>
      <c r="BU81" s="114">
        <f t="shared" si="49"/>
        <v>2549.7189899999998</v>
      </c>
      <c r="BV81" s="432"/>
      <c r="BW81" s="432"/>
      <c r="BX81" s="432"/>
      <c r="BY81" s="432"/>
      <c r="BZ81" s="433"/>
      <c r="CA81" s="434"/>
      <c r="CB81" s="7" t="s">
        <v>73</v>
      </c>
      <c r="CC81" s="3"/>
      <c r="CD81" s="3"/>
      <c r="CE81" s="3"/>
      <c r="CF81" s="3"/>
      <c r="CG81" s="3"/>
      <c r="CH81" s="3"/>
      <c r="CI81" s="3"/>
      <c r="CJ81" s="3"/>
      <c r="CK81" s="3"/>
      <c r="CL81" s="3"/>
      <c r="CM81" s="3"/>
      <c r="CN81" s="3"/>
      <c r="CO81" s="4">
        <f t="shared" si="36"/>
        <v>0</v>
      </c>
      <c r="CP81" s="3"/>
      <c r="CQ81" s="3"/>
      <c r="CR81" s="3"/>
      <c r="CS81" s="3"/>
      <c r="CT81" s="3"/>
      <c r="CU81" s="3"/>
      <c r="CV81" s="3"/>
      <c r="CW81" s="3"/>
      <c r="CX81" s="3"/>
      <c r="CY81" s="3"/>
      <c r="CZ81" s="3"/>
      <c r="DA81" s="3"/>
      <c r="DB81" s="4">
        <f t="shared" si="37"/>
        <v>0</v>
      </c>
      <c r="DC81" s="3"/>
      <c r="DD81" s="3"/>
      <c r="DE81" s="3"/>
      <c r="DF81" s="3"/>
      <c r="DG81" s="3"/>
      <c r="DH81" s="3"/>
      <c r="DI81" s="3"/>
      <c r="DJ81" s="3"/>
      <c r="DK81" s="3"/>
      <c r="DL81" s="3"/>
      <c r="DM81" s="3"/>
      <c r="DN81" s="3"/>
      <c r="DO81" s="4">
        <f t="shared" si="38"/>
        <v>0</v>
      </c>
      <c r="DP81" s="3"/>
      <c r="DQ81" s="3"/>
      <c r="DR81" s="3">
        <v>2</v>
      </c>
      <c r="DS81" s="3"/>
      <c r="DT81" s="3"/>
      <c r="DU81" s="3">
        <v>2</v>
      </c>
      <c r="DV81" s="3"/>
      <c r="DW81" s="3"/>
      <c r="DX81" s="3"/>
      <c r="DY81" s="3"/>
      <c r="DZ81" s="3"/>
      <c r="EA81" s="3"/>
      <c r="EB81" s="4">
        <f t="shared" si="39"/>
        <v>4</v>
      </c>
      <c r="EC81" s="3"/>
      <c r="ED81" s="3"/>
      <c r="EE81" s="3"/>
      <c r="EF81" s="3"/>
      <c r="EG81" s="3"/>
      <c r="EH81" s="3"/>
      <c r="EI81" s="3"/>
      <c r="EJ81" s="3"/>
      <c r="EK81" s="3"/>
      <c r="EL81" s="3"/>
      <c r="EM81" s="3"/>
      <c r="EN81" s="3"/>
      <c r="EO81" s="4">
        <f t="shared" si="40"/>
        <v>0</v>
      </c>
      <c r="EP81" s="8">
        <f t="shared" si="41"/>
        <v>4</v>
      </c>
      <c r="EQ81" s="181">
        <f>IFERROR(VLOOKUP(I81,CEI_012018!$A$1:$U$509,9,FALSE),0)</f>
        <v>0</v>
      </c>
      <c r="ER81" s="181">
        <f>IFERROR(VLOOKUP(I81,CEI_022018!$A$1:$U$509,9,FALSE),0)</f>
        <v>0</v>
      </c>
      <c r="ES81" s="181">
        <f>IFERROR(VLOOKUP(I81,CEI_032018!$A$1:$U$509,9,FALSE),0)</f>
        <v>0</v>
      </c>
      <c r="ET81" s="181">
        <f>IFERROR(VLOOKUP(I81,CEI_042018!$A$1:$U$491,9,FALSE),0)</f>
        <v>0</v>
      </c>
      <c r="EU81" s="181">
        <f>IFERROR(VLOOKUP(I81,CEI_052018!$A$1:$U$489,9,FALSE),0)</f>
        <v>0</v>
      </c>
      <c r="EV81" s="181">
        <f>IFERROR(VLOOKUP(I81,CEI_062018!$A$1:$U$489,9,FALSE),0)</f>
        <v>0</v>
      </c>
      <c r="EW81" s="181">
        <f>IFERROR(VLOOKUP(I81,CEI_072018!$A$1:$U$489,9,FALSE),0)</f>
        <v>0</v>
      </c>
      <c r="EX81" s="181">
        <f>IFERROR(VLOOKUP(I81,CEI_082018!$A$1:$U$489,9,FALSE),0)</f>
        <v>0</v>
      </c>
      <c r="EY81" s="181">
        <f>IFERROR(VLOOKUP(I81,CEI_092018!$A$1:$U$489,9,FALSE),0)</f>
        <v>0</v>
      </c>
      <c r="EZ81" s="181"/>
      <c r="FA81" s="181"/>
      <c r="FB81" s="181"/>
      <c r="FC81" s="181">
        <f>IFERROR(VLOOKUP(I81,CEI_092018!$A$1:$U$489,12,FALSE),0)</f>
        <v>0</v>
      </c>
      <c r="FD81" s="181">
        <f t="shared" si="42"/>
        <v>0</v>
      </c>
      <c r="FE81" s="181">
        <f t="shared" si="43"/>
        <v>0</v>
      </c>
      <c r="FF81"/>
      <c r="FG81"/>
      <c r="FH81"/>
      <c r="FI81"/>
      <c r="FJ81"/>
      <c r="FK81"/>
      <c r="FL81"/>
      <c r="FM81"/>
      <c r="FN81"/>
      <c r="FO81"/>
      <c r="FP81"/>
      <c r="FQ81"/>
      <c r="FR81"/>
      <c r="FS81"/>
      <c r="FT81"/>
      <c r="FU81"/>
      <c r="FV81"/>
      <c r="FW81"/>
      <c r="FX81"/>
      <c r="FY81"/>
      <c r="FZ81"/>
      <c r="GA81"/>
      <c r="GB81"/>
      <c r="GC81"/>
    </row>
    <row r="82" spans="1:185" ht="12.95" customHeight="1" x14ac:dyDescent="0.25">
      <c r="A82" s="202"/>
      <c r="B82" s="22" t="s">
        <v>63</v>
      </c>
      <c r="C82" s="34" t="s">
        <v>1493</v>
      </c>
      <c r="D82" s="22" t="s">
        <v>64</v>
      </c>
      <c r="E82" s="25" t="s">
        <v>214</v>
      </c>
      <c r="F82" s="25" t="s">
        <v>64</v>
      </c>
      <c r="G82" s="25" t="s">
        <v>214</v>
      </c>
      <c r="H82" s="22" t="s">
        <v>65</v>
      </c>
      <c r="I82" s="423" t="s">
        <v>565</v>
      </c>
      <c r="J82" s="327" t="s">
        <v>59</v>
      </c>
      <c r="K82" s="23" t="s">
        <v>1993</v>
      </c>
      <c r="L82" s="23"/>
      <c r="M82" s="23"/>
      <c r="N82" s="23"/>
      <c r="O82" s="2"/>
      <c r="P82" s="2"/>
      <c r="Q82" s="2"/>
      <c r="R82" s="2"/>
      <c r="S82" s="2"/>
      <c r="T82" s="116">
        <f t="shared" si="44"/>
        <v>0</v>
      </c>
      <c r="U82" s="324"/>
      <c r="V82" s="324"/>
      <c r="W82" s="324"/>
      <c r="X82" s="324"/>
      <c r="Y82" s="324">
        <v>62.516737499999977</v>
      </c>
      <c r="Z82" s="324">
        <v>77.703347499999992</v>
      </c>
      <c r="AA82" s="324">
        <v>77.703347499999992</v>
      </c>
      <c r="AB82" s="324">
        <v>77.703347499999992</v>
      </c>
      <c r="AC82" s="324">
        <v>77.703347499999992</v>
      </c>
      <c r="AD82" s="324">
        <v>79.365322519340168</v>
      </c>
      <c r="AE82" s="324">
        <v>77.703347499999992</v>
      </c>
      <c r="AF82" s="324">
        <v>77.703347499999992</v>
      </c>
      <c r="AG82" s="140">
        <f t="shared" si="45"/>
        <v>608.10214501934013</v>
      </c>
      <c r="AH82" s="324">
        <v>77.703347499999992</v>
      </c>
      <c r="AI82" s="324">
        <v>77.703347499999992</v>
      </c>
      <c r="AJ82" s="324">
        <v>77.703347499999992</v>
      </c>
      <c r="AK82" s="324">
        <v>77.703347499999992</v>
      </c>
      <c r="AL82" s="324">
        <v>77.703347499999992</v>
      </c>
      <c r="AM82" s="324">
        <v>77.703347499999992</v>
      </c>
      <c r="AN82" s="324">
        <v>77.703347499999992</v>
      </c>
      <c r="AO82" s="324">
        <v>77.703347499999992</v>
      </c>
      <c r="AP82" s="324">
        <v>77.703347499999992</v>
      </c>
      <c r="AQ82" s="324">
        <v>77.703347499999992</v>
      </c>
      <c r="AR82" s="324">
        <v>0</v>
      </c>
      <c r="AS82" s="324">
        <v>0</v>
      </c>
      <c r="AT82" s="140">
        <f t="shared" si="46"/>
        <v>777.03347499999984</v>
      </c>
      <c r="AU82" s="324"/>
      <c r="AV82" s="324"/>
      <c r="AW82" s="324"/>
      <c r="AX82" s="324"/>
      <c r="AY82" s="324"/>
      <c r="AZ82" s="324"/>
      <c r="BA82" s="324"/>
      <c r="BB82" s="324"/>
      <c r="BC82" s="324"/>
      <c r="BD82" s="324"/>
      <c r="BE82" s="324"/>
      <c r="BF82" s="324"/>
      <c r="BG82" s="140">
        <f t="shared" si="47"/>
        <v>0</v>
      </c>
      <c r="BH82" s="324"/>
      <c r="BI82" s="324"/>
      <c r="BJ82" s="324"/>
      <c r="BK82" s="324"/>
      <c r="BL82" s="324"/>
      <c r="BM82" s="324"/>
      <c r="BN82" s="324"/>
      <c r="BO82" s="324"/>
      <c r="BP82" s="324"/>
      <c r="BQ82" s="324"/>
      <c r="BR82" s="324"/>
      <c r="BS82" s="324"/>
      <c r="BT82" s="140">
        <f t="shared" si="48"/>
        <v>0</v>
      </c>
      <c r="BU82" s="114">
        <f t="shared" si="49"/>
        <v>1385.13562001934</v>
      </c>
      <c r="BV82" s="432"/>
      <c r="BW82" s="432"/>
      <c r="BX82" s="432"/>
      <c r="BY82" s="432"/>
      <c r="BZ82" s="433"/>
      <c r="CA82" s="434"/>
      <c r="CB82" s="7" t="s">
        <v>72</v>
      </c>
      <c r="CC82" s="83"/>
      <c r="CD82" s="83"/>
      <c r="CE82" s="83"/>
      <c r="CF82" s="83"/>
      <c r="CG82" s="339"/>
      <c r="CH82" s="339"/>
      <c r="CI82" s="339"/>
      <c r="CJ82" s="339"/>
      <c r="CK82" s="339"/>
      <c r="CL82" s="339"/>
      <c r="CM82" s="339"/>
      <c r="CN82" s="339"/>
      <c r="CO82" s="4"/>
      <c r="CP82" s="3"/>
      <c r="CQ82" s="3"/>
      <c r="CR82" s="3"/>
      <c r="CS82" s="3"/>
      <c r="CT82" s="3"/>
      <c r="CU82" s="3"/>
      <c r="CV82" s="3"/>
      <c r="CW82" s="3"/>
      <c r="CX82" s="3"/>
      <c r="CY82" s="3"/>
      <c r="CZ82" s="3"/>
      <c r="DA82" s="3"/>
      <c r="DB82" s="4"/>
      <c r="DC82" s="3"/>
      <c r="DD82" s="3"/>
      <c r="DE82" s="3"/>
      <c r="DF82" s="3"/>
      <c r="DG82" s="3"/>
      <c r="DH82" s="3"/>
      <c r="DI82" s="3"/>
      <c r="DJ82" s="3"/>
      <c r="DK82" s="3"/>
      <c r="DL82" s="3"/>
      <c r="DM82" s="3"/>
      <c r="DN82" s="3"/>
      <c r="DO82" s="4"/>
      <c r="DP82" s="3"/>
      <c r="DQ82" s="3"/>
      <c r="DR82" s="3"/>
      <c r="DS82" s="3"/>
      <c r="DT82" s="3"/>
      <c r="DU82" s="3"/>
      <c r="DV82" s="3"/>
      <c r="DW82" s="3"/>
      <c r="DX82" s="3"/>
      <c r="DY82" s="3"/>
      <c r="DZ82" s="3"/>
      <c r="EA82" s="3"/>
      <c r="EB82" s="4"/>
      <c r="EC82" s="3"/>
      <c r="ED82" s="3"/>
      <c r="EE82" s="3"/>
      <c r="EF82" s="3"/>
      <c r="EG82" s="3"/>
      <c r="EH82" s="3"/>
      <c r="EI82" s="3"/>
      <c r="EJ82" s="3"/>
      <c r="EK82" s="3"/>
      <c r="EL82" s="3"/>
      <c r="EM82" s="3"/>
      <c r="EN82" s="3"/>
      <c r="EO82" s="4"/>
      <c r="EP82" s="8"/>
      <c r="EQ82" s="181"/>
      <c r="ER82" s="181"/>
      <c r="ES82" s="181"/>
      <c r="ET82" s="181"/>
      <c r="EU82" s="181"/>
      <c r="EV82" s="181"/>
      <c r="EW82" s="181">
        <f>IFERROR(VLOOKUP(I82,CEI_072018!$A$1:$U$489,9,FALSE),0)</f>
        <v>0</v>
      </c>
      <c r="EX82" s="181">
        <f>IFERROR(VLOOKUP(I82,CEI_082018!$A$1:$U$489,9,FALSE),0)</f>
        <v>0</v>
      </c>
      <c r="EY82" s="181">
        <f>IFERROR(VLOOKUP(I82,CEI_092018!$A$1:$U$489,9,FALSE),0)</f>
        <v>0</v>
      </c>
      <c r="EZ82" s="181"/>
      <c r="FA82" s="181"/>
      <c r="FB82" s="181"/>
      <c r="FC82" s="181">
        <f>IFERROR(VLOOKUP(I82,CEI_092018!$A$1:$U$489,12,FALSE),0)</f>
        <v>0</v>
      </c>
      <c r="FD82" s="181"/>
      <c r="FE82" s="181"/>
      <c r="FF82"/>
      <c r="FG82"/>
      <c r="FH82"/>
      <c r="FI82"/>
      <c r="FJ82"/>
      <c r="FK82"/>
      <c r="FL82"/>
      <c r="FM82"/>
      <c r="FN82"/>
      <c r="FO82"/>
      <c r="FP82"/>
      <c r="FQ82"/>
      <c r="FR82"/>
      <c r="FS82"/>
      <c r="FT82"/>
      <c r="FU82"/>
      <c r="FV82"/>
      <c r="FW82"/>
      <c r="FX82"/>
      <c r="FY82"/>
      <c r="FZ82"/>
      <c r="GA82"/>
      <c r="GB82"/>
      <c r="GC82"/>
    </row>
    <row r="83" spans="1:185" ht="12.95" customHeight="1" x14ac:dyDescent="0.25">
      <c r="A83" s="202"/>
      <c r="B83" s="22" t="s">
        <v>63</v>
      </c>
      <c r="C83" s="34" t="s">
        <v>1493</v>
      </c>
      <c r="D83" s="22" t="s">
        <v>209</v>
      </c>
      <c r="E83" s="25" t="s">
        <v>210</v>
      </c>
      <c r="F83" s="25" t="s">
        <v>209</v>
      </c>
      <c r="G83" s="25" t="s">
        <v>210</v>
      </c>
      <c r="H83" s="22" t="s">
        <v>65</v>
      </c>
      <c r="I83" s="423" t="s">
        <v>1260</v>
      </c>
      <c r="J83" s="37" t="s">
        <v>1262</v>
      </c>
      <c r="K83" s="23" t="s">
        <v>211</v>
      </c>
      <c r="L83" s="23" t="s">
        <v>212</v>
      </c>
      <c r="M83" s="23" t="s">
        <v>213</v>
      </c>
      <c r="N83" s="23"/>
      <c r="O83" s="2">
        <v>132.45830917358398</v>
      </c>
      <c r="P83" s="2">
        <v>335.56800007820129</v>
      </c>
      <c r="Q83" s="2"/>
      <c r="R83" s="2"/>
      <c r="S83" s="2">
        <v>232.46505074821471</v>
      </c>
      <c r="T83" s="116">
        <f t="shared" si="44"/>
        <v>700.49135999999999</v>
      </c>
      <c r="U83" s="324">
        <v>0</v>
      </c>
      <c r="V83" s="324">
        <v>0</v>
      </c>
      <c r="W83" s="324">
        <v>0</v>
      </c>
      <c r="X83" s="324">
        <v>0</v>
      </c>
      <c r="Y83" s="324">
        <v>0</v>
      </c>
      <c r="Z83" s="324">
        <v>0</v>
      </c>
      <c r="AA83" s="324">
        <v>0</v>
      </c>
      <c r="AB83" s="324">
        <v>0</v>
      </c>
      <c r="AC83" s="324">
        <v>0</v>
      </c>
      <c r="AD83" s="324">
        <v>0</v>
      </c>
      <c r="AE83" s="324">
        <v>0</v>
      </c>
      <c r="AF83" s="324">
        <f>363.3+12.6707900000001+14.20835</f>
        <v>390.17914000000013</v>
      </c>
      <c r="AG83" s="140">
        <f t="shared" si="45"/>
        <v>390.17914000000013</v>
      </c>
      <c r="AH83" s="324">
        <v>0</v>
      </c>
      <c r="AI83" s="324">
        <v>0</v>
      </c>
      <c r="AJ83" s="324">
        <v>0</v>
      </c>
      <c r="AK83" s="324">
        <v>0</v>
      </c>
      <c r="AL83" s="324">
        <v>0</v>
      </c>
      <c r="AM83" s="324">
        <v>0</v>
      </c>
      <c r="AN83" s="324">
        <v>0</v>
      </c>
      <c r="AO83" s="324">
        <v>0</v>
      </c>
      <c r="AP83" s="324">
        <v>0</v>
      </c>
      <c r="AQ83" s="324">
        <v>0</v>
      </c>
      <c r="AR83" s="324">
        <v>0</v>
      </c>
      <c r="AS83" s="324">
        <v>0</v>
      </c>
      <c r="AT83" s="140">
        <f t="shared" si="46"/>
        <v>0</v>
      </c>
      <c r="AU83" s="324">
        <v>0</v>
      </c>
      <c r="AV83" s="324">
        <v>0</v>
      </c>
      <c r="AW83" s="324">
        <v>0</v>
      </c>
      <c r="AX83" s="324">
        <v>0</v>
      </c>
      <c r="AY83" s="324">
        <v>0</v>
      </c>
      <c r="AZ83" s="324">
        <v>0</v>
      </c>
      <c r="BA83" s="324">
        <v>0</v>
      </c>
      <c r="BB83" s="324">
        <v>0</v>
      </c>
      <c r="BC83" s="324">
        <v>0</v>
      </c>
      <c r="BD83" s="324">
        <v>0</v>
      </c>
      <c r="BE83" s="324">
        <v>0</v>
      </c>
      <c r="BF83" s="324">
        <v>0</v>
      </c>
      <c r="BG83" s="140">
        <f t="shared" si="47"/>
        <v>0</v>
      </c>
      <c r="BH83" s="324"/>
      <c r="BI83" s="324"/>
      <c r="BJ83" s="324"/>
      <c r="BK83" s="324"/>
      <c r="BL83" s="324"/>
      <c r="BM83" s="324"/>
      <c r="BN83" s="324"/>
      <c r="BO83" s="324"/>
      <c r="BP83" s="324"/>
      <c r="BQ83" s="324"/>
      <c r="BR83" s="324"/>
      <c r="BS83" s="324"/>
      <c r="BT83" s="140">
        <f t="shared" si="48"/>
        <v>0</v>
      </c>
      <c r="BU83" s="114">
        <f t="shared" si="49"/>
        <v>1090.6705000000002</v>
      </c>
      <c r="BV83" s="372">
        <v>1</v>
      </c>
      <c r="BW83" s="372">
        <v>1</v>
      </c>
      <c r="BX83" s="372">
        <v>1</v>
      </c>
      <c r="BY83" s="372">
        <v>1</v>
      </c>
      <c r="BZ83" s="436">
        <f t="shared" ref="BZ83:BZ86" si="51">IFERROR((EX83/T83%),0)</f>
        <v>18.909342318452577</v>
      </c>
      <c r="CA83" s="428">
        <f>IFERROR((FD83/T83%),0)</f>
        <v>88.043956840373497</v>
      </c>
      <c r="CB83" s="7" t="s">
        <v>72</v>
      </c>
      <c r="CC83" s="83">
        <v>0</v>
      </c>
      <c r="CD83" s="83">
        <v>0</v>
      </c>
      <c r="CE83" s="83">
        <v>0</v>
      </c>
      <c r="CF83" s="83">
        <v>0</v>
      </c>
      <c r="CG83" s="339">
        <v>4.826843980391593E-2</v>
      </c>
      <c r="CH83" s="339">
        <v>2.4867545270535686E-3</v>
      </c>
      <c r="CI83" s="339">
        <v>0</v>
      </c>
      <c r="CJ83" s="339">
        <v>7.1616767504865736E-3</v>
      </c>
      <c r="CK83" s="339">
        <v>2.6022806365120908E-2</v>
      </c>
      <c r="CL83" s="339">
        <v>0.10799478000806807</v>
      </c>
      <c r="CM83" s="339">
        <v>0.18179640982004378</v>
      </c>
      <c r="CN83" s="339">
        <v>2.6976240328372356E-2</v>
      </c>
      <c r="CO83" s="4">
        <f>SUM(CC83:CN83)</f>
        <v>0.40070710760306122</v>
      </c>
      <c r="CP83" s="3">
        <v>0</v>
      </c>
      <c r="CQ83" s="3">
        <v>0</v>
      </c>
      <c r="CR83" s="3">
        <v>0</v>
      </c>
      <c r="CS83" s="3">
        <v>0</v>
      </c>
      <c r="CT83" s="3">
        <v>0</v>
      </c>
      <c r="CU83" s="3">
        <v>0</v>
      </c>
      <c r="CV83" s="3">
        <v>0</v>
      </c>
      <c r="CW83" s="3">
        <v>0</v>
      </c>
      <c r="CX83" s="3">
        <v>0</v>
      </c>
      <c r="CY83" s="3">
        <v>0</v>
      </c>
      <c r="CZ83" s="3">
        <v>0</v>
      </c>
      <c r="DA83" s="3">
        <v>0.24288977944611861</v>
      </c>
      <c r="DB83" s="4">
        <f>SUM(CP83:DA83)</f>
        <v>0.24288977944611861</v>
      </c>
      <c r="DC83" s="3">
        <v>0</v>
      </c>
      <c r="DD83" s="3">
        <v>0</v>
      </c>
      <c r="DE83" s="3">
        <v>0</v>
      </c>
      <c r="DF83" s="3">
        <v>0</v>
      </c>
      <c r="DG83" s="3">
        <v>0</v>
      </c>
      <c r="DH83" s="3">
        <v>0</v>
      </c>
      <c r="DI83" s="3">
        <v>0</v>
      </c>
      <c r="DJ83" s="3">
        <v>0</v>
      </c>
      <c r="DK83" s="3">
        <v>0</v>
      </c>
      <c r="DL83" s="3">
        <v>0</v>
      </c>
      <c r="DM83" s="3">
        <v>0</v>
      </c>
      <c r="DN83" s="3">
        <v>0</v>
      </c>
      <c r="DO83" s="4">
        <f>SUM(DC83:DN83)</f>
        <v>0</v>
      </c>
      <c r="DP83" s="3">
        <v>0</v>
      </c>
      <c r="DQ83" s="3">
        <v>0</v>
      </c>
      <c r="DR83" s="3">
        <v>0</v>
      </c>
      <c r="DS83" s="3">
        <v>0</v>
      </c>
      <c r="DT83" s="3">
        <v>0</v>
      </c>
      <c r="DU83" s="3">
        <v>0</v>
      </c>
      <c r="DV83" s="3">
        <v>0</v>
      </c>
      <c r="DW83" s="3">
        <v>0</v>
      </c>
      <c r="DX83" s="3">
        <v>0</v>
      </c>
      <c r="DY83" s="3">
        <v>0</v>
      </c>
      <c r="DZ83" s="3">
        <v>0</v>
      </c>
      <c r="EA83" s="3">
        <v>0</v>
      </c>
      <c r="EB83" s="4">
        <f>SUM(DP83:EA83)</f>
        <v>0</v>
      </c>
      <c r="EC83" s="3">
        <v>0</v>
      </c>
      <c r="ED83" s="3">
        <v>0</v>
      </c>
      <c r="EE83" s="3">
        <v>0</v>
      </c>
      <c r="EF83" s="3">
        <v>0</v>
      </c>
      <c r="EG83" s="3">
        <v>0</v>
      </c>
      <c r="EH83" s="3">
        <v>0</v>
      </c>
      <c r="EI83" s="3">
        <v>0</v>
      </c>
      <c r="EJ83" s="3">
        <v>0</v>
      </c>
      <c r="EK83" s="3">
        <v>0</v>
      </c>
      <c r="EL83" s="3">
        <v>0</v>
      </c>
      <c r="EM83" s="3">
        <v>0</v>
      </c>
      <c r="EN83" s="3">
        <v>0</v>
      </c>
      <c r="EO83" s="4">
        <f>SUM(EC83:EN83)</f>
        <v>0</v>
      </c>
      <c r="EP83" s="8">
        <f>SUM(EO83,EB83,DO83,DB83,CO83)</f>
        <v>0.64359688704917983</v>
      </c>
      <c r="EQ83" s="181">
        <f>IFERROR(VLOOKUP(I83,CEI_012018!$A$1:$U$509,9,FALSE),0)</f>
        <v>0</v>
      </c>
      <c r="ER83" s="181">
        <f>IFERROR(VLOOKUP(I83,CEI_022018!$A$1:$U$509,9,FALSE),0)</f>
        <v>0</v>
      </c>
      <c r="ES83" s="181">
        <f>IFERROR(VLOOKUP(I83,CEI_032018!$A$1:$U$509,9,FALSE),0)</f>
        <v>0</v>
      </c>
      <c r="ET83" s="181">
        <f>IFERROR(VLOOKUP(I83,CEI_042018!$A$1:$U$491,9,FALSE),0)</f>
        <v>35</v>
      </c>
      <c r="EU83" s="181">
        <f>IFERROR(VLOOKUP(I83,CEI_052018!$A$1:$U$489,9,FALSE),0)</f>
        <v>87.617710113525391</v>
      </c>
      <c r="EV83" s="181">
        <f>IFERROR(VLOOKUP(I83,CEI_062018!$A$1:$U$489,9,FALSE),0)</f>
        <v>87.740310668945313</v>
      </c>
      <c r="EW83" s="181">
        <f>IFERROR(VLOOKUP(I83,CEI_072018!$A$1:$U$489,9,FALSE),0)</f>
        <v>87.740310668945313</v>
      </c>
      <c r="EX83" s="181">
        <f>IFERROR(VLOOKUP(I83,CEI_082018!$A$1:$U$489,9,FALSE),0)</f>
        <v>132.45830917358398</v>
      </c>
      <c r="EY83" s="181">
        <f>IFERROR(VLOOKUP(I83,CEI_092018!$A$1:$U$489,9,FALSE),0)</f>
        <v>138.02630925178528</v>
      </c>
      <c r="EZ83" s="181"/>
      <c r="FA83" s="181"/>
      <c r="FB83" s="181"/>
      <c r="FC83" s="181">
        <f>IFERROR(VLOOKUP(I83,CEI_092018!$A$1:$U$489,12,FALSE),0)</f>
        <v>529</v>
      </c>
      <c r="FD83" s="181">
        <f>EW83+FC83</f>
        <v>616.74031066894531</v>
      </c>
      <c r="FE83" s="181">
        <f>SUM(T83-FD83)</f>
        <v>83.751049331054674</v>
      </c>
      <c r="FF83"/>
      <c r="FG83"/>
      <c r="FH83"/>
      <c r="FI83"/>
      <c r="FJ83"/>
      <c r="FK83"/>
      <c r="FL83"/>
      <c r="FM83"/>
      <c r="FN83"/>
      <c r="FO83"/>
      <c r="FP83"/>
      <c r="FQ83"/>
      <c r="FR83"/>
      <c r="FS83"/>
      <c r="FT83"/>
      <c r="FU83"/>
      <c r="FV83"/>
      <c r="FW83"/>
      <c r="FX83"/>
      <c r="FY83"/>
      <c r="FZ83"/>
      <c r="GA83"/>
      <c r="GB83"/>
      <c r="GC83"/>
    </row>
    <row r="84" spans="1:185" ht="12.95" customHeight="1" x14ac:dyDescent="0.25">
      <c r="A84" s="202"/>
      <c r="B84" s="22" t="s">
        <v>63</v>
      </c>
      <c r="C84" s="34" t="s">
        <v>1493</v>
      </c>
      <c r="D84" s="22" t="s">
        <v>64</v>
      </c>
      <c r="E84" s="25" t="s">
        <v>214</v>
      </c>
      <c r="F84" s="25" t="s">
        <v>64</v>
      </c>
      <c r="G84" s="25" t="s">
        <v>214</v>
      </c>
      <c r="H84" s="22" t="s">
        <v>65</v>
      </c>
      <c r="I84" s="423" t="s">
        <v>1256</v>
      </c>
      <c r="J84" s="37" t="s">
        <v>1258</v>
      </c>
      <c r="K84" s="23" t="s">
        <v>1992</v>
      </c>
      <c r="L84" s="23" t="s">
        <v>216</v>
      </c>
      <c r="M84" s="23" t="s">
        <v>217</v>
      </c>
      <c r="N84" s="23"/>
      <c r="O84" s="2">
        <v>31.809390187263489</v>
      </c>
      <c r="P84" s="2">
        <v>46.746319770812988</v>
      </c>
      <c r="Q84" s="2">
        <v>60.330230712890625</v>
      </c>
      <c r="R84" s="2">
        <v>74.525760173797607</v>
      </c>
      <c r="S84" s="2">
        <v>868.4351591552346</v>
      </c>
      <c r="T84" s="116">
        <f t="shared" si="44"/>
        <v>1081.8468599999992</v>
      </c>
      <c r="U84" s="324"/>
      <c r="V84" s="324"/>
      <c r="W84" s="324"/>
      <c r="X84" s="324"/>
      <c r="Y84" s="324"/>
      <c r="Z84" s="324"/>
      <c r="AA84" s="324"/>
      <c r="AB84" s="324"/>
      <c r="AC84" s="324"/>
      <c r="AD84" s="324"/>
      <c r="AE84" s="324"/>
      <c r="AF84" s="324"/>
      <c r="AG84" s="140">
        <f t="shared" si="45"/>
        <v>0</v>
      </c>
      <c r="AH84" s="324"/>
      <c r="AI84" s="324"/>
      <c r="AJ84" s="324"/>
      <c r="AK84" s="324"/>
      <c r="AL84" s="324"/>
      <c r="AM84" s="324"/>
      <c r="AN84" s="324"/>
      <c r="AO84" s="324"/>
      <c r="AP84" s="324"/>
      <c r="AQ84" s="324"/>
      <c r="AR84" s="324"/>
      <c r="AS84" s="324"/>
      <c r="AT84" s="140">
        <f t="shared" si="46"/>
        <v>0</v>
      </c>
      <c r="AU84" s="324">
        <v>0</v>
      </c>
      <c r="AV84" s="324">
        <v>0</v>
      </c>
      <c r="AW84" s="324">
        <v>0</v>
      </c>
      <c r="AX84" s="324">
        <v>0</v>
      </c>
      <c r="AY84" s="324">
        <v>0</v>
      </c>
      <c r="AZ84" s="324">
        <v>0</v>
      </c>
      <c r="BA84" s="324">
        <v>0</v>
      </c>
      <c r="BB84" s="324">
        <v>0</v>
      </c>
      <c r="BC84" s="324">
        <v>0</v>
      </c>
      <c r="BD84" s="324">
        <v>0</v>
      </c>
      <c r="BE84" s="324">
        <v>0</v>
      </c>
      <c r="BF84" s="324">
        <v>0</v>
      </c>
      <c r="BG84" s="140">
        <f t="shared" si="47"/>
        <v>0</v>
      </c>
      <c r="BH84" s="324"/>
      <c r="BI84" s="324"/>
      <c r="BJ84" s="324"/>
      <c r="BK84" s="324"/>
      <c r="BL84" s="324"/>
      <c r="BM84" s="324"/>
      <c r="BN84" s="324"/>
      <c r="BO84" s="324"/>
      <c r="BP84" s="324"/>
      <c r="BQ84" s="324"/>
      <c r="BR84" s="324"/>
      <c r="BS84" s="324"/>
      <c r="BT84" s="140">
        <f t="shared" si="48"/>
        <v>0</v>
      </c>
      <c r="BU84" s="114">
        <f t="shared" si="49"/>
        <v>1081.8468599999992</v>
      </c>
      <c r="BV84" s="372">
        <v>1</v>
      </c>
      <c r="BW84" s="372">
        <v>1</v>
      </c>
      <c r="BX84" s="372">
        <v>1</v>
      </c>
      <c r="BY84" s="372">
        <v>1</v>
      </c>
      <c r="BZ84" s="436">
        <f t="shared" si="51"/>
        <v>2.9402858540684318</v>
      </c>
      <c r="CA84" s="428">
        <f>IFERROR((FD84/T84%),0)</f>
        <v>91.494624117797699</v>
      </c>
      <c r="CB84" s="7" t="s">
        <v>72</v>
      </c>
      <c r="CC84" s="83">
        <v>0</v>
      </c>
      <c r="CD84" s="83">
        <v>0</v>
      </c>
      <c r="CE84" s="83">
        <v>0</v>
      </c>
      <c r="CF84" s="83">
        <v>0</v>
      </c>
      <c r="CG84" s="339">
        <v>1.0367568523202909E-2</v>
      </c>
      <c r="CH84" s="339">
        <v>0</v>
      </c>
      <c r="CI84" s="339">
        <v>0</v>
      </c>
      <c r="CJ84" s="339">
        <v>8.4788578474181801E-3</v>
      </c>
      <c r="CK84" s="339">
        <v>2.9812451689497803E-2</v>
      </c>
      <c r="CL84" s="339">
        <v>5.4263473840225188E-2</v>
      </c>
      <c r="CM84" s="339">
        <v>0</v>
      </c>
      <c r="CN84" s="339">
        <v>0.49398072753848682</v>
      </c>
      <c r="CO84" s="4">
        <f>SUM(CC84:CN84)</f>
        <v>0.59690307943883092</v>
      </c>
      <c r="CP84" s="3">
        <v>5.1949763106248589E-2</v>
      </c>
      <c r="CQ84" s="3">
        <v>5.1949763106248589E-2</v>
      </c>
      <c r="CR84" s="3">
        <v>5.1949763106248589E-2</v>
      </c>
      <c r="CS84" s="3">
        <v>5.1949763106248589E-2</v>
      </c>
      <c r="CT84" s="3">
        <v>5.1949763106248589E-2</v>
      </c>
      <c r="CU84" s="3">
        <v>5.1949763106248589E-2</v>
      </c>
      <c r="CV84" s="3">
        <v>5.1949763106248589E-2</v>
      </c>
      <c r="CW84" s="3">
        <v>5.1949763106248589E-2</v>
      </c>
      <c r="CX84" s="3">
        <v>5.1949763106248589E-2</v>
      </c>
      <c r="CY84" s="3">
        <v>5.1949763106248589E-2</v>
      </c>
      <c r="CZ84" s="3">
        <v>5.1949763106248589E-2</v>
      </c>
      <c r="DA84" s="3">
        <v>5.1949763106248589E-2</v>
      </c>
      <c r="DB84" s="4">
        <f>SUM(CP84:DA84)</f>
        <v>0.62339715727498302</v>
      </c>
      <c r="DC84" s="3">
        <v>9.9999999999999992E-2</v>
      </c>
      <c r="DD84" s="3">
        <v>9.9999999999999992E-2</v>
      </c>
      <c r="DE84" s="3">
        <v>9.9999999999999992E-2</v>
      </c>
      <c r="DF84" s="3">
        <v>9.9999999999999992E-2</v>
      </c>
      <c r="DG84" s="3">
        <v>9.9999999999999992E-2</v>
      </c>
      <c r="DH84" s="3">
        <v>9.9999999999999992E-2</v>
      </c>
      <c r="DI84" s="3">
        <v>9.9999999999999992E-2</v>
      </c>
      <c r="DJ84" s="3">
        <v>9.9999999999999992E-2</v>
      </c>
      <c r="DK84" s="3">
        <v>9.9999999999999992E-2</v>
      </c>
      <c r="DL84" s="3">
        <v>9.9999999999999992E-2</v>
      </c>
      <c r="DM84" s="3">
        <v>0</v>
      </c>
      <c r="DN84" s="3">
        <v>0</v>
      </c>
      <c r="DO84" s="4">
        <f>SUM(DC84:DN84)</f>
        <v>0.99999999999999989</v>
      </c>
      <c r="DP84" s="3">
        <v>0</v>
      </c>
      <c r="DQ84" s="3">
        <v>0</v>
      </c>
      <c r="DR84" s="3">
        <v>0</v>
      </c>
      <c r="DS84" s="3">
        <v>0</v>
      </c>
      <c r="DT84" s="3">
        <v>0</v>
      </c>
      <c r="DU84" s="3">
        <v>0</v>
      </c>
      <c r="DV84" s="3">
        <v>0</v>
      </c>
      <c r="DW84" s="3">
        <v>0</v>
      </c>
      <c r="DX84" s="3">
        <v>0</v>
      </c>
      <c r="DY84" s="3">
        <v>0</v>
      </c>
      <c r="DZ84" s="3">
        <v>0</v>
      </c>
      <c r="EA84" s="3">
        <v>0</v>
      </c>
      <c r="EB84" s="4">
        <f>SUM(DP84:EA84)</f>
        <v>0</v>
      </c>
      <c r="EC84" s="3">
        <v>0</v>
      </c>
      <c r="ED84" s="3">
        <v>0</v>
      </c>
      <c r="EE84" s="3">
        <v>0</v>
      </c>
      <c r="EF84" s="3">
        <v>0</v>
      </c>
      <c r="EG84" s="3">
        <v>0</v>
      </c>
      <c r="EH84" s="3">
        <v>0</v>
      </c>
      <c r="EI84" s="3">
        <v>0</v>
      </c>
      <c r="EJ84" s="3">
        <v>0</v>
      </c>
      <c r="EK84" s="3">
        <v>0</v>
      </c>
      <c r="EL84" s="3">
        <v>0</v>
      </c>
      <c r="EM84" s="3">
        <v>0</v>
      </c>
      <c r="EN84" s="3">
        <v>0</v>
      </c>
      <c r="EO84" s="4">
        <f>SUM(EC84:EN84)</f>
        <v>0</v>
      </c>
      <c r="EP84" s="8">
        <f>SUM(EO84,EB84,DO84,DB84,CO84)</f>
        <v>2.2203002367138138</v>
      </c>
      <c r="EQ84" s="181">
        <f>IFERROR(VLOOKUP(I84,CEI_012018!$A$1:$U$509,9,FALSE),0)</f>
        <v>0</v>
      </c>
      <c r="ER84" s="181">
        <f>IFERROR(VLOOKUP(I84,CEI_022018!$A$1:$U$509,9,FALSE),0)</f>
        <v>0</v>
      </c>
      <c r="ES84" s="181">
        <f>IFERROR(VLOOKUP(I84,CEI_032018!$A$1:$U$509,9,FALSE),0)</f>
        <v>0</v>
      </c>
      <c r="ET84" s="181">
        <f>IFERROR(VLOOKUP(I84,CEI_042018!$A$1:$U$491,9,FALSE),0)</f>
        <v>14.520000457763672</v>
      </c>
      <c r="EU84" s="181">
        <f>IFERROR(VLOOKUP(I84,CEI_052018!$A$1:$U$489,9,FALSE),0)</f>
        <v>18.819390416145325</v>
      </c>
      <c r="EV84" s="181">
        <f>IFERROR(VLOOKUP(I84,CEI_062018!$A$1:$U$489,9,FALSE),0)</f>
        <v>18.819390416145325</v>
      </c>
      <c r="EW84" s="181">
        <f>IFERROR(VLOOKUP(I84,CEI_072018!$A$1:$U$489,9,FALSE),0)</f>
        <v>18.819390416145325</v>
      </c>
      <c r="EX84" s="181">
        <f>IFERROR(VLOOKUP(I84,CEI_082018!$A$1:$U$489,9,FALSE),0)</f>
        <v>31.809390187263489</v>
      </c>
      <c r="EY84" s="181">
        <f>IFERROR(VLOOKUP(I84,CEI_092018!$A$1:$U$489,9,FALSE),0)</f>
        <v>31.809390187263489</v>
      </c>
      <c r="EZ84" s="181"/>
      <c r="FA84" s="181"/>
      <c r="FB84" s="181"/>
      <c r="FC84" s="181">
        <f>IFERROR(VLOOKUP(I84,CEI_092018!$A$1:$U$489,12,FALSE),0)</f>
        <v>971.01232767105103</v>
      </c>
      <c r="FD84" s="181">
        <f>EW84+FC84</f>
        <v>989.83171808719635</v>
      </c>
      <c r="FE84" s="181">
        <f>SUM(T84-FD84)</f>
        <v>92.015141912802846</v>
      </c>
      <c r="FF84"/>
      <c r="FG84"/>
      <c r="FH84"/>
      <c r="FI84"/>
      <c r="FJ84"/>
      <c r="FK84"/>
      <c r="FL84"/>
      <c r="FM84"/>
      <c r="FN84"/>
      <c r="FO84"/>
      <c r="FP84"/>
      <c r="FQ84"/>
      <c r="FR84"/>
      <c r="FS84"/>
      <c r="FT84"/>
      <c r="FU84"/>
      <c r="FV84"/>
      <c r="FW84"/>
      <c r="FX84"/>
      <c r="FY84"/>
      <c r="FZ84"/>
      <c r="GA84"/>
      <c r="GB84"/>
      <c r="GC84"/>
    </row>
    <row r="85" spans="1:185" ht="12.95" customHeight="1" x14ac:dyDescent="0.25">
      <c r="A85" s="202"/>
      <c r="B85" s="22" t="s">
        <v>63</v>
      </c>
      <c r="C85" s="34" t="s">
        <v>1493</v>
      </c>
      <c r="D85" s="22" t="s">
        <v>64</v>
      </c>
      <c r="E85" s="25" t="s">
        <v>214</v>
      </c>
      <c r="F85" s="25" t="s">
        <v>64</v>
      </c>
      <c r="G85" s="25" t="s">
        <v>214</v>
      </c>
      <c r="H85" s="22" t="s">
        <v>65</v>
      </c>
      <c r="I85" s="423" t="s">
        <v>1972</v>
      </c>
      <c r="J85" s="386" t="s">
        <v>1974</v>
      </c>
      <c r="K85" s="23" t="s">
        <v>1990</v>
      </c>
      <c r="L85" s="23"/>
      <c r="M85" s="23"/>
      <c r="N85" s="23"/>
      <c r="O85" s="2"/>
      <c r="P85" s="2"/>
      <c r="Q85" s="2"/>
      <c r="R85" s="2"/>
      <c r="S85" s="2"/>
      <c r="T85" s="116">
        <f t="shared" si="44"/>
        <v>0</v>
      </c>
      <c r="U85" s="324">
        <v>81.5</v>
      </c>
      <c r="V85" s="324">
        <v>81.5</v>
      </c>
      <c r="W85" s="324">
        <v>81.5</v>
      </c>
      <c r="X85" s="324">
        <v>81.5</v>
      </c>
      <c r="Y85" s="324"/>
      <c r="Z85" s="324"/>
      <c r="AA85" s="324"/>
      <c r="AB85" s="324"/>
      <c r="AC85" s="324"/>
      <c r="AD85" s="324"/>
      <c r="AE85" s="324"/>
      <c r="AF85" s="324"/>
      <c r="AG85" s="140">
        <f t="shared" si="45"/>
        <v>326</v>
      </c>
      <c r="AH85" s="324"/>
      <c r="AI85" s="324"/>
      <c r="AJ85" s="324"/>
      <c r="AK85" s="324"/>
      <c r="AL85" s="324"/>
      <c r="AM85" s="324"/>
      <c r="AN85" s="324"/>
      <c r="AO85" s="324"/>
      <c r="AP85" s="324"/>
      <c r="AQ85" s="324"/>
      <c r="AR85" s="324"/>
      <c r="AS85" s="324"/>
      <c r="AT85" s="140">
        <f t="shared" si="46"/>
        <v>0</v>
      </c>
      <c r="AU85" s="324"/>
      <c r="AV85" s="324"/>
      <c r="AW85" s="324"/>
      <c r="AX85" s="324"/>
      <c r="AY85" s="324"/>
      <c r="AZ85" s="324"/>
      <c r="BA85" s="324"/>
      <c r="BB85" s="324"/>
      <c r="BC85" s="324"/>
      <c r="BD85" s="324"/>
      <c r="BE85" s="324"/>
      <c r="BF85" s="324"/>
      <c r="BG85" s="140">
        <f t="shared" si="47"/>
        <v>0</v>
      </c>
      <c r="BH85" s="324"/>
      <c r="BI85" s="324"/>
      <c r="BJ85" s="324"/>
      <c r="BK85" s="324"/>
      <c r="BL85" s="324"/>
      <c r="BM85" s="324"/>
      <c r="BN85" s="324"/>
      <c r="BO85" s="324"/>
      <c r="BP85" s="324"/>
      <c r="BQ85" s="324"/>
      <c r="BR85" s="324"/>
      <c r="BS85" s="324"/>
      <c r="BT85" s="140">
        <f t="shared" si="48"/>
        <v>0</v>
      </c>
      <c r="BU85" s="114">
        <f t="shared" si="49"/>
        <v>326</v>
      </c>
      <c r="BV85" s="372">
        <v>1</v>
      </c>
      <c r="BW85" s="372">
        <v>1</v>
      </c>
      <c r="BX85" s="372">
        <v>1</v>
      </c>
      <c r="BY85" s="372">
        <v>1</v>
      </c>
      <c r="BZ85" s="436">
        <f t="shared" si="51"/>
        <v>0</v>
      </c>
      <c r="CA85" s="428">
        <f>IFERROR((FD85/T85%),0)</f>
        <v>0</v>
      </c>
      <c r="CB85" s="7" t="s">
        <v>72</v>
      </c>
      <c r="CC85" s="3"/>
      <c r="CD85" s="3"/>
      <c r="CE85" s="3"/>
      <c r="CF85" s="3"/>
      <c r="CG85" s="3"/>
      <c r="CH85" s="3"/>
      <c r="CI85" s="3"/>
      <c r="CJ85" s="3"/>
      <c r="CK85" s="3"/>
      <c r="CL85" s="3"/>
      <c r="CM85" s="3"/>
      <c r="CN85" s="3"/>
      <c r="CO85" s="4"/>
      <c r="CP85" s="3"/>
      <c r="CQ85" s="3"/>
      <c r="CR85" s="3"/>
      <c r="CS85" s="3"/>
      <c r="CT85" s="3"/>
      <c r="CU85" s="3"/>
      <c r="CV85" s="3"/>
      <c r="CW85" s="3"/>
      <c r="CX85" s="3"/>
      <c r="CY85" s="3"/>
      <c r="CZ85" s="3"/>
      <c r="DA85" s="3"/>
      <c r="DB85" s="4"/>
      <c r="DC85" s="3"/>
      <c r="DD85" s="3"/>
      <c r="DE85" s="3"/>
      <c r="DF85" s="3"/>
      <c r="DG85" s="3"/>
      <c r="DH85" s="3"/>
      <c r="DI85" s="3"/>
      <c r="DJ85" s="3"/>
      <c r="DK85" s="3"/>
      <c r="DL85" s="3"/>
      <c r="DM85" s="3"/>
      <c r="DN85" s="3"/>
      <c r="DO85" s="4"/>
      <c r="DP85" s="3"/>
      <c r="DQ85" s="3"/>
      <c r="DR85" s="3"/>
      <c r="DS85" s="3"/>
      <c r="DT85" s="3"/>
      <c r="DU85" s="3"/>
      <c r="DV85" s="3"/>
      <c r="DW85" s="3"/>
      <c r="DX85" s="3"/>
      <c r="DY85" s="3"/>
      <c r="DZ85" s="3"/>
      <c r="EA85" s="3"/>
      <c r="EB85" s="4"/>
      <c r="EC85" s="3"/>
      <c r="ED85" s="3"/>
      <c r="EE85" s="3"/>
      <c r="EF85" s="3"/>
      <c r="EG85" s="3"/>
      <c r="EH85" s="3"/>
      <c r="EI85" s="3"/>
      <c r="EJ85" s="3"/>
      <c r="EK85" s="3"/>
      <c r="EL85" s="3"/>
      <c r="EM85" s="3"/>
      <c r="EN85" s="3"/>
      <c r="EO85" s="4"/>
      <c r="EP85" s="8"/>
      <c r="EQ85" s="181"/>
      <c r="ER85" s="181"/>
      <c r="ES85" s="181"/>
      <c r="ET85" s="181"/>
      <c r="EU85" s="181"/>
      <c r="EV85" s="181"/>
      <c r="EW85" s="181">
        <f>IFERROR(VLOOKUP(I85,CEI_072018!$A$1:$U$489,9,FALSE),0)</f>
        <v>0</v>
      </c>
      <c r="EX85" s="181">
        <f>IFERROR(VLOOKUP(I85,CEI_082018!$A$1:$U$489,9,FALSE),0)</f>
        <v>0</v>
      </c>
      <c r="EY85" s="181">
        <f>IFERROR(VLOOKUP(I85,CEI_092018!$A$1:$U$489,9,FALSE),0)</f>
        <v>0</v>
      </c>
      <c r="EZ85" s="181"/>
      <c r="FA85" s="181"/>
      <c r="FB85" s="181"/>
      <c r="FC85" s="181">
        <f>IFERROR(VLOOKUP(I85,CEI_092018!$A$1:$U$489,12,FALSE),0)</f>
        <v>0</v>
      </c>
      <c r="FD85" s="181"/>
      <c r="FE85" s="181"/>
      <c r="FF85"/>
      <c r="FG85"/>
      <c r="FH85"/>
      <c r="FI85"/>
      <c r="FJ85"/>
      <c r="FK85"/>
      <c r="FL85"/>
      <c r="FM85"/>
      <c r="FN85"/>
      <c r="FO85"/>
      <c r="FP85"/>
      <c r="FQ85"/>
      <c r="FR85"/>
      <c r="FS85"/>
      <c r="FT85"/>
      <c r="FU85"/>
      <c r="FV85"/>
      <c r="FW85"/>
      <c r="FX85"/>
      <c r="FY85"/>
      <c r="FZ85"/>
      <c r="GA85"/>
      <c r="GB85"/>
      <c r="GC85"/>
    </row>
    <row r="86" spans="1:185" ht="12.95" customHeight="1" x14ac:dyDescent="0.25">
      <c r="A86" s="202"/>
      <c r="B86" s="22" t="s">
        <v>63</v>
      </c>
      <c r="C86" s="34" t="s">
        <v>1493</v>
      </c>
      <c r="D86" s="22" t="s">
        <v>71</v>
      </c>
      <c r="E86" s="25" t="s">
        <v>210</v>
      </c>
      <c r="F86" s="25" t="s">
        <v>71</v>
      </c>
      <c r="G86" s="25" t="s">
        <v>210</v>
      </c>
      <c r="H86" s="22" t="s">
        <v>65</v>
      </c>
      <c r="I86" s="423" t="s">
        <v>1253</v>
      </c>
      <c r="J86" s="37" t="s">
        <v>1255</v>
      </c>
      <c r="K86" s="23" t="s">
        <v>1254</v>
      </c>
      <c r="L86" s="23"/>
      <c r="M86" s="23"/>
      <c r="N86" s="23"/>
      <c r="O86" s="2">
        <v>4.3380299806594849</v>
      </c>
      <c r="P86" s="2"/>
      <c r="Q86" s="2"/>
      <c r="R86" s="2"/>
      <c r="S86" s="2"/>
      <c r="T86" s="116">
        <f t="shared" si="44"/>
        <v>4.3380299806594849</v>
      </c>
      <c r="U86" s="324"/>
      <c r="V86" s="324"/>
      <c r="W86" s="324"/>
      <c r="X86" s="324"/>
      <c r="Y86" s="324"/>
      <c r="Z86" s="324"/>
      <c r="AA86" s="324"/>
      <c r="AB86" s="324"/>
      <c r="AC86" s="324"/>
      <c r="AD86" s="324"/>
      <c r="AE86" s="324"/>
      <c r="AF86" s="324"/>
      <c r="AG86" s="140">
        <f t="shared" si="45"/>
        <v>0</v>
      </c>
      <c r="AH86" s="324"/>
      <c r="AI86" s="324"/>
      <c r="AJ86" s="324"/>
      <c r="AK86" s="324"/>
      <c r="AL86" s="324"/>
      <c r="AM86" s="324"/>
      <c r="AN86" s="324"/>
      <c r="AO86" s="324"/>
      <c r="AP86" s="324"/>
      <c r="AQ86" s="324"/>
      <c r="AR86" s="324"/>
      <c r="AS86" s="324"/>
      <c r="AT86" s="140">
        <f t="shared" si="46"/>
        <v>0</v>
      </c>
      <c r="AU86" s="324"/>
      <c r="AV86" s="324"/>
      <c r="AW86" s="324"/>
      <c r="AX86" s="324"/>
      <c r="AY86" s="324"/>
      <c r="AZ86" s="324"/>
      <c r="BA86" s="324"/>
      <c r="BB86" s="324"/>
      <c r="BC86" s="324"/>
      <c r="BD86" s="324"/>
      <c r="BE86" s="324"/>
      <c r="BF86" s="324"/>
      <c r="BG86" s="140">
        <f t="shared" si="47"/>
        <v>0</v>
      </c>
      <c r="BH86" s="324"/>
      <c r="BI86" s="324"/>
      <c r="BJ86" s="324"/>
      <c r="BK86" s="324"/>
      <c r="BL86" s="324"/>
      <c r="BM86" s="324"/>
      <c r="BN86" s="324"/>
      <c r="BO86" s="324"/>
      <c r="BP86" s="324"/>
      <c r="BQ86" s="324"/>
      <c r="BR86" s="324"/>
      <c r="BS86" s="324"/>
      <c r="BT86" s="140">
        <f t="shared" si="48"/>
        <v>0</v>
      </c>
      <c r="BU86" s="114">
        <f t="shared" si="49"/>
        <v>4.3380299806594849</v>
      </c>
      <c r="BV86" s="372">
        <v>1</v>
      </c>
      <c r="BW86" s="372">
        <v>1</v>
      </c>
      <c r="BX86" s="372">
        <v>1</v>
      </c>
      <c r="BY86" s="372">
        <v>1</v>
      </c>
      <c r="BZ86" s="436">
        <f t="shared" si="51"/>
        <v>100</v>
      </c>
      <c r="CA86" s="428">
        <f>IFERROR((FD86/T86%),0)</f>
        <v>233.60511104785203</v>
      </c>
      <c r="CB86" s="7" t="s">
        <v>72</v>
      </c>
      <c r="CC86" s="83">
        <v>0</v>
      </c>
      <c r="CD86" s="83">
        <v>0</v>
      </c>
      <c r="CE86" s="83">
        <v>0</v>
      </c>
      <c r="CF86" s="83">
        <v>0</v>
      </c>
      <c r="CG86" s="339">
        <v>2.3898129581079041E-3</v>
      </c>
      <c r="CH86" s="339">
        <v>0</v>
      </c>
      <c r="CI86" s="339">
        <v>0</v>
      </c>
      <c r="CJ86" s="339">
        <v>0</v>
      </c>
      <c r="CK86" s="339">
        <v>0</v>
      </c>
      <c r="CL86" s="339">
        <v>0</v>
      </c>
      <c r="CM86" s="339">
        <v>0</v>
      </c>
      <c r="CN86" s="339">
        <v>0</v>
      </c>
      <c r="CO86" s="4">
        <f t="shared" ref="CO86:CO102" si="52">SUM(CC86:CN86)</f>
        <v>2.3898129581079041E-3</v>
      </c>
      <c r="CP86" s="3"/>
      <c r="CQ86" s="3"/>
      <c r="CR86" s="3"/>
      <c r="CS86" s="3"/>
      <c r="CT86" s="3"/>
      <c r="CU86" s="3"/>
      <c r="CV86" s="3"/>
      <c r="CW86" s="3"/>
      <c r="CX86" s="3"/>
      <c r="CY86" s="3"/>
      <c r="CZ86" s="3"/>
      <c r="DA86" s="3"/>
      <c r="DB86" s="4">
        <f t="shared" ref="DB86:DB102" si="53">SUM(CP86:DA86)</f>
        <v>0</v>
      </c>
      <c r="DC86" s="3"/>
      <c r="DD86" s="3"/>
      <c r="DE86" s="3"/>
      <c r="DF86" s="3"/>
      <c r="DG86" s="3"/>
      <c r="DH86" s="3"/>
      <c r="DI86" s="3"/>
      <c r="DJ86" s="3"/>
      <c r="DK86" s="3"/>
      <c r="DL86" s="3"/>
      <c r="DM86" s="3"/>
      <c r="DN86" s="3"/>
      <c r="DO86" s="4">
        <f t="shared" ref="DO86:DO102" si="54">SUM(DC86:DN86)</f>
        <v>0</v>
      </c>
      <c r="DP86" s="3"/>
      <c r="DQ86" s="3"/>
      <c r="DR86" s="3"/>
      <c r="DS86" s="3"/>
      <c r="DT86" s="3"/>
      <c r="DU86" s="3"/>
      <c r="DV86" s="3"/>
      <c r="DW86" s="3"/>
      <c r="DX86" s="3"/>
      <c r="DY86" s="3"/>
      <c r="DZ86" s="3"/>
      <c r="EA86" s="3"/>
      <c r="EB86" s="4">
        <f t="shared" ref="EB86:EB102" si="55">SUM(DP86:EA86)</f>
        <v>0</v>
      </c>
      <c r="EC86" s="3"/>
      <c r="ED86" s="3"/>
      <c r="EE86" s="3"/>
      <c r="EF86" s="3"/>
      <c r="EG86" s="3"/>
      <c r="EH86" s="3"/>
      <c r="EI86" s="3"/>
      <c r="EJ86" s="3"/>
      <c r="EK86" s="3"/>
      <c r="EL86" s="3"/>
      <c r="EM86" s="3"/>
      <c r="EN86" s="3"/>
      <c r="EO86" s="4">
        <f t="shared" ref="EO86:EO102" si="56">SUM(EC86:EN86)</f>
        <v>0</v>
      </c>
      <c r="EP86" s="8">
        <f t="shared" ref="EP86:EP102" si="57">SUM(EO86,EB86,DO86,DB86,CO86)</f>
        <v>2.3898129581079041E-3</v>
      </c>
      <c r="EQ86" s="181">
        <f>IFERROR(VLOOKUP(I86,CEI_012018!$A$1:$U$509,9,FALSE),0)</f>
        <v>0</v>
      </c>
      <c r="ER86" s="181">
        <f>IFERROR(VLOOKUP(I86,CEI_022018!$A$1:$U$509,9,FALSE),0)</f>
        <v>0</v>
      </c>
      <c r="ES86" s="181">
        <f>IFERROR(VLOOKUP(I86,CEI_032018!$A$1:$U$509,9,FALSE),0)</f>
        <v>3.91975998878479</v>
      </c>
      <c r="ET86" s="181">
        <f>IFERROR(VLOOKUP(I86,CEI_042018!$A$1:$U$491,9,FALSE),0)</f>
        <v>4.3380299806594849</v>
      </c>
      <c r="EU86" s="181">
        <f>IFERROR(VLOOKUP(I86,CEI_052018!$A$1:$U$489,9,FALSE),0)</f>
        <v>4.3380299806594849</v>
      </c>
      <c r="EV86" s="181">
        <f>IFERROR(VLOOKUP(I86,CEI_062018!$A$1:$U$489,9,FALSE),0)</f>
        <v>4.3380299806594849</v>
      </c>
      <c r="EW86" s="181">
        <f>IFERROR(VLOOKUP(I86,CEI_072018!$A$1:$U$489,9,FALSE),0)</f>
        <v>4.3380299806594849</v>
      </c>
      <c r="EX86" s="181">
        <f>IFERROR(VLOOKUP(I86,CEI_082018!$A$1:$U$489,9,FALSE),0)</f>
        <v>4.3380299806594849</v>
      </c>
      <c r="EY86" s="181">
        <f>IFERROR(VLOOKUP(I86,CEI_092018!$A$1:$U$489,9,FALSE),0)</f>
        <v>4.3380299806594849</v>
      </c>
      <c r="EZ86" s="181"/>
      <c r="FA86" s="181"/>
      <c r="FB86" s="181"/>
      <c r="FC86" s="181">
        <f>IFERROR(VLOOKUP(I86,CEI_092018!$A$1:$U$489,12,FALSE),0)</f>
        <v>5.7958297729492188</v>
      </c>
      <c r="FD86" s="181">
        <f t="shared" ref="FD86:FD102" si="58">EW86+FC86</f>
        <v>10.133859753608704</v>
      </c>
      <c r="FE86" s="181">
        <f t="shared" ref="FE86:FE102" si="59">SUM(T86-FD86)</f>
        <v>-5.7958297729492188</v>
      </c>
      <c r="FF86"/>
      <c r="FG86"/>
      <c r="FH86"/>
      <c r="FI86"/>
      <c r="FJ86"/>
      <c r="FK86"/>
      <c r="FL86"/>
      <c r="FM86"/>
      <c r="FN86"/>
      <c r="FO86"/>
      <c r="FP86"/>
      <c r="FQ86"/>
      <c r="FR86"/>
      <c r="FS86"/>
      <c r="FT86"/>
      <c r="FU86"/>
      <c r="FV86"/>
      <c r="FW86"/>
      <c r="FX86"/>
      <c r="FY86"/>
      <c r="FZ86"/>
      <c r="GA86"/>
      <c r="GB86"/>
      <c r="GC86"/>
    </row>
    <row r="87" spans="1:185" ht="12.95" customHeight="1" x14ac:dyDescent="0.25">
      <c r="A87" s="202"/>
      <c r="B87" s="22" t="s">
        <v>57</v>
      </c>
      <c r="C87" s="34" t="s">
        <v>40</v>
      </c>
      <c r="D87" s="22" t="s">
        <v>101</v>
      </c>
      <c r="E87" s="25" t="s">
        <v>1162</v>
      </c>
      <c r="F87" s="25" t="s">
        <v>101</v>
      </c>
      <c r="G87" s="25" t="s">
        <v>1162</v>
      </c>
      <c r="H87" s="22" t="s">
        <v>62</v>
      </c>
      <c r="I87" s="423" t="s">
        <v>565</v>
      </c>
      <c r="J87" s="37"/>
      <c r="K87" s="23" t="s">
        <v>2007</v>
      </c>
      <c r="L87" s="23"/>
      <c r="M87" s="23"/>
      <c r="N87" s="23"/>
      <c r="O87" s="2"/>
      <c r="P87" s="2"/>
      <c r="Q87" s="2"/>
      <c r="R87" s="2"/>
      <c r="S87" s="2"/>
      <c r="T87" s="116">
        <f t="shared" si="44"/>
        <v>0</v>
      </c>
      <c r="U87" s="324"/>
      <c r="V87" s="324"/>
      <c r="W87" s="324"/>
      <c r="X87" s="324"/>
      <c r="Y87" s="324"/>
      <c r="Z87" s="324"/>
      <c r="AA87" s="324">
        <v>1104</v>
      </c>
      <c r="AB87" s="324">
        <v>406</v>
      </c>
      <c r="AC87" s="324">
        <v>319</v>
      </c>
      <c r="AD87" s="324"/>
      <c r="AE87" s="324"/>
      <c r="AF87" s="324">
        <v>240</v>
      </c>
      <c r="AG87" s="140">
        <f t="shared" si="45"/>
        <v>2069</v>
      </c>
      <c r="AH87" s="324"/>
      <c r="AI87" s="324"/>
      <c r="AJ87" s="324"/>
      <c r="AK87" s="324"/>
      <c r="AL87" s="324"/>
      <c r="AM87" s="324"/>
      <c r="AN87" s="324">
        <v>700</v>
      </c>
      <c r="AO87" s="324">
        <v>350</v>
      </c>
      <c r="AP87" s="324">
        <v>1190</v>
      </c>
      <c r="AQ87" s="324"/>
      <c r="AR87" s="324"/>
      <c r="AS87" s="324"/>
      <c r="AT87" s="140">
        <f t="shared" si="46"/>
        <v>2240</v>
      </c>
      <c r="AU87" s="324"/>
      <c r="AV87" s="324"/>
      <c r="AW87" s="324"/>
      <c r="AX87" s="324"/>
      <c r="AY87" s="324"/>
      <c r="AZ87" s="324"/>
      <c r="BA87" s="324">
        <v>300</v>
      </c>
      <c r="BB87" s="324">
        <v>720</v>
      </c>
      <c r="BC87" s="324">
        <v>1300</v>
      </c>
      <c r="BD87" s="324">
        <v>900</v>
      </c>
      <c r="BE87" s="324"/>
      <c r="BF87" s="324"/>
      <c r="BG87" s="140">
        <f t="shared" si="47"/>
        <v>3220</v>
      </c>
      <c r="BH87" s="324"/>
      <c r="BI87" s="324"/>
      <c r="BJ87" s="324"/>
      <c r="BK87" s="324"/>
      <c r="BL87" s="324"/>
      <c r="BM87" s="324"/>
      <c r="BN87" s="324">
        <v>513</v>
      </c>
      <c r="BO87" s="324">
        <v>1000</v>
      </c>
      <c r="BP87" s="324">
        <v>958</v>
      </c>
      <c r="BQ87" s="324">
        <v>0</v>
      </c>
      <c r="BR87" s="324"/>
      <c r="BS87" s="324"/>
      <c r="BT87" s="140">
        <f t="shared" si="48"/>
        <v>2471</v>
      </c>
      <c r="BU87" s="114">
        <f t="shared" si="49"/>
        <v>10000</v>
      </c>
      <c r="BV87" s="432"/>
      <c r="BW87" s="432"/>
      <c r="BX87" s="432"/>
      <c r="BY87" s="432"/>
      <c r="BZ87" s="433"/>
      <c r="CA87" s="434"/>
      <c r="CB87" s="7" t="s">
        <v>109</v>
      </c>
      <c r="CC87" s="83"/>
      <c r="CD87" s="83"/>
      <c r="CE87" s="83"/>
      <c r="CF87" s="83"/>
      <c r="CG87" s="339"/>
      <c r="CH87" s="339"/>
      <c r="CI87" s="339"/>
      <c r="CJ87" s="339"/>
      <c r="CK87" s="339"/>
      <c r="CL87" s="339"/>
      <c r="CM87" s="339"/>
      <c r="CN87" s="339"/>
      <c r="CO87" s="4">
        <f t="shared" si="52"/>
        <v>0</v>
      </c>
      <c r="CP87" s="3"/>
      <c r="CQ87" s="3">
        <v>14</v>
      </c>
      <c r="CR87" s="3"/>
      <c r="CS87" s="3"/>
      <c r="CT87" s="3"/>
      <c r="CU87" s="3"/>
      <c r="CV87" s="3">
        <v>81</v>
      </c>
      <c r="CW87" s="3">
        <v>101</v>
      </c>
      <c r="CX87" s="3">
        <v>114</v>
      </c>
      <c r="CY87" s="3"/>
      <c r="CZ87" s="3"/>
      <c r="DA87" s="3"/>
      <c r="DB87" s="4">
        <f t="shared" si="53"/>
        <v>310</v>
      </c>
      <c r="DC87" s="3"/>
      <c r="DD87" s="3"/>
      <c r="DE87" s="3"/>
      <c r="DF87" s="3"/>
      <c r="DG87" s="3"/>
      <c r="DH87" s="3"/>
      <c r="DI87" s="3">
        <v>101</v>
      </c>
      <c r="DJ87" s="3">
        <v>100</v>
      </c>
      <c r="DK87" s="3">
        <v>89</v>
      </c>
      <c r="DL87" s="3"/>
      <c r="DM87" s="3"/>
      <c r="DN87" s="3"/>
      <c r="DO87" s="4">
        <f t="shared" si="54"/>
        <v>290</v>
      </c>
      <c r="DP87" s="3"/>
      <c r="DQ87" s="3"/>
      <c r="DR87" s="3"/>
      <c r="DS87" s="3"/>
      <c r="DT87" s="3"/>
      <c r="DU87" s="3"/>
      <c r="DV87" s="3">
        <v>1</v>
      </c>
      <c r="DW87" s="3">
        <v>15</v>
      </c>
      <c r="DX87" s="3">
        <v>97</v>
      </c>
      <c r="DY87" s="3"/>
      <c r="DZ87" s="3"/>
      <c r="EA87" s="3"/>
      <c r="EB87" s="4">
        <f t="shared" si="55"/>
        <v>113</v>
      </c>
      <c r="EC87" s="3"/>
      <c r="ED87" s="3"/>
      <c r="EE87" s="3"/>
      <c r="EF87" s="3"/>
      <c r="EG87" s="3"/>
      <c r="EH87" s="3"/>
      <c r="EI87" s="3">
        <v>1</v>
      </c>
      <c r="EJ87" s="3">
        <v>75</v>
      </c>
      <c r="EK87" s="3"/>
      <c r="EL87" s="3"/>
      <c r="EM87" s="3"/>
      <c r="EN87" s="3"/>
      <c r="EO87" s="4">
        <f t="shared" si="56"/>
        <v>76</v>
      </c>
      <c r="EP87" s="8">
        <f t="shared" si="57"/>
        <v>789</v>
      </c>
      <c r="EQ87" s="181">
        <f>IFERROR(VLOOKUP(I87,CEI_012018!$A$1:$U$509,9,FALSE),0)</f>
        <v>0</v>
      </c>
      <c r="ER87" s="181">
        <f>IFERROR(VLOOKUP(I87,CEI_022018!$A$1:$U$509,9,FALSE),0)</f>
        <v>0</v>
      </c>
      <c r="ES87" s="181">
        <f>IFERROR(VLOOKUP(I87,CEI_032018!$A$1:$U$509,9,FALSE),0)</f>
        <v>0</v>
      </c>
      <c r="ET87" s="181">
        <f>IFERROR(VLOOKUP(I87,CEI_042018!$A$1:$U$491,9,FALSE),0)</f>
        <v>0</v>
      </c>
      <c r="EU87" s="181">
        <f>IFERROR(VLOOKUP(I87,CEI_052018!$A$1:$U$489,9,FALSE),0)</f>
        <v>0</v>
      </c>
      <c r="EV87" s="181">
        <f>IFERROR(VLOOKUP(I87,CEI_062018!$A$1:$U$489,9,FALSE),0)</f>
        <v>0</v>
      </c>
      <c r="EW87" s="181">
        <f>IFERROR(VLOOKUP(I87,CEI_072018!$A$1:$U$489,9,FALSE),0)</f>
        <v>0</v>
      </c>
      <c r="EX87" s="181">
        <f>IFERROR(VLOOKUP(I87,CEI_082018!$A$1:$U$489,9,FALSE),0)</f>
        <v>0</v>
      </c>
      <c r="EY87" s="181">
        <f>IFERROR(VLOOKUP(I87,CEI_092018!$A$1:$U$489,9,FALSE),0)</f>
        <v>0</v>
      </c>
      <c r="EZ87" s="181"/>
      <c r="FA87" s="181"/>
      <c r="FB87" s="181"/>
      <c r="FC87" s="181">
        <f>IFERROR(VLOOKUP(I87,CEI_092018!$A$1:$U$489,12,FALSE),0)</f>
        <v>0</v>
      </c>
      <c r="FD87" s="181">
        <f t="shared" ref="FD87" si="60">EW87+FC87</f>
        <v>0</v>
      </c>
      <c r="FE87" s="181">
        <f t="shared" ref="FE87" si="61">SUM(T87-FD87)</f>
        <v>0</v>
      </c>
      <c r="FF87"/>
      <c r="FG87"/>
      <c r="FH87"/>
      <c r="FI87"/>
      <c r="FJ87"/>
      <c r="FK87"/>
      <c r="FL87"/>
      <c r="FM87"/>
      <c r="FN87"/>
      <c r="FO87"/>
      <c r="FP87"/>
      <c r="FQ87"/>
      <c r="FR87"/>
      <c r="FS87"/>
      <c r="FT87"/>
      <c r="FU87"/>
      <c r="FV87"/>
      <c r="FW87"/>
      <c r="FX87"/>
      <c r="FY87"/>
      <c r="FZ87"/>
      <c r="GA87"/>
      <c r="GB87"/>
      <c r="GC87"/>
    </row>
    <row r="88" spans="1:185" ht="12.95" customHeight="1" x14ac:dyDescent="0.25">
      <c r="A88" s="202"/>
      <c r="B88" s="22" t="s">
        <v>57</v>
      </c>
      <c r="C88" s="34" t="s">
        <v>40</v>
      </c>
      <c r="D88" s="22" t="s">
        <v>101</v>
      </c>
      <c r="E88" s="25" t="s">
        <v>1162</v>
      </c>
      <c r="F88" s="25" t="s">
        <v>101</v>
      </c>
      <c r="G88" s="25" t="s">
        <v>1162</v>
      </c>
      <c r="H88" s="22" t="s">
        <v>62</v>
      </c>
      <c r="I88" s="404" t="s">
        <v>1425</v>
      </c>
      <c r="J88" s="136" t="s">
        <v>1573</v>
      </c>
      <c r="K88" s="23" t="s">
        <v>2006</v>
      </c>
      <c r="L88" s="23" t="s">
        <v>700</v>
      </c>
      <c r="M88" s="23" t="s">
        <v>701</v>
      </c>
      <c r="N88" s="23"/>
      <c r="O88" s="2">
        <v>7.9200000762939453</v>
      </c>
      <c r="P88" s="2"/>
      <c r="Q88" s="2"/>
      <c r="R88" s="2">
        <v>50</v>
      </c>
      <c r="S88" s="2">
        <v>333.37534999847401</v>
      </c>
      <c r="T88" s="116">
        <f t="shared" si="44"/>
        <v>391.29535007476795</v>
      </c>
      <c r="U88" s="324"/>
      <c r="V88" s="324">
        <v>130</v>
      </c>
      <c r="W88" s="324"/>
      <c r="X88" s="324"/>
      <c r="Y88" s="324"/>
      <c r="Z88" s="324"/>
      <c r="AA88" s="324"/>
      <c r="AB88" s="324"/>
      <c r="AC88" s="324"/>
      <c r="AD88" s="324"/>
      <c r="AE88" s="324"/>
      <c r="AF88" s="324"/>
      <c r="AG88" s="140">
        <f t="shared" si="45"/>
        <v>130</v>
      </c>
      <c r="AH88" s="324"/>
      <c r="AI88" s="324"/>
      <c r="AJ88" s="324"/>
      <c r="AK88" s="324"/>
      <c r="AL88" s="324"/>
      <c r="AM88" s="324"/>
      <c r="AN88" s="324"/>
      <c r="AO88" s="324"/>
      <c r="AP88" s="324"/>
      <c r="AQ88" s="324"/>
      <c r="AR88" s="324"/>
      <c r="AS88" s="324"/>
      <c r="AT88" s="140">
        <f t="shared" si="46"/>
        <v>0</v>
      </c>
      <c r="AU88" s="324"/>
      <c r="AV88" s="324"/>
      <c r="AW88" s="324"/>
      <c r="AX88" s="324"/>
      <c r="AY88" s="324"/>
      <c r="AZ88" s="324"/>
      <c r="BA88" s="324"/>
      <c r="BB88" s="324"/>
      <c r="BC88" s="324"/>
      <c r="BD88" s="324"/>
      <c r="BE88" s="324"/>
      <c r="BF88" s="324"/>
      <c r="BG88" s="140">
        <f t="shared" si="47"/>
        <v>0</v>
      </c>
      <c r="BH88" s="324"/>
      <c r="BI88" s="324"/>
      <c r="BJ88" s="324"/>
      <c r="BK88" s="324"/>
      <c r="BL88" s="324"/>
      <c r="BM88" s="324"/>
      <c r="BN88" s="324"/>
      <c r="BO88" s="324"/>
      <c r="BP88" s="324"/>
      <c r="BQ88" s="324"/>
      <c r="BR88" s="324"/>
      <c r="BS88" s="324"/>
      <c r="BT88" s="140">
        <f t="shared" si="48"/>
        <v>0</v>
      </c>
      <c r="BU88" s="114">
        <f t="shared" si="49"/>
        <v>521.29535007476795</v>
      </c>
      <c r="BV88" s="372">
        <v>1</v>
      </c>
      <c r="BW88" s="372">
        <v>1</v>
      </c>
      <c r="BX88" s="372">
        <v>1</v>
      </c>
      <c r="BY88" s="372">
        <v>-1</v>
      </c>
      <c r="BZ88" s="436">
        <f>IFERROR((EX88/T88%),0)</f>
        <v>2.0240465609367981</v>
      </c>
      <c r="CA88" s="428">
        <f>IFERROR((FD88/T88%),0)</f>
        <v>91.718567447752946</v>
      </c>
      <c r="CB88" s="7" t="s">
        <v>109</v>
      </c>
      <c r="CC88" s="3">
        <v>0</v>
      </c>
      <c r="CD88" s="3"/>
      <c r="CE88" s="3"/>
      <c r="CF88" s="3"/>
      <c r="CG88" s="3"/>
      <c r="CH88" s="3"/>
      <c r="CI88" s="3">
        <v>3</v>
      </c>
      <c r="CJ88" s="3"/>
      <c r="CK88" s="3">
        <f>274-14</f>
        <v>260</v>
      </c>
      <c r="CL88" s="3"/>
      <c r="CM88" s="3"/>
      <c r="CN88" s="3"/>
      <c r="CO88" s="4">
        <f t="shared" si="52"/>
        <v>263</v>
      </c>
      <c r="CP88" s="3"/>
      <c r="CQ88" s="3"/>
      <c r="CR88" s="3"/>
      <c r="CS88" s="3"/>
      <c r="CT88" s="3"/>
      <c r="CU88" s="3"/>
      <c r="CV88" s="3"/>
      <c r="CW88" s="3"/>
      <c r="CX88" s="3"/>
      <c r="CY88" s="3"/>
      <c r="CZ88" s="3"/>
      <c r="DA88" s="3"/>
      <c r="DB88" s="4">
        <f t="shared" si="53"/>
        <v>0</v>
      </c>
      <c r="DC88" s="3"/>
      <c r="DD88" s="3"/>
      <c r="DE88" s="3"/>
      <c r="DF88" s="3"/>
      <c r="DG88" s="3"/>
      <c r="DH88" s="3"/>
      <c r="DI88" s="3"/>
      <c r="DJ88" s="3"/>
      <c r="DK88" s="3"/>
      <c r="DL88" s="3"/>
      <c r="DM88" s="3"/>
      <c r="DN88" s="3"/>
      <c r="DO88" s="4">
        <f t="shared" si="54"/>
        <v>0</v>
      </c>
      <c r="DP88" s="3"/>
      <c r="DQ88" s="3"/>
      <c r="DR88" s="3"/>
      <c r="DS88" s="3"/>
      <c r="DT88" s="3"/>
      <c r="DU88" s="3"/>
      <c r="DV88" s="3"/>
      <c r="DW88" s="3"/>
      <c r="DX88" s="3"/>
      <c r="DY88" s="3"/>
      <c r="DZ88" s="3"/>
      <c r="EA88" s="3"/>
      <c r="EB88" s="4">
        <f t="shared" si="55"/>
        <v>0</v>
      </c>
      <c r="EC88" s="3"/>
      <c r="ED88" s="3"/>
      <c r="EE88" s="3"/>
      <c r="EF88" s="3"/>
      <c r="EG88" s="3"/>
      <c r="EH88" s="3"/>
      <c r="EI88" s="3"/>
      <c r="EJ88" s="3"/>
      <c r="EK88" s="3"/>
      <c r="EL88" s="3"/>
      <c r="EM88" s="3"/>
      <c r="EN88" s="3"/>
      <c r="EO88" s="4">
        <f t="shared" si="56"/>
        <v>0</v>
      </c>
      <c r="EP88" s="8">
        <f t="shared" si="57"/>
        <v>263</v>
      </c>
      <c r="EQ88" s="181">
        <f>IFERROR(VLOOKUP(I88,CEI_012018!$A$1:$U$509,9,FALSE),0)</f>
        <v>0</v>
      </c>
      <c r="ER88" s="181">
        <f>IFERROR(VLOOKUP(I88,CEI_022018!$A$1:$U$509,9,FALSE),0)</f>
        <v>0</v>
      </c>
      <c r="ES88" s="181">
        <f>IFERROR(VLOOKUP(I88,CEI_032018!$A$1:$U$509,9,FALSE),0)</f>
        <v>0</v>
      </c>
      <c r="ET88" s="181">
        <f>IFERROR(VLOOKUP(I88,CEI_042018!$A$1:$U$491,9,FALSE),0)</f>
        <v>0</v>
      </c>
      <c r="EU88" s="181">
        <f>IFERROR(VLOOKUP(I88,CEI_052018!$A$1:$U$489,9,FALSE),0)</f>
        <v>0</v>
      </c>
      <c r="EV88" s="181">
        <f>IFERROR(VLOOKUP(I88,CEI_062018!$A$1:$U$489,9,FALSE),0)</f>
        <v>0</v>
      </c>
      <c r="EW88" s="181">
        <f>IFERROR(VLOOKUP(I88,CEI_072018!$A$1:$U$489,9,FALSE),0)</f>
        <v>7.9200000762939453</v>
      </c>
      <c r="EX88" s="181">
        <f>IFERROR(VLOOKUP(I88,CEI_082018!$A$1:$U$489,9,FALSE),0)</f>
        <v>7.9200000762939453</v>
      </c>
      <c r="EY88" s="181">
        <f>IFERROR(VLOOKUP(I88,CEI_092018!$A$1:$U$489,9,FALSE),0)</f>
        <v>7.9200000762939453</v>
      </c>
      <c r="EZ88" s="181"/>
      <c r="FA88" s="181"/>
      <c r="FB88" s="181"/>
      <c r="FC88" s="181">
        <f>IFERROR(VLOOKUP(I88,CEI_092018!$A$1:$U$489,12,FALSE),0)</f>
        <v>350.97048950195313</v>
      </c>
      <c r="FD88" s="181">
        <f t="shared" si="58"/>
        <v>358.89048957824707</v>
      </c>
      <c r="FE88" s="181">
        <f t="shared" si="59"/>
        <v>32.404860496520882</v>
      </c>
      <c r="FF88"/>
      <c r="FG88"/>
      <c r="FH88"/>
      <c r="FI88"/>
      <c r="FJ88"/>
      <c r="FK88"/>
      <c r="FL88"/>
      <c r="FM88"/>
      <c r="FN88"/>
      <c r="FO88"/>
      <c r="FP88"/>
      <c r="FQ88"/>
      <c r="FR88"/>
      <c r="FS88"/>
      <c r="FT88"/>
      <c r="FU88"/>
      <c r="FV88"/>
      <c r="FW88"/>
      <c r="FX88"/>
      <c r="FY88"/>
      <c r="FZ88"/>
      <c r="GA88"/>
      <c r="GB88"/>
      <c r="GC88"/>
    </row>
    <row r="89" spans="1:185" ht="12.95" customHeight="1" x14ac:dyDescent="0.25">
      <c r="A89" s="202"/>
      <c r="B89" s="22" t="s">
        <v>57</v>
      </c>
      <c r="C89" s="34" t="s">
        <v>40</v>
      </c>
      <c r="D89" s="23" t="s">
        <v>1661</v>
      </c>
      <c r="E89" s="34" t="s">
        <v>503</v>
      </c>
      <c r="F89" s="34" t="s">
        <v>1661</v>
      </c>
      <c r="G89" s="34" t="s">
        <v>503</v>
      </c>
      <c r="H89" s="23" t="s">
        <v>62</v>
      </c>
      <c r="I89" s="423" t="s">
        <v>565</v>
      </c>
      <c r="J89" s="373"/>
      <c r="K89" s="23" t="s">
        <v>510</v>
      </c>
      <c r="L89" s="23" t="s">
        <v>651</v>
      </c>
      <c r="M89" s="23" t="s">
        <v>511</v>
      </c>
      <c r="N89" s="23"/>
      <c r="O89" s="2"/>
      <c r="P89" s="2"/>
      <c r="Q89" s="2"/>
      <c r="R89" s="2"/>
      <c r="S89" s="2"/>
      <c r="T89" s="116">
        <f t="shared" si="44"/>
        <v>0</v>
      </c>
      <c r="U89" s="324"/>
      <c r="V89" s="324"/>
      <c r="W89" s="324"/>
      <c r="X89" s="324"/>
      <c r="Y89" s="324"/>
      <c r="Z89" s="324"/>
      <c r="AA89" s="324"/>
      <c r="AB89" s="324"/>
      <c r="AC89" s="324"/>
      <c r="AD89" s="324"/>
      <c r="AE89" s="324"/>
      <c r="AF89" s="324"/>
      <c r="AG89" s="140">
        <f t="shared" si="45"/>
        <v>0</v>
      </c>
      <c r="AH89" s="324">
        <v>500</v>
      </c>
      <c r="AI89" s="324"/>
      <c r="AJ89" s="324"/>
      <c r="AK89" s="324"/>
      <c r="AL89" s="324"/>
      <c r="AM89" s="324"/>
      <c r="AN89" s="324"/>
      <c r="AO89" s="324"/>
      <c r="AP89" s="324"/>
      <c r="AQ89" s="324"/>
      <c r="AR89" s="324"/>
      <c r="AS89" s="324"/>
      <c r="AT89" s="140">
        <f t="shared" si="46"/>
        <v>500</v>
      </c>
      <c r="AU89" s="324">
        <v>500</v>
      </c>
      <c r="AV89" s="324"/>
      <c r="AW89" s="324"/>
      <c r="AX89" s="324"/>
      <c r="AY89" s="324"/>
      <c r="AZ89" s="324"/>
      <c r="BA89" s="324"/>
      <c r="BB89" s="324"/>
      <c r="BC89" s="324"/>
      <c r="BD89" s="324"/>
      <c r="BE89" s="324"/>
      <c r="BF89" s="324"/>
      <c r="BG89" s="140">
        <f t="shared" si="47"/>
        <v>500</v>
      </c>
      <c r="BH89" s="324"/>
      <c r="BI89" s="324"/>
      <c r="BJ89" s="324"/>
      <c r="BK89" s="324"/>
      <c r="BL89" s="324"/>
      <c r="BM89" s="324"/>
      <c r="BN89" s="324"/>
      <c r="BO89" s="324"/>
      <c r="BP89" s="324"/>
      <c r="BQ89" s="324"/>
      <c r="BR89" s="324"/>
      <c r="BS89" s="324"/>
      <c r="BT89" s="140">
        <f t="shared" si="48"/>
        <v>0</v>
      </c>
      <c r="BU89" s="114">
        <f t="shared" si="49"/>
        <v>1000</v>
      </c>
      <c r="BV89" s="432"/>
      <c r="BW89" s="432"/>
      <c r="BX89" s="432"/>
      <c r="BY89" s="432"/>
      <c r="BZ89" s="433"/>
      <c r="CA89" s="434"/>
      <c r="CB89" s="7" t="s">
        <v>109</v>
      </c>
      <c r="CC89" s="3">
        <v>0</v>
      </c>
      <c r="CD89" s="3"/>
      <c r="CE89" s="3"/>
      <c r="CF89" s="3"/>
      <c r="CG89" s="3"/>
      <c r="CH89" s="3"/>
      <c r="CI89" s="3"/>
      <c r="CJ89" s="3"/>
      <c r="CK89" s="3"/>
      <c r="CL89" s="3"/>
      <c r="CM89" s="3"/>
      <c r="CN89" s="3"/>
      <c r="CO89" s="4">
        <f t="shared" si="52"/>
        <v>0</v>
      </c>
      <c r="CP89" s="3">
        <v>1</v>
      </c>
      <c r="CQ89" s="3"/>
      <c r="CR89" s="3"/>
      <c r="CS89" s="3"/>
      <c r="CT89" s="3"/>
      <c r="CU89" s="3"/>
      <c r="CV89" s="3"/>
      <c r="CW89" s="3"/>
      <c r="CX89" s="3"/>
      <c r="CY89" s="3"/>
      <c r="CZ89" s="3"/>
      <c r="DA89" s="3"/>
      <c r="DB89" s="4">
        <f t="shared" si="53"/>
        <v>1</v>
      </c>
      <c r="DC89" s="3">
        <v>1</v>
      </c>
      <c r="DD89" s="3"/>
      <c r="DE89" s="3"/>
      <c r="DF89" s="3"/>
      <c r="DG89" s="3"/>
      <c r="DH89" s="3"/>
      <c r="DI89" s="3"/>
      <c r="DJ89" s="3"/>
      <c r="DK89" s="3"/>
      <c r="DL89" s="3"/>
      <c r="DM89" s="3"/>
      <c r="DN89" s="3"/>
      <c r="DO89" s="4">
        <f t="shared" si="54"/>
        <v>1</v>
      </c>
      <c r="DP89" s="3"/>
      <c r="DQ89" s="3"/>
      <c r="DR89" s="3"/>
      <c r="DS89" s="3"/>
      <c r="DT89" s="3"/>
      <c r="DU89" s="3"/>
      <c r="DV89" s="3"/>
      <c r="DW89" s="3"/>
      <c r="DX89" s="3"/>
      <c r="DY89" s="3"/>
      <c r="DZ89" s="3"/>
      <c r="EA89" s="3"/>
      <c r="EB89" s="4">
        <f t="shared" si="55"/>
        <v>0</v>
      </c>
      <c r="EC89" s="3"/>
      <c r="ED89" s="3"/>
      <c r="EE89" s="3"/>
      <c r="EF89" s="3"/>
      <c r="EG89" s="3"/>
      <c r="EH89" s="3"/>
      <c r="EI89" s="3"/>
      <c r="EJ89" s="3"/>
      <c r="EK89" s="3"/>
      <c r="EL89" s="3"/>
      <c r="EM89" s="3"/>
      <c r="EN89" s="3"/>
      <c r="EO89" s="4">
        <f t="shared" si="56"/>
        <v>0</v>
      </c>
      <c r="EP89" s="8">
        <f t="shared" si="57"/>
        <v>2</v>
      </c>
      <c r="EQ89" s="181">
        <f>IFERROR(VLOOKUP(I89,CEI_012018!$A$1:$U$509,9,FALSE),0)</f>
        <v>0</v>
      </c>
      <c r="ER89" s="181">
        <f>IFERROR(VLOOKUP(I89,CEI_022018!$A$1:$U$509,9,FALSE),0)</f>
        <v>0</v>
      </c>
      <c r="ES89" s="181">
        <f>IFERROR(VLOOKUP(I89,CEI_032018!$A$1:$U$509,9,FALSE),0)</f>
        <v>0</v>
      </c>
      <c r="ET89" s="181">
        <f>IFERROR(VLOOKUP(I89,CEI_042018!$A$1:$U$491,9,FALSE),0)</f>
        <v>0</v>
      </c>
      <c r="EU89" s="181">
        <f>IFERROR(VLOOKUP(I89,CEI_052018!$A$1:$U$489,9,FALSE),0)</f>
        <v>0</v>
      </c>
      <c r="EV89" s="181">
        <f>IFERROR(VLOOKUP(I89,CEI_062018!$A$1:$U$489,9,FALSE),0)</f>
        <v>0</v>
      </c>
      <c r="EW89" s="181">
        <f>IFERROR(VLOOKUP(I89,CEI_072018!$A$1:$U$489,9,FALSE),0)</f>
        <v>0</v>
      </c>
      <c r="EX89" s="181">
        <f>IFERROR(VLOOKUP(I89,CEI_082018!$A$1:$U$489,9,FALSE),0)</f>
        <v>0</v>
      </c>
      <c r="EY89" s="181">
        <f>IFERROR(VLOOKUP(I89,CEI_092018!$A$1:$U$489,9,FALSE),0)</f>
        <v>0</v>
      </c>
      <c r="EZ89" s="181"/>
      <c r="FA89" s="181"/>
      <c r="FB89" s="181"/>
      <c r="FC89" s="181">
        <f>IFERROR(VLOOKUP(I89,CEI_092018!$A$1:$U$489,12,FALSE),0)</f>
        <v>0</v>
      </c>
      <c r="FD89" s="181">
        <f t="shared" si="58"/>
        <v>0</v>
      </c>
      <c r="FE89" s="181">
        <f t="shared" si="59"/>
        <v>0</v>
      </c>
      <c r="FF89"/>
      <c r="FG89"/>
      <c r="FH89"/>
      <c r="FI89"/>
      <c r="FJ89"/>
      <c r="FK89"/>
      <c r="FL89"/>
      <c r="FM89"/>
      <c r="FN89"/>
      <c r="FO89"/>
      <c r="FP89"/>
      <c r="FQ89"/>
      <c r="FR89"/>
      <c r="FS89"/>
      <c r="FT89"/>
      <c r="FU89"/>
      <c r="FV89"/>
      <c r="FW89"/>
      <c r="FX89"/>
      <c r="FY89"/>
      <c r="FZ89"/>
      <c r="GA89"/>
      <c r="GB89"/>
      <c r="GC89"/>
    </row>
    <row r="90" spans="1:185" ht="12.95" customHeight="1" x14ac:dyDescent="0.25">
      <c r="A90" s="202"/>
      <c r="B90" s="22" t="s">
        <v>57</v>
      </c>
      <c r="C90" s="34" t="s">
        <v>40</v>
      </c>
      <c r="D90" s="23" t="s">
        <v>1660</v>
      </c>
      <c r="E90" s="34" t="s">
        <v>500</v>
      </c>
      <c r="F90" s="34" t="s">
        <v>1660</v>
      </c>
      <c r="G90" s="34" t="s">
        <v>500</v>
      </c>
      <c r="H90" s="23" t="s">
        <v>62</v>
      </c>
      <c r="I90" s="423" t="s">
        <v>565</v>
      </c>
      <c r="J90" s="373"/>
      <c r="K90" s="23" t="s">
        <v>2040</v>
      </c>
      <c r="L90" s="23" t="s">
        <v>502</v>
      </c>
      <c r="M90" s="23" t="s">
        <v>915</v>
      </c>
      <c r="N90" s="23"/>
      <c r="O90" s="2"/>
      <c r="P90" s="2"/>
      <c r="Q90" s="2"/>
      <c r="R90" s="2"/>
      <c r="S90" s="493"/>
      <c r="T90" s="116">
        <f t="shared" si="44"/>
        <v>0</v>
      </c>
      <c r="U90" s="324"/>
      <c r="V90" s="324"/>
      <c r="W90" s="324"/>
      <c r="X90" s="324"/>
      <c r="Y90" s="324"/>
      <c r="Z90" s="324"/>
      <c r="AA90" s="324"/>
      <c r="AB90" s="324">
        <v>177.91638</v>
      </c>
      <c r="AC90" s="324"/>
      <c r="AD90" s="324"/>
      <c r="AE90" s="324"/>
      <c r="AF90" s="324"/>
      <c r="AG90" s="140">
        <f t="shared" si="45"/>
        <v>177.91638</v>
      </c>
      <c r="AH90" s="324"/>
      <c r="AI90" s="324"/>
      <c r="AJ90" s="324"/>
      <c r="AK90" s="324">
        <v>120</v>
      </c>
      <c r="AL90" s="324"/>
      <c r="AM90" s="324"/>
      <c r="AN90" s="324"/>
      <c r="AO90" s="324"/>
      <c r="AP90" s="324"/>
      <c r="AQ90" s="324"/>
      <c r="AR90" s="324"/>
      <c r="AS90" s="324"/>
      <c r="AT90" s="140">
        <f t="shared" si="46"/>
        <v>120</v>
      </c>
      <c r="AU90" s="324"/>
      <c r="AV90" s="324"/>
      <c r="AW90" s="324"/>
      <c r="AX90" s="324"/>
      <c r="AY90" s="324"/>
      <c r="AZ90" s="324"/>
      <c r="BA90" s="324"/>
      <c r="BB90" s="324"/>
      <c r="BC90" s="324"/>
      <c r="BD90" s="324"/>
      <c r="BE90" s="324"/>
      <c r="BF90" s="324"/>
      <c r="BG90" s="140">
        <f t="shared" si="47"/>
        <v>0</v>
      </c>
      <c r="BH90" s="324"/>
      <c r="BI90" s="324"/>
      <c r="BJ90" s="324"/>
      <c r="BK90" s="324"/>
      <c r="BL90" s="324"/>
      <c r="BM90" s="324"/>
      <c r="BN90" s="324"/>
      <c r="BO90" s="324"/>
      <c r="BP90" s="324"/>
      <c r="BQ90" s="324"/>
      <c r="BR90" s="324"/>
      <c r="BS90" s="324"/>
      <c r="BT90" s="140">
        <f t="shared" si="48"/>
        <v>0</v>
      </c>
      <c r="BU90" s="114">
        <f t="shared" si="49"/>
        <v>297.91638</v>
      </c>
      <c r="BV90" s="432"/>
      <c r="BW90" s="432"/>
      <c r="BX90" s="432"/>
      <c r="BY90" s="432"/>
      <c r="BZ90" s="433"/>
      <c r="CA90" s="434"/>
      <c r="CB90" s="7"/>
      <c r="CC90" s="3"/>
      <c r="CD90" s="3"/>
      <c r="CE90" s="3"/>
      <c r="CF90" s="3"/>
      <c r="CG90" s="3"/>
      <c r="CH90" s="3"/>
      <c r="CI90" s="3"/>
      <c r="CJ90" s="3"/>
      <c r="CK90" s="3"/>
      <c r="CL90" s="3"/>
      <c r="CM90" s="3"/>
      <c r="CN90" s="3"/>
      <c r="CO90" s="4">
        <f t="shared" si="52"/>
        <v>0</v>
      </c>
      <c r="CP90" s="3"/>
      <c r="CQ90" s="3"/>
      <c r="CR90" s="3"/>
      <c r="CS90" s="3"/>
      <c r="CT90" s="3"/>
      <c r="CU90" s="3"/>
      <c r="CV90" s="3"/>
      <c r="CW90" s="3">
        <v>3</v>
      </c>
      <c r="CX90" s="3"/>
      <c r="CY90" s="3"/>
      <c r="CZ90" s="3"/>
      <c r="DA90" s="3"/>
      <c r="DB90" s="4">
        <f t="shared" si="53"/>
        <v>3</v>
      </c>
      <c r="DC90" s="3"/>
      <c r="DD90" s="3"/>
      <c r="DE90" s="3"/>
      <c r="DF90" s="3">
        <v>2</v>
      </c>
      <c r="DG90" s="3"/>
      <c r="DH90" s="3"/>
      <c r="DI90" s="3"/>
      <c r="DJ90" s="3"/>
      <c r="DK90" s="3"/>
      <c r="DL90" s="3"/>
      <c r="DM90" s="3"/>
      <c r="DN90" s="3"/>
      <c r="DO90" s="4">
        <f t="shared" si="54"/>
        <v>2</v>
      </c>
      <c r="DP90" s="3"/>
      <c r="DQ90" s="3"/>
      <c r="DR90" s="3"/>
      <c r="DS90" s="3"/>
      <c r="DT90" s="3"/>
      <c r="DU90" s="3"/>
      <c r="DV90" s="3"/>
      <c r="DW90" s="3"/>
      <c r="DX90" s="3"/>
      <c r="DY90" s="3"/>
      <c r="DZ90" s="3"/>
      <c r="EA90" s="3"/>
      <c r="EB90" s="4">
        <f t="shared" si="55"/>
        <v>0</v>
      </c>
      <c r="EC90" s="3"/>
      <c r="ED90" s="3"/>
      <c r="EE90" s="3"/>
      <c r="EF90" s="3"/>
      <c r="EG90" s="3"/>
      <c r="EH90" s="3"/>
      <c r="EI90" s="3"/>
      <c r="EJ90" s="3"/>
      <c r="EK90" s="3"/>
      <c r="EL90" s="3"/>
      <c r="EM90" s="3"/>
      <c r="EN90" s="3"/>
      <c r="EO90" s="4">
        <f t="shared" si="56"/>
        <v>0</v>
      </c>
      <c r="EP90" s="8">
        <f t="shared" si="57"/>
        <v>5</v>
      </c>
      <c r="EQ90" s="181">
        <f>IFERROR(VLOOKUP(I90,CEI_012018!$A$1:$U$509,9,FALSE),0)</f>
        <v>0</v>
      </c>
      <c r="ER90" s="181">
        <f>IFERROR(VLOOKUP(I90,CEI_022018!$A$1:$U$509,9,FALSE),0)</f>
        <v>0</v>
      </c>
      <c r="ES90" s="181">
        <f>IFERROR(VLOOKUP(I90,CEI_032018!$A$1:$U$509,9,FALSE),0)</f>
        <v>0</v>
      </c>
      <c r="ET90" s="181">
        <f>IFERROR(VLOOKUP(I90,CEI_042018!$A$1:$U$491,9,FALSE),0)</f>
        <v>0</v>
      </c>
      <c r="EU90" s="181">
        <f>IFERROR(VLOOKUP(I90,CEI_052018!$A$1:$U$489,9,FALSE),0)</f>
        <v>0</v>
      </c>
      <c r="EV90" s="181">
        <f>IFERROR(VLOOKUP(I90,CEI_062018!$A$1:$U$489,9,FALSE),0)</f>
        <v>0</v>
      </c>
      <c r="EW90" s="181">
        <f>IFERROR(VLOOKUP(I90,CEI_072018!$A$1:$U$489,9,FALSE),0)</f>
        <v>0</v>
      </c>
      <c r="EX90" s="181">
        <f>IFERROR(VLOOKUP(I90,CEI_082018!$A$1:$U$489,9,FALSE),0)</f>
        <v>0</v>
      </c>
      <c r="EY90" s="181">
        <f>IFERROR(VLOOKUP(I90,CEI_092018!$A$1:$U$489,9,FALSE),0)</f>
        <v>0</v>
      </c>
      <c r="EZ90" s="181"/>
      <c r="FA90" s="181"/>
      <c r="FB90" s="181"/>
      <c r="FC90" s="181">
        <f>IFERROR(VLOOKUP(I90,CEI_092018!$A$1:$U$489,12,FALSE),0)</f>
        <v>0</v>
      </c>
      <c r="FD90" s="181">
        <f t="shared" ref="FD90" si="62">EW90+FC90</f>
        <v>0</v>
      </c>
      <c r="FE90" s="181">
        <f t="shared" ref="FE90" si="63">SUM(T90-FD90)</f>
        <v>0</v>
      </c>
      <c r="FF90"/>
      <c r="FG90"/>
      <c r="FH90"/>
      <c r="FI90"/>
      <c r="FJ90"/>
      <c r="FK90"/>
      <c r="FL90"/>
      <c r="FM90"/>
      <c r="FN90"/>
      <c r="FO90"/>
      <c r="FP90"/>
      <c r="FQ90"/>
      <c r="FR90"/>
      <c r="FS90"/>
      <c r="FT90"/>
      <c r="FU90"/>
      <c r="FV90"/>
      <c r="FW90"/>
      <c r="FX90"/>
      <c r="FY90"/>
      <c r="FZ90"/>
      <c r="GA90"/>
      <c r="GB90"/>
      <c r="GC90"/>
    </row>
    <row r="91" spans="1:185" ht="12.95" customHeight="1" x14ac:dyDescent="0.25">
      <c r="A91" s="202"/>
      <c r="B91" s="22" t="s">
        <v>57</v>
      </c>
      <c r="C91" s="34" t="s">
        <v>40</v>
      </c>
      <c r="D91" s="23" t="s">
        <v>1660</v>
      </c>
      <c r="E91" s="34" t="s">
        <v>500</v>
      </c>
      <c r="F91" s="34" t="s">
        <v>1660</v>
      </c>
      <c r="G91" s="34" t="s">
        <v>500</v>
      </c>
      <c r="H91" s="23" t="s">
        <v>62</v>
      </c>
      <c r="I91" s="423" t="s">
        <v>2033</v>
      </c>
      <c r="J91" s="373" t="s">
        <v>2035</v>
      </c>
      <c r="K91" s="23" t="s">
        <v>2041</v>
      </c>
      <c r="L91" s="23" t="s">
        <v>502</v>
      </c>
      <c r="M91" s="23" t="s">
        <v>915</v>
      </c>
      <c r="N91" s="23"/>
      <c r="O91" s="2"/>
      <c r="P91" s="2"/>
      <c r="Q91" s="2"/>
      <c r="R91" s="2"/>
      <c r="S91" s="2">
        <v>302.08362</v>
      </c>
      <c r="T91" s="116">
        <f t="shared" si="44"/>
        <v>302.08362</v>
      </c>
      <c r="U91" s="324"/>
      <c r="V91" s="324"/>
      <c r="W91" s="324"/>
      <c r="X91" s="324"/>
      <c r="Y91" s="324"/>
      <c r="Z91" s="324"/>
      <c r="AA91" s="324"/>
      <c r="AB91" s="324"/>
      <c r="AC91" s="324"/>
      <c r="AD91" s="324"/>
      <c r="AE91" s="324"/>
      <c r="AF91" s="324"/>
      <c r="AG91" s="140">
        <f t="shared" si="45"/>
        <v>0</v>
      </c>
      <c r="AH91" s="324"/>
      <c r="AI91" s="324"/>
      <c r="AJ91" s="324"/>
      <c r="AK91" s="324"/>
      <c r="AL91" s="324"/>
      <c r="AM91" s="324"/>
      <c r="AN91" s="324"/>
      <c r="AO91" s="324"/>
      <c r="AP91" s="324"/>
      <c r="AQ91" s="324"/>
      <c r="AR91" s="324"/>
      <c r="AS91" s="324"/>
      <c r="AT91" s="140">
        <f t="shared" si="46"/>
        <v>0</v>
      </c>
      <c r="AU91" s="324"/>
      <c r="AV91" s="324"/>
      <c r="AW91" s="324"/>
      <c r="AX91" s="324"/>
      <c r="AY91" s="324"/>
      <c r="AZ91" s="324"/>
      <c r="BA91" s="324"/>
      <c r="BB91" s="324"/>
      <c r="BC91" s="324"/>
      <c r="BD91" s="324"/>
      <c r="BE91" s="324"/>
      <c r="BF91" s="324"/>
      <c r="BG91" s="140">
        <f t="shared" si="47"/>
        <v>0</v>
      </c>
      <c r="BH91" s="324"/>
      <c r="BI91" s="324"/>
      <c r="BJ91" s="324"/>
      <c r="BK91" s="324"/>
      <c r="BL91" s="324"/>
      <c r="BM91" s="324"/>
      <c r="BN91" s="324"/>
      <c r="BO91" s="324"/>
      <c r="BP91" s="324"/>
      <c r="BQ91" s="324"/>
      <c r="BR91" s="324"/>
      <c r="BS91" s="324"/>
      <c r="BT91" s="140">
        <f t="shared" si="48"/>
        <v>0</v>
      </c>
      <c r="BU91" s="114">
        <f t="shared" si="49"/>
        <v>302.08362</v>
      </c>
      <c r="BV91" s="372">
        <v>1</v>
      </c>
      <c r="BW91" s="372">
        <v>1</v>
      </c>
      <c r="BX91" s="372">
        <v>1</v>
      </c>
      <c r="BY91" s="372">
        <v>-1</v>
      </c>
      <c r="BZ91" s="436">
        <f>IFERROR((EX91/T91%),0)</f>
        <v>0</v>
      </c>
      <c r="CA91" s="428">
        <f>IFERROR((FD91/T91%),0)</f>
        <v>99.999999392241961</v>
      </c>
      <c r="CB91" s="7" t="s">
        <v>109</v>
      </c>
      <c r="CC91" s="3">
        <v>0</v>
      </c>
      <c r="CD91" s="3"/>
      <c r="CE91" s="3"/>
      <c r="CF91" s="3"/>
      <c r="CG91" s="3"/>
      <c r="CH91" s="3"/>
      <c r="CI91" s="3"/>
      <c r="CJ91" s="3">
        <v>5</v>
      </c>
      <c r="CK91" s="3"/>
      <c r="CL91" s="3"/>
      <c r="CM91" s="3"/>
      <c r="CN91" s="3"/>
      <c r="CO91" s="4">
        <f t="shared" si="52"/>
        <v>5</v>
      </c>
      <c r="CP91" s="3"/>
      <c r="CQ91" s="3"/>
      <c r="CR91" s="3"/>
      <c r="CS91" s="3"/>
      <c r="CT91" s="3"/>
      <c r="CU91" s="3"/>
      <c r="CV91" s="3"/>
      <c r="CW91" s="3"/>
      <c r="CX91" s="3"/>
      <c r="CY91" s="3"/>
      <c r="CZ91" s="3"/>
      <c r="DA91" s="3"/>
      <c r="DB91" s="4">
        <f t="shared" si="53"/>
        <v>0</v>
      </c>
      <c r="DC91" s="3"/>
      <c r="DD91" s="3"/>
      <c r="DE91" s="3"/>
      <c r="DF91" s="3"/>
      <c r="DG91" s="3"/>
      <c r="DH91" s="3"/>
      <c r="DI91" s="3"/>
      <c r="DJ91" s="3"/>
      <c r="DK91" s="3"/>
      <c r="DL91" s="3"/>
      <c r="DM91" s="3"/>
      <c r="DN91" s="3"/>
      <c r="DO91" s="4">
        <f t="shared" si="54"/>
        <v>0</v>
      </c>
      <c r="DP91" s="3"/>
      <c r="DQ91" s="3"/>
      <c r="DR91" s="3"/>
      <c r="DS91" s="3"/>
      <c r="DT91" s="3"/>
      <c r="DU91" s="3"/>
      <c r="DV91" s="3"/>
      <c r="DW91" s="3"/>
      <c r="DX91" s="3"/>
      <c r="DY91" s="3"/>
      <c r="DZ91" s="3"/>
      <c r="EA91" s="3"/>
      <c r="EB91" s="4">
        <f t="shared" si="55"/>
        <v>0</v>
      </c>
      <c r="EC91" s="3"/>
      <c r="ED91" s="3"/>
      <c r="EE91" s="3"/>
      <c r="EF91" s="3"/>
      <c r="EG91" s="3"/>
      <c r="EH91" s="3"/>
      <c r="EI91" s="3"/>
      <c r="EJ91" s="3"/>
      <c r="EK91" s="3"/>
      <c r="EL91" s="3"/>
      <c r="EM91" s="3"/>
      <c r="EN91" s="3"/>
      <c r="EO91" s="4">
        <f t="shared" si="56"/>
        <v>0</v>
      </c>
      <c r="EP91" s="8">
        <f t="shared" si="57"/>
        <v>5</v>
      </c>
      <c r="EQ91" s="181">
        <f>IFERROR(VLOOKUP(I91,CEI_012018!$A$1:$U$509,9,FALSE),0)</f>
        <v>0</v>
      </c>
      <c r="ER91" s="181">
        <f>IFERROR(VLOOKUP(I91,CEI_022018!$A$1:$U$509,9,FALSE),0)</f>
        <v>0</v>
      </c>
      <c r="ES91" s="181">
        <f>IFERROR(VLOOKUP(I91,CEI_032018!$A$1:$U$509,9,FALSE),0)</f>
        <v>0</v>
      </c>
      <c r="ET91" s="181">
        <f>IFERROR(VLOOKUP(I91,CEI_042018!$A$1:$U$491,9,FALSE),0)</f>
        <v>0</v>
      </c>
      <c r="EU91" s="181">
        <f>IFERROR(VLOOKUP(I91,CEI_052018!$A$1:$U$489,9,FALSE),0)</f>
        <v>0</v>
      </c>
      <c r="EV91" s="181">
        <f>IFERROR(VLOOKUP(I91,CEI_062018!$A$1:$U$489,9,FALSE),0)</f>
        <v>0</v>
      </c>
      <c r="EW91" s="181">
        <f>IFERROR(VLOOKUP(I91,CEI_072018!$A$1:$U$489,9,FALSE),0)</f>
        <v>0</v>
      </c>
      <c r="EX91" s="181">
        <f>IFERROR(VLOOKUP(I91,CEI_082018!$A$1:$U$489,9,FALSE),0)</f>
        <v>0</v>
      </c>
      <c r="EY91" s="181">
        <f>IFERROR(VLOOKUP(I91,CEI_092018!$A$1:$U$489,9,FALSE),0)</f>
        <v>0</v>
      </c>
      <c r="EZ91" s="181"/>
      <c r="FA91" s="181"/>
      <c r="FB91" s="181"/>
      <c r="FC91" s="181">
        <f>IFERROR(VLOOKUP(I91,CEI_092018!$A$1:$U$489,12,FALSE),0)</f>
        <v>302.0836181640625</v>
      </c>
      <c r="FD91" s="181">
        <f t="shared" si="58"/>
        <v>302.0836181640625</v>
      </c>
      <c r="FE91" s="181">
        <f t="shared" si="59"/>
        <v>1.8359374962528818E-6</v>
      </c>
      <c r="FF91"/>
      <c r="FG91"/>
      <c r="FH91"/>
      <c r="FI91"/>
      <c r="FJ91"/>
      <c r="FK91"/>
      <c r="FL91"/>
      <c r="FM91"/>
      <c r="FN91"/>
      <c r="FO91"/>
      <c r="FP91"/>
      <c r="FQ91"/>
      <c r="FR91"/>
      <c r="FS91"/>
      <c r="FT91"/>
      <c r="FU91"/>
      <c r="FV91"/>
      <c r="FW91"/>
      <c r="FX91"/>
      <c r="FY91"/>
      <c r="FZ91"/>
      <c r="GA91"/>
      <c r="GB91"/>
      <c r="GC91"/>
    </row>
    <row r="92" spans="1:185" ht="12.95" customHeight="1" x14ac:dyDescent="0.25">
      <c r="A92" s="202"/>
      <c r="B92" s="22" t="s">
        <v>57</v>
      </c>
      <c r="C92" s="34" t="s">
        <v>40</v>
      </c>
      <c r="D92" s="22" t="s">
        <v>515</v>
      </c>
      <c r="E92" s="25" t="s">
        <v>516</v>
      </c>
      <c r="F92" s="25" t="s">
        <v>515</v>
      </c>
      <c r="G92" s="25" t="s">
        <v>516</v>
      </c>
      <c r="H92" s="22" t="s">
        <v>62</v>
      </c>
      <c r="I92" s="423" t="s">
        <v>1641</v>
      </c>
      <c r="J92" s="373" t="s">
        <v>1643</v>
      </c>
      <c r="K92" s="23" t="s">
        <v>857</v>
      </c>
      <c r="L92" s="23" t="s">
        <v>858</v>
      </c>
      <c r="M92" s="23" t="s">
        <v>859</v>
      </c>
      <c r="N92" s="23"/>
      <c r="O92" s="2"/>
      <c r="P92" s="2"/>
      <c r="Q92" s="2"/>
      <c r="R92" s="2"/>
      <c r="S92" s="2"/>
      <c r="T92" s="116">
        <f t="shared" si="44"/>
        <v>0</v>
      </c>
      <c r="U92" s="324"/>
      <c r="V92" s="324"/>
      <c r="W92" s="324"/>
      <c r="X92" s="324"/>
      <c r="Y92" s="324"/>
      <c r="Z92" s="324"/>
      <c r="AA92" s="324"/>
      <c r="AB92" s="324"/>
      <c r="AC92" s="324"/>
      <c r="AD92" s="324"/>
      <c r="AE92" s="324"/>
      <c r="AF92" s="324"/>
      <c r="AG92" s="140">
        <f t="shared" si="45"/>
        <v>0</v>
      </c>
      <c r="AH92" s="324">
        <v>350</v>
      </c>
      <c r="AI92" s="324"/>
      <c r="AJ92" s="324"/>
      <c r="AK92" s="324"/>
      <c r="AL92" s="324"/>
      <c r="AM92" s="324"/>
      <c r="AN92" s="324"/>
      <c r="AO92" s="324"/>
      <c r="AP92" s="324"/>
      <c r="AQ92" s="324"/>
      <c r="AR92" s="324"/>
      <c r="AS92" s="324"/>
      <c r="AT92" s="140">
        <f t="shared" si="46"/>
        <v>350</v>
      </c>
      <c r="AU92" s="324"/>
      <c r="AV92" s="324"/>
      <c r="AW92" s="324"/>
      <c r="AX92" s="324"/>
      <c r="AY92" s="324"/>
      <c r="AZ92" s="324"/>
      <c r="BA92" s="324"/>
      <c r="BB92" s="324"/>
      <c r="BC92" s="324"/>
      <c r="BD92" s="324"/>
      <c r="BE92" s="324"/>
      <c r="BF92" s="324"/>
      <c r="BG92" s="140">
        <f t="shared" si="47"/>
        <v>0</v>
      </c>
      <c r="BH92" s="324"/>
      <c r="BI92" s="324"/>
      <c r="BJ92" s="324"/>
      <c r="BK92" s="324"/>
      <c r="BL92" s="324"/>
      <c r="BM92" s="324"/>
      <c r="BN92" s="324"/>
      <c r="BO92" s="324"/>
      <c r="BP92" s="324"/>
      <c r="BQ92" s="324"/>
      <c r="BR92" s="324"/>
      <c r="BS92" s="324"/>
      <c r="BT92" s="140">
        <f t="shared" si="48"/>
        <v>0</v>
      </c>
      <c r="BU92" s="114">
        <f t="shared" si="49"/>
        <v>350</v>
      </c>
      <c r="BV92" s="372">
        <v>1</v>
      </c>
      <c r="BW92" s="372">
        <v>1</v>
      </c>
      <c r="BX92" s="372">
        <v>-1</v>
      </c>
      <c r="BY92" s="372">
        <v>-1</v>
      </c>
      <c r="BZ92" s="436">
        <f t="shared" ref="BZ92:BZ95" si="64">IFERROR((EX92/T92%),0)</f>
        <v>0</v>
      </c>
      <c r="CA92" s="428">
        <f>IFERROR((FD92/T92%),0)</f>
        <v>0</v>
      </c>
      <c r="CB92" s="7" t="s">
        <v>1127</v>
      </c>
      <c r="CC92" s="3"/>
      <c r="CD92" s="3"/>
      <c r="CE92" s="3"/>
      <c r="CF92" s="3"/>
      <c r="CG92" s="3"/>
      <c r="CH92" s="3"/>
      <c r="CI92" s="3"/>
      <c r="CJ92" s="3"/>
      <c r="CK92" s="3"/>
      <c r="CL92" s="3"/>
      <c r="CM92" s="3"/>
      <c r="CN92" s="3"/>
      <c r="CO92" s="4">
        <f t="shared" si="52"/>
        <v>0</v>
      </c>
      <c r="CP92" s="3"/>
      <c r="CQ92" s="3"/>
      <c r="CR92" s="3"/>
      <c r="CS92" s="3"/>
      <c r="CT92" s="3"/>
      <c r="CU92" s="3"/>
      <c r="CV92" s="3"/>
      <c r="CW92" s="3"/>
      <c r="CX92" s="3"/>
      <c r="CY92" s="3"/>
      <c r="CZ92" s="3"/>
      <c r="DA92" s="3"/>
      <c r="DB92" s="4">
        <f t="shared" si="53"/>
        <v>0</v>
      </c>
      <c r="DC92" s="3">
        <v>1</v>
      </c>
      <c r="DD92" s="3"/>
      <c r="DE92" s="3"/>
      <c r="DF92" s="3"/>
      <c r="DG92" s="3"/>
      <c r="DH92" s="3"/>
      <c r="DI92" s="3"/>
      <c r="DJ92" s="3"/>
      <c r="DK92" s="3"/>
      <c r="DL92" s="3"/>
      <c r="DM92" s="3"/>
      <c r="DN92" s="3"/>
      <c r="DO92" s="4">
        <f t="shared" si="54"/>
        <v>1</v>
      </c>
      <c r="DP92" s="3"/>
      <c r="DQ92" s="3"/>
      <c r="DR92" s="3"/>
      <c r="DS92" s="3"/>
      <c r="DT92" s="3"/>
      <c r="DU92" s="3"/>
      <c r="DV92" s="3"/>
      <c r="DW92" s="3"/>
      <c r="DX92" s="3"/>
      <c r="DY92" s="3"/>
      <c r="DZ92" s="3"/>
      <c r="EA92" s="3"/>
      <c r="EB92" s="4">
        <f t="shared" si="55"/>
        <v>0</v>
      </c>
      <c r="EC92" s="3"/>
      <c r="ED92" s="3"/>
      <c r="EE92" s="3"/>
      <c r="EF92" s="3"/>
      <c r="EG92" s="3"/>
      <c r="EH92" s="3"/>
      <c r="EI92" s="3"/>
      <c r="EJ92" s="3"/>
      <c r="EK92" s="3"/>
      <c r="EL92" s="3"/>
      <c r="EM92" s="3"/>
      <c r="EN92" s="3"/>
      <c r="EO92" s="4">
        <f t="shared" si="56"/>
        <v>0</v>
      </c>
      <c r="EP92" s="8">
        <f t="shared" si="57"/>
        <v>1</v>
      </c>
      <c r="EQ92" s="181">
        <f>IFERROR(VLOOKUP(I92,CEI_012018!$A$1:$U$509,9,FALSE),0)</f>
        <v>0</v>
      </c>
      <c r="ER92" s="181">
        <f>IFERROR(VLOOKUP(I92,CEI_022018!$A$1:$U$509,9,FALSE),0)</f>
        <v>0</v>
      </c>
      <c r="ES92" s="181">
        <f>IFERROR(VLOOKUP(I92,CEI_032018!$A$1:$U$509,9,FALSE),0)</f>
        <v>0</v>
      </c>
      <c r="ET92" s="181">
        <f>IFERROR(VLOOKUP(I92,CEI_042018!$A$1:$U$491,9,FALSE),0)</f>
        <v>0</v>
      </c>
      <c r="EU92" s="181">
        <f>IFERROR(VLOOKUP(I92,CEI_052018!$A$1:$U$489,9,FALSE),0)</f>
        <v>0</v>
      </c>
      <c r="EV92" s="181">
        <f>IFERROR(VLOOKUP(I92,CEI_062018!$A$1:$U$489,9,FALSE),0)</f>
        <v>0</v>
      </c>
      <c r="EW92" s="181">
        <f>IFERROR(VLOOKUP(I92,CEI_072018!$A$1:$U$489,9,FALSE),0)</f>
        <v>0</v>
      </c>
      <c r="EX92" s="181">
        <f>IFERROR(VLOOKUP(I92,CEI_082018!$A$1:$U$489,9,FALSE),0)</f>
        <v>0</v>
      </c>
      <c r="EY92" s="181">
        <f>IFERROR(VLOOKUP(I92,CEI_092018!$A$1:$U$489,9,FALSE),0)</f>
        <v>0</v>
      </c>
      <c r="EZ92" s="181"/>
      <c r="FA92" s="181"/>
      <c r="FB92" s="181"/>
      <c r="FC92" s="181">
        <f>IFERROR(VLOOKUP(I92,CEI_092018!$A$1:$U$489,12,FALSE),0)</f>
        <v>0</v>
      </c>
      <c r="FD92" s="181">
        <f t="shared" si="58"/>
        <v>0</v>
      </c>
      <c r="FE92" s="181">
        <f t="shared" si="59"/>
        <v>0</v>
      </c>
      <c r="FF92"/>
      <c r="FG92"/>
      <c r="FH92"/>
      <c r="FI92"/>
      <c r="FJ92"/>
      <c r="FK92"/>
      <c r="FL92"/>
      <c r="FM92"/>
      <c r="FN92"/>
      <c r="FO92"/>
      <c r="FP92"/>
      <c r="FQ92"/>
      <c r="FR92"/>
      <c r="FS92"/>
      <c r="FT92"/>
      <c r="FU92"/>
      <c r="FV92"/>
      <c r="FW92"/>
      <c r="FX92"/>
      <c r="FY92"/>
      <c r="FZ92"/>
      <c r="GA92"/>
      <c r="GB92"/>
      <c r="GC92"/>
    </row>
    <row r="93" spans="1:185" ht="12.95" customHeight="1" x14ac:dyDescent="0.25">
      <c r="A93" s="202"/>
      <c r="B93" s="22" t="s">
        <v>57</v>
      </c>
      <c r="C93" s="34" t="s">
        <v>40</v>
      </c>
      <c r="D93" s="22" t="s">
        <v>61</v>
      </c>
      <c r="E93" s="25" t="s">
        <v>1542</v>
      </c>
      <c r="F93" s="25" t="s">
        <v>61</v>
      </c>
      <c r="G93" s="25" t="s">
        <v>1542</v>
      </c>
      <c r="H93" s="22" t="s">
        <v>226</v>
      </c>
      <c r="I93" s="423" t="s">
        <v>1570</v>
      </c>
      <c r="J93" s="37" t="s">
        <v>1591</v>
      </c>
      <c r="K93" s="23" t="s">
        <v>1958</v>
      </c>
      <c r="L93" s="23" t="s">
        <v>1612</v>
      </c>
      <c r="M93" s="23"/>
      <c r="N93" s="23"/>
      <c r="O93" s="2"/>
      <c r="P93" s="2">
        <v>4</v>
      </c>
      <c r="Q93" s="2">
        <v>5</v>
      </c>
      <c r="R93" s="2">
        <v>22</v>
      </c>
      <c r="S93" s="2">
        <v>223</v>
      </c>
      <c r="T93" s="116">
        <f t="shared" si="44"/>
        <v>254</v>
      </c>
      <c r="U93" s="324"/>
      <c r="V93" s="324"/>
      <c r="W93" s="324"/>
      <c r="X93" s="324"/>
      <c r="Y93" s="324"/>
      <c r="Z93" s="324"/>
      <c r="AA93" s="324"/>
      <c r="AB93" s="324"/>
      <c r="AC93" s="324"/>
      <c r="AD93" s="324"/>
      <c r="AE93" s="324"/>
      <c r="AF93" s="324"/>
      <c r="AG93" s="140">
        <f t="shared" si="45"/>
        <v>0</v>
      </c>
      <c r="AH93" s="324"/>
      <c r="AI93" s="324"/>
      <c r="AJ93" s="324"/>
      <c r="AK93" s="324"/>
      <c r="AL93" s="324"/>
      <c r="AM93" s="324"/>
      <c r="AN93" s="324"/>
      <c r="AO93" s="324"/>
      <c r="AP93" s="324"/>
      <c r="AQ93" s="324"/>
      <c r="AR93" s="324"/>
      <c r="AS93" s="324"/>
      <c r="AT93" s="140">
        <f t="shared" si="46"/>
        <v>0</v>
      </c>
      <c r="AU93" s="324"/>
      <c r="AV93" s="324"/>
      <c r="AW93" s="324"/>
      <c r="AX93" s="324"/>
      <c r="AY93" s="324"/>
      <c r="AZ93" s="324"/>
      <c r="BA93" s="324"/>
      <c r="BB93" s="324"/>
      <c r="BC93" s="324"/>
      <c r="BD93" s="324"/>
      <c r="BE93" s="324"/>
      <c r="BF93" s="324"/>
      <c r="BG93" s="140">
        <f t="shared" si="47"/>
        <v>0</v>
      </c>
      <c r="BH93" s="324"/>
      <c r="BI93" s="324"/>
      <c r="BJ93" s="324"/>
      <c r="BK93" s="324"/>
      <c r="BL93" s="324"/>
      <c r="BM93" s="324"/>
      <c r="BN93" s="324"/>
      <c r="BO93" s="324"/>
      <c r="BP93" s="324"/>
      <c r="BQ93" s="324"/>
      <c r="BR93" s="324"/>
      <c r="BS93" s="324"/>
      <c r="BT93" s="140">
        <f t="shared" si="48"/>
        <v>0</v>
      </c>
      <c r="BU93" s="114">
        <f t="shared" si="49"/>
        <v>254</v>
      </c>
      <c r="BV93" s="372">
        <v>1</v>
      </c>
      <c r="BW93" s="372">
        <v>1</v>
      </c>
      <c r="BX93" s="372">
        <v>1</v>
      </c>
      <c r="BY93" s="372">
        <v>1</v>
      </c>
      <c r="BZ93" s="436">
        <f t="shared" si="64"/>
        <v>0</v>
      </c>
      <c r="CA93" s="428">
        <f>IFERROR((FD93/T93%),0)</f>
        <v>95.724299104194941</v>
      </c>
      <c r="CB93" s="7" t="s">
        <v>109</v>
      </c>
      <c r="CC93" s="3"/>
      <c r="CD93" s="3"/>
      <c r="CE93" s="3"/>
      <c r="CF93" s="3"/>
      <c r="CG93" s="3"/>
      <c r="CH93" s="3"/>
      <c r="CI93" s="3"/>
      <c r="CJ93" s="3">
        <v>8</v>
      </c>
      <c r="CK93" s="3"/>
      <c r="CL93" s="3"/>
      <c r="CM93" s="3"/>
      <c r="CN93" s="3"/>
      <c r="CO93" s="4">
        <f t="shared" si="52"/>
        <v>8</v>
      </c>
      <c r="CP93" s="3"/>
      <c r="CQ93" s="3"/>
      <c r="CR93" s="3"/>
      <c r="CS93" s="3"/>
      <c r="CT93" s="3"/>
      <c r="CU93" s="3"/>
      <c r="CV93" s="3"/>
      <c r="CW93" s="3"/>
      <c r="CX93" s="3"/>
      <c r="CY93" s="3"/>
      <c r="CZ93" s="3"/>
      <c r="DA93" s="3"/>
      <c r="DB93" s="4">
        <f t="shared" si="53"/>
        <v>0</v>
      </c>
      <c r="DC93" s="3"/>
      <c r="DD93" s="3"/>
      <c r="DE93" s="3"/>
      <c r="DF93" s="3"/>
      <c r="DG93" s="3"/>
      <c r="DH93" s="3"/>
      <c r="DI93" s="3"/>
      <c r="DJ93" s="3"/>
      <c r="DK93" s="3"/>
      <c r="DL93" s="3"/>
      <c r="DM93" s="3"/>
      <c r="DN93" s="3"/>
      <c r="DO93" s="4">
        <f t="shared" si="54"/>
        <v>0</v>
      </c>
      <c r="DP93" s="3"/>
      <c r="DQ93" s="3"/>
      <c r="DR93" s="3"/>
      <c r="DS93" s="3"/>
      <c r="DT93" s="3"/>
      <c r="DU93" s="3"/>
      <c r="DV93" s="3"/>
      <c r="DW93" s="3"/>
      <c r="DX93" s="3"/>
      <c r="DY93" s="3"/>
      <c r="DZ93" s="3"/>
      <c r="EA93" s="3"/>
      <c r="EB93" s="4">
        <f t="shared" si="55"/>
        <v>0</v>
      </c>
      <c r="EC93" s="3"/>
      <c r="ED93" s="3"/>
      <c r="EE93" s="3"/>
      <c r="EF93" s="3"/>
      <c r="EG93" s="3"/>
      <c r="EH93" s="3"/>
      <c r="EI93" s="3"/>
      <c r="EJ93" s="3"/>
      <c r="EK93" s="3"/>
      <c r="EL93" s="3"/>
      <c r="EM93" s="3"/>
      <c r="EN93" s="3"/>
      <c r="EO93" s="4">
        <f t="shared" si="56"/>
        <v>0</v>
      </c>
      <c r="EP93" s="8">
        <f t="shared" si="57"/>
        <v>8</v>
      </c>
      <c r="EQ93" s="181">
        <f>IFERROR(VLOOKUP(I93,CEI_012018!$A$1:$U$509,9,FALSE),0)</f>
        <v>0</v>
      </c>
      <c r="ER93" s="181">
        <f>IFERROR(VLOOKUP(I93,CEI_022018!$A$1:$U$509,9,FALSE),0)</f>
        <v>0</v>
      </c>
      <c r="ES93" s="181">
        <f>IFERROR(VLOOKUP(I93,CEI_032018!$A$1:$U$509,9,FALSE),0)</f>
        <v>0</v>
      </c>
      <c r="ET93" s="181">
        <f>IFERROR(VLOOKUP(I93,CEI_042018!$A$1:$U$491,9,FALSE),0)</f>
        <v>0</v>
      </c>
      <c r="EU93" s="181">
        <f>IFERROR(VLOOKUP(I93,CEI_052018!$A$1:$U$489,9,FALSE),0)</f>
        <v>0</v>
      </c>
      <c r="EV93" s="181">
        <f>IFERROR(VLOOKUP(I93,CEI_062018!$A$1:$U$489,9,FALSE),0)</f>
        <v>0</v>
      </c>
      <c r="EW93" s="181">
        <f>IFERROR(VLOOKUP(I93,CEI_072018!$A$1:$U$489,9,FALSE),0)</f>
        <v>0</v>
      </c>
      <c r="EX93" s="181">
        <f>IFERROR(VLOOKUP(I93,CEI_082018!$A$1:$U$489,9,FALSE),0)</f>
        <v>0</v>
      </c>
      <c r="EY93" s="181">
        <f>IFERROR(VLOOKUP(I93,CEI_092018!$A$1:$U$489,9,FALSE),0)</f>
        <v>0</v>
      </c>
      <c r="EZ93" s="181"/>
      <c r="FA93" s="181"/>
      <c r="FB93" s="181"/>
      <c r="FC93" s="181">
        <f>IFERROR(VLOOKUP(I93,CEI_092018!$A$1:$U$489,12,FALSE),0)</f>
        <v>243.13971972465515</v>
      </c>
      <c r="FD93" s="181">
        <f t="shared" si="58"/>
        <v>243.13971972465515</v>
      </c>
      <c r="FE93" s="181">
        <f t="shared" si="59"/>
        <v>10.860280275344849</v>
      </c>
      <c r="FF93"/>
      <c r="FG93"/>
      <c r="FH93"/>
      <c r="FI93"/>
      <c r="FJ93"/>
      <c r="FK93"/>
      <c r="FL93"/>
      <c r="FM93"/>
      <c r="FN93"/>
      <c r="FO93"/>
      <c r="FP93"/>
      <c r="FQ93"/>
      <c r="FR93"/>
      <c r="FS93"/>
      <c r="FT93"/>
      <c r="FU93"/>
      <c r="FV93"/>
      <c r="FW93"/>
      <c r="FX93"/>
      <c r="FY93"/>
      <c r="FZ93"/>
      <c r="GA93"/>
      <c r="GB93"/>
      <c r="GC93"/>
    </row>
    <row r="94" spans="1:185" ht="12.95" customHeight="1" x14ac:dyDescent="0.25">
      <c r="A94" s="202"/>
      <c r="B94" s="22" t="s">
        <v>57</v>
      </c>
      <c r="C94" s="34" t="s">
        <v>40</v>
      </c>
      <c r="D94" s="22" t="s">
        <v>512</v>
      </c>
      <c r="E94" s="25" t="s">
        <v>1756</v>
      </c>
      <c r="F94" s="25" t="s">
        <v>512</v>
      </c>
      <c r="G94" s="25" t="s">
        <v>1756</v>
      </c>
      <c r="H94" s="22" t="s">
        <v>62</v>
      </c>
      <c r="I94" s="423" t="s">
        <v>1758</v>
      </c>
      <c r="J94" s="37" t="s">
        <v>1760</v>
      </c>
      <c r="K94" s="23" t="s">
        <v>1076</v>
      </c>
      <c r="L94" s="23" t="s">
        <v>513</v>
      </c>
      <c r="M94" s="23" t="s">
        <v>514</v>
      </c>
      <c r="N94" s="23"/>
      <c r="O94" s="2"/>
      <c r="P94" s="2"/>
      <c r="Q94" s="2"/>
      <c r="R94" s="2">
        <v>58</v>
      </c>
      <c r="S94" s="2">
        <v>347</v>
      </c>
      <c r="T94" s="116">
        <f t="shared" si="44"/>
        <v>405</v>
      </c>
      <c r="U94" s="324"/>
      <c r="V94" s="324"/>
      <c r="W94" s="324"/>
      <c r="X94" s="324"/>
      <c r="Y94" s="324"/>
      <c r="Z94" s="324"/>
      <c r="AA94" s="324"/>
      <c r="AB94" s="324"/>
      <c r="AC94" s="324"/>
      <c r="AD94" s="324"/>
      <c r="AE94" s="324"/>
      <c r="AF94" s="324"/>
      <c r="AG94" s="140">
        <f t="shared" si="45"/>
        <v>0</v>
      </c>
      <c r="AH94" s="324"/>
      <c r="AI94" s="324"/>
      <c r="AJ94" s="324"/>
      <c r="AK94" s="324"/>
      <c r="AL94" s="324"/>
      <c r="AM94" s="324"/>
      <c r="AN94" s="324"/>
      <c r="AO94" s="324"/>
      <c r="AP94" s="324"/>
      <c r="AQ94" s="324"/>
      <c r="AR94" s="324"/>
      <c r="AS94" s="324"/>
      <c r="AT94" s="140">
        <f t="shared" si="46"/>
        <v>0</v>
      </c>
      <c r="AU94" s="324"/>
      <c r="AV94" s="324"/>
      <c r="AW94" s="324"/>
      <c r="AX94" s="324"/>
      <c r="AY94" s="324"/>
      <c r="AZ94" s="324"/>
      <c r="BA94" s="324"/>
      <c r="BB94" s="324"/>
      <c r="BC94" s="324"/>
      <c r="BD94" s="324"/>
      <c r="BE94" s="324"/>
      <c r="BF94" s="324"/>
      <c r="BG94" s="140">
        <f t="shared" si="47"/>
        <v>0</v>
      </c>
      <c r="BH94" s="324"/>
      <c r="BI94" s="324"/>
      <c r="BJ94" s="324"/>
      <c r="BK94" s="324"/>
      <c r="BL94" s="324"/>
      <c r="BM94" s="324"/>
      <c r="BN94" s="324"/>
      <c r="BO94" s="324"/>
      <c r="BP94" s="324"/>
      <c r="BQ94" s="324"/>
      <c r="BR94" s="324"/>
      <c r="BS94" s="324"/>
      <c r="BT94" s="140">
        <f t="shared" si="48"/>
        <v>0</v>
      </c>
      <c r="BU94" s="114">
        <f t="shared" si="49"/>
        <v>405</v>
      </c>
      <c r="BV94" s="372">
        <v>1</v>
      </c>
      <c r="BW94" s="372">
        <v>1</v>
      </c>
      <c r="BX94" s="372">
        <v>1</v>
      </c>
      <c r="BY94" s="372">
        <v>-1</v>
      </c>
      <c r="BZ94" s="436">
        <f t="shared" si="64"/>
        <v>0</v>
      </c>
      <c r="CA94" s="428">
        <f>IFERROR((FD94/T94%),0)</f>
        <v>98.469137380152574</v>
      </c>
      <c r="CB94" s="7" t="s">
        <v>109</v>
      </c>
      <c r="CC94" s="3">
        <v>0</v>
      </c>
      <c r="CD94" s="3"/>
      <c r="CE94" s="3"/>
      <c r="CF94" s="3"/>
      <c r="CG94" s="3"/>
      <c r="CH94" s="3"/>
      <c r="CI94" s="3"/>
      <c r="CJ94" s="3">
        <v>150</v>
      </c>
      <c r="CK94" s="3"/>
      <c r="CL94" s="3"/>
      <c r="CM94" s="3"/>
      <c r="CN94" s="3"/>
      <c r="CO94" s="4">
        <f t="shared" si="52"/>
        <v>150</v>
      </c>
      <c r="CP94" s="3"/>
      <c r="CQ94" s="3"/>
      <c r="CR94" s="3"/>
      <c r="CS94" s="3"/>
      <c r="CT94" s="3"/>
      <c r="CU94" s="3"/>
      <c r="CV94" s="3"/>
      <c r="CW94" s="3"/>
      <c r="CX94" s="3"/>
      <c r="CY94" s="3"/>
      <c r="CZ94" s="3"/>
      <c r="DA94" s="3"/>
      <c r="DB94" s="4">
        <f t="shared" si="53"/>
        <v>0</v>
      </c>
      <c r="DC94" s="3"/>
      <c r="DD94" s="3"/>
      <c r="DE94" s="3"/>
      <c r="DF94" s="3"/>
      <c r="DG94" s="3"/>
      <c r="DH94" s="3"/>
      <c r="DI94" s="3"/>
      <c r="DJ94" s="3"/>
      <c r="DK94" s="3"/>
      <c r="DL94" s="3"/>
      <c r="DM94" s="3"/>
      <c r="DN94" s="3"/>
      <c r="DO94" s="4">
        <f t="shared" si="54"/>
        <v>0</v>
      </c>
      <c r="DP94" s="3"/>
      <c r="DQ94" s="3"/>
      <c r="DR94" s="3"/>
      <c r="DS94" s="3"/>
      <c r="DT94" s="3"/>
      <c r="DU94" s="3"/>
      <c r="DV94" s="3"/>
      <c r="DW94" s="3"/>
      <c r="DX94" s="3"/>
      <c r="DY94" s="3"/>
      <c r="DZ94" s="3"/>
      <c r="EA94" s="3"/>
      <c r="EB94" s="4">
        <f t="shared" si="55"/>
        <v>0</v>
      </c>
      <c r="EC94" s="3"/>
      <c r="ED94" s="3"/>
      <c r="EE94" s="3"/>
      <c r="EF94" s="3"/>
      <c r="EG94" s="3"/>
      <c r="EH94" s="3"/>
      <c r="EI94" s="3"/>
      <c r="EJ94" s="3"/>
      <c r="EK94" s="3"/>
      <c r="EL94" s="3"/>
      <c r="EM94" s="3"/>
      <c r="EN94" s="3"/>
      <c r="EO94" s="4">
        <f t="shared" si="56"/>
        <v>0</v>
      </c>
      <c r="EP94" s="8">
        <f t="shared" si="57"/>
        <v>150</v>
      </c>
      <c r="EQ94" s="181">
        <f>IFERROR(VLOOKUP(I94,CEI_012018!$A$1:$U$509,9,FALSE),0)</f>
        <v>0</v>
      </c>
      <c r="ER94" s="181">
        <f>IFERROR(VLOOKUP(I94,CEI_022018!$A$1:$U$509,9,FALSE),0)</f>
        <v>0</v>
      </c>
      <c r="ES94" s="181">
        <f>IFERROR(VLOOKUP(I94,CEI_032018!$A$1:$U$509,9,FALSE),0)</f>
        <v>0</v>
      </c>
      <c r="ET94" s="181">
        <f>IFERROR(VLOOKUP(I94,CEI_042018!$A$1:$U$491,9,FALSE),0)</f>
        <v>0</v>
      </c>
      <c r="EU94" s="181">
        <f>IFERROR(VLOOKUP(I94,CEI_052018!$A$1:$U$489,9,FALSE),0)</f>
        <v>0</v>
      </c>
      <c r="EV94" s="181">
        <f>IFERROR(VLOOKUP(I94,CEI_062018!$A$1:$U$489,9,FALSE),0)</f>
        <v>0</v>
      </c>
      <c r="EW94" s="181">
        <f>IFERROR(VLOOKUP(I94,CEI_072018!$A$1:$U$489,9,FALSE),0)</f>
        <v>0</v>
      </c>
      <c r="EX94" s="181">
        <f>IFERROR(VLOOKUP(I94,CEI_082018!$A$1:$U$489,9,FALSE),0)</f>
        <v>0</v>
      </c>
      <c r="EY94" s="181">
        <f>IFERROR(VLOOKUP(I94,CEI_092018!$A$1:$U$489,9,FALSE),0)</f>
        <v>0</v>
      </c>
      <c r="EZ94" s="181"/>
      <c r="FA94" s="181"/>
      <c r="FB94" s="181"/>
      <c r="FC94" s="181">
        <f>IFERROR(VLOOKUP(I94,CEI_092018!$A$1:$U$489,12,FALSE),0)</f>
        <v>398.80000638961792</v>
      </c>
      <c r="FD94" s="181">
        <f t="shared" si="58"/>
        <v>398.80000638961792</v>
      </c>
      <c r="FE94" s="181">
        <f t="shared" si="59"/>
        <v>6.1999936103820801</v>
      </c>
      <c r="FF94"/>
      <c r="FG94"/>
      <c r="FH94"/>
      <c r="FI94"/>
      <c r="FJ94"/>
      <c r="FK94"/>
      <c r="FL94"/>
      <c r="FM94"/>
      <c r="FN94"/>
      <c r="FO94"/>
      <c r="FP94"/>
      <c r="FQ94"/>
      <c r="FR94"/>
      <c r="FS94"/>
      <c r="FT94"/>
      <c r="FU94"/>
      <c r="FV94"/>
      <c r="FW94"/>
      <c r="FX94"/>
      <c r="FY94"/>
      <c r="FZ94"/>
      <c r="GA94"/>
      <c r="GB94"/>
      <c r="GC94"/>
    </row>
    <row r="95" spans="1:185" ht="12.95" customHeight="1" x14ac:dyDescent="0.25">
      <c r="A95" s="202"/>
      <c r="B95" s="22" t="s">
        <v>57</v>
      </c>
      <c r="C95" s="34" t="s">
        <v>40</v>
      </c>
      <c r="D95" s="23" t="s">
        <v>1661</v>
      </c>
      <c r="E95" s="34" t="s">
        <v>503</v>
      </c>
      <c r="F95" s="34" t="s">
        <v>1661</v>
      </c>
      <c r="G95" s="34" t="s">
        <v>503</v>
      </c>
      <c r="H95" s="23" t="s">
        <v>62</v>
      </c>
      <c r="I95" s="423" t="s">
        <v>1905</v>
      </c>
      <c r="J95" s="373" t="s">
        <v>1904</v>
      </c>
      <c r="K95" s="23" t="s">
        <v>1912</v>
      </c>
      <c r="L95" s="23" t="s">
        <v>1914</v>
      </c>
      <c r="M95" s="23" t="s">
        <v>1913</v>
      </c>
      <c r="N95" s="23"/>
      <c r="O95" s="2"/>
      <c r="P95" s="2"/>
      <c r="Q95" s="2">
        <v>12</v>
      </c>
      <c r="R95" s="2">
        <v>20</v>
      </c>
      <c r="S95" s="2">
        <v>21</v>
      </c>
      <c r="T95" s="116">
        <f t="shared" si="44"/>
        <v>53</v>
      </c>
      <c r="U95" s="324">
        <v>0</v>
      </c>
      <c r="V95" s="324"/>
      <c r="W95" s="324"/>
      <c r="X95" s="324">
        <v>110</v>
      </c>
      <c r="Y95" s="324"/>
      <c r="Z95" s="324"/>
      <c r="AA95" s="324"/>
      <c r="AB95" s="324"/>
      <c r="AC95" s="324"/>
      <c r="AD95" s="324"/>
      <c r="AE95" s="324"/>
      <c r="AF95" s="324"/>
      <c r="AG95" s="140">
        <f t="shared" si="45"/>
        <v>110</v>
      </c>
      <c r="AH95" s="324"/>
      <c r="AI95" s="324"/>
      <c r="AJ95" s="324"/>
      <c r="AK95" s="324"/>
      <c r="AL95" s="324"/>
      <c r="AM95" s="324"/>
      <c r="AN95" s="324"/>
      <c r="AO95" s="324"/>
      <c r="AP95" s="324"/>
      <c r="AQ95" s="324"/>
      <c r="AR95" s="324"/>
      <c r="AS95" s="324"/>
      <c r="AT95" s="140">
        <f t="shared" si="46"/>
        <v>0</v>
      </c>
      <c r="AU95" s="324"/>
      <c r="AV95" s="324"/>
      <c r="AW95" s="324"/>
      <c r="AX95" s="324"/>
      <c r="AY95" s="324"/>
      <c r="AZ95" s="324"/>
      <c r="BA95" s="324"/>
      <c r="BB95" s="324"/>
      <c r="BC95" s="324"/>
      <c r="BD95" s="324"/>
      <c r="BE95" s="324"/>
      <c r="BF95" s="324"/>
      <c r="BG95" s="140">
        <f t="shared" si="47"/>
        <v>0</v>
      </c>
      <c r="BH95" s="324"/>
      <c r="BI95" s="324"/>
      <c r="BJ95" s="324"/>
      <c r="BK95" s="324"/>
      <c r="BL95" s="324"/>
      <c r="BM95" s="324"/>
      <c r="BN95" s="324"/>
      <c r="BO95" s="324"/>
      <c r="BP95" s="324"/>
      <c r="BQ95" s="324"/>
      <c r="BR95" s="324"/>
      <c r="BS95" s="324"/>
      <c r="BT95" s="140">
        <f t="shared" si="48"/>
        <v>0</v>
      </c>
      <c r="BU95" s="114">
        <f t="shared" si="49"/>
        <v>163</v>
      </c>
      <c r="BV95" s="372">
        <v>1</v>
      </c>
      <c r="BW95" s="372">
        <v>1</v>
      </c>
      <c r="BX95" s="372">
        <v>1</v>
      </c>
      <c r="BY95" s="372">
        <v>-1</v>
      </c>
      <c r="BZ95" s="436">
        <f t="shared" si="64"/>
        <v>0</v>
      </c>
      <c r="CA95" s="428">
        <f>IFERROR((FD95/T95%),0)</f>
        <v>85.496471063146046</v>
      </c>
      <c r="CB95" s="7" t="s">
        <v>109</v>
      </c>
      <c r="CC95" s="3">
        <v>0</v>
      </c>
      <c r="CD95" s="3"/>
      <c r="CE95" s="3"/>
      <c r="CF95" s="3"/>
      <c r="CG95" s="3"/>
      <c r="CH95" s="3"/>
      <c r="CI95" s="3"/>
      <c r="CJ95" s="3"/>
      <c r="CK95" s="3">
        <v>1</v>
      </c>
      <c r="CL95" s="3">
        <v>25</v>
      </c>
      <c r="CM95" s="3"/>
      <c r="CN95" s="3"/>
      <c r="CO95" s="4">
        <f t="shared" si="52"/>
        <v>26</v>
      </c>
      <c r="CP95" s="3">
        <v>0</v>
      </c>
      <c r="CQ95" s="3"/>
      <c r="CR95" s="3"/>
      <c r="CS95" s="3"/>
      <c r="CT95" s="3"/>
      <c r="CU95" s="3"/>
      <c r="CV95" s="3"/>
      <c r="CW95" s="3"/>
      <c r="CX95" s="3"/>
      <c r="CY95" s="3"/>
      <c r="CZ95" s="3"/>
      <c r="DA95" s="3"/>
      <c r="DB95" s="4">
        <f t="shared" si="53"/>
        <v>0</v>
      </c>
      <c r="DC95" s="3">
        <v>0</v>
      </c>
      <c r="DD95" s="3"/>
      <c r="DE95" s="3"/>
      <c r="DF95" s="3"/>
      <c r="DG95" s="3"/>
      <c r="DH95" s="3"/>
      <c r="DI95" s="3"/>
      <c r="DJ95" s="3"/>
      <c r="DK95" s="3"/>
      <c r="DL95" s="3"/>
      <c r="DM95" s="3"/>
      <c r="DN95" s="3"/>
      <c r="DO95" s="4">
        <f t="shared" si="54"/>
        <v>0</v>
      </c>
      <c r="DP95" s="3"/>
      <c r="DQ95" s="3"/>
      <c r="DR95" s="3"/>
      <c r="DS95" s="3"/>
      <c r="DT95" s="3"/>
      <c r="DU95" s="3"/>
      <c r="DV95" s="3"/>
      <c r="DW95" s="3"/>
      <c r="DX95" s="3"/>
      <c r="DY95" s="3"/>
      <c r="DZ95" s="3"/>
      <c r="EA95" s="3"/>
      <c r="EB95" s="4">
        <f t="shared" si="55"/>
        <v>0</v>
      </c>
      <c r="EC95" s="3"/>
      <c r="ED95" s="3"/>
      <c r="EE95" s="3"/>
      <c r="EF95" s="3"/>
      <c r="EG95" s="3"/>
      <c r="EH95" s="3"/>
      <c r="EI95" s="3"/>
      <c r="EJ95" s="3"/>
      <c r="EK95" s="3"/>
      <c r="EL95" s="3"/>
      <c r="EM95" s="3"/>
      <c r="EN95" s="3"/>
      <c r="EO95" s="4">
        <f t="shared" si="56"/>
        <v>0</v>
      </c>
      <c r="EP95" s="8">
        <f t="shared" si="57"/>
        <v>26</v>
      </c>
      <c r="EQ95" s="181">
        <f>IFERROR(VLOOKUP(I95,CEI_012018!$A$1:$U$509,9,FALSE),0)</f>
        <v>0</v>
      </c>
      <c r="ER95" s="181">
        <f>IFERROR(VLOOKUP(I95,CEI_022018!$A$1:$U$509,9,FALSE),0)</f>
        <v>0</v>
      </c>
      <c r="ES95" s="181">
        <f>IFERROR(VLOOKUP(I95,CEI_032018!$A$1:$U$509,9,FALSE),0)</f>
        <v>0</v>
      </c>
      <c r="ET95" s="181">
        <f>IFERROR(VLOOKUP(I95,CEI_042018!$A$1:$U$491,9,FALSE),0)</f>
        <v>0</v>
      </c>
      <c r="EU95" s="181">
        <f>IFERROR(VLOOKUP(I95,CEI_052018!$A$1:$U$489,9,FALSE),0)</f>
        <v>0</v>
      </c>
      <c r="EV95" s="181">
        <f>IFERROR(VLOOKUP(I95,CEI_062018!$A$1:$U$489,9,FALSE),0)</f>
        <v>0</v>
      </c>
      <c r="EW95" s="181">
        <f>IFERROR(VLOOKUP(I95,CEI_072018!$A$1:$U$489,9,FALSE),0)</f>
        <v>0</v>
      </c>
      <c r="EX95" s="181">
        <f>IFERROR(VLOOKUP(I95,CEI_082018!$A$1:$U$489,9,FALSE),0)</f>
        <v>0</v>
      </c>
      <c r="EY95" s="181">
        <f>IFERROR(VLOOKUP(I95,CEI_092018!$A$1:$U$489,9,FALSE),0)</f>
        <v>0</v>
      </c>
      <c r="EZ95" s="181"/>
      <c r="FA95" s="181"/>
      <c r="FB95" s="181"/>
      <c r="FC95" s="181">
        <f>IFERROR(VLOOKUP(I95,CEI_092018!$A$1:$U$489,12,FALSE),0)</f>
        <v>45.313129663467407</v>
      </c>
      <c r="FD95" s="181">
        <f t="shared" si="58"/>
        <v>45.313129663467407</v>
      </c>
      <c r="FE95" s="181">
        <f t="shared" si="59"/>
        <v>7.6868703365325928</v>
      </c>
      <c r="FF95"/>
      <c r="FG95"/>
      <c r="FH95"/>
      <c r="FI95"/>
      <c r="FJ95"/>
      <c r="FK95"/>
      <c r="FL95"/>
      <c r="FM95"/>
      <c r="FN95"/>
      <c r="FO95"/>
      <c r="FP95"/>
      <c r="FQ95"/>
      <c r="FR95"/>
      <c r="FS95"/>
      <c r="FT95"/>
      <c r="FU95"/>
      <c r="FV95"/>
      <c r="FW95"/>
      <c r="FX95"/>
      <c r="FY95"/>
      <c r="FZ95"/>
      <c r="GA95"/>
      <c r="GB95"/>
      <c r="GC95"/>
    </row>
    <row r="96" spans="1:185" ht="12.95" customHeight="1" x14ac:dyDescent="0.25">
      <c r="A96" s="202"/>
      <c r="B96" s="22" t="s">
        <v>57</v>
      </c>
      <c r="C96" s="34" t="s">
        <v>40</v>
      </c>
      <c r="D96" s="22" t="s">
        <v>61</v>
      </c>
      <c r="E96" s="25" t="s">
        <v>1542</v>
      </c>
      <c r="F96" s="25" t="s">
        <v>61</v>
      </c>
      <c r="G96" s="25" t="s">
        <v>1542</v>
      </c>
      <c r="H96" s="22" t="s">
        <v>226</v>
      </c>
      <c r="I96" s="423" t="s">
        <v>565</v>
      </c>
      <c r="J96" s="37"/>
      <c r="K96" s="23" t="s">
        <v>1571</v>
      </c>
      <c r="L96" s="23" t="s">
        <v>1571</v>
      </c>
      <c r="M96" s="23"/>
      <c r="N96" s="23"/>
      <c r="O96" s="2"/>
      <c r="P96" s="2"/>
      <c r="Q96" s="2"/>
      <c r="R96" s="2"/>
      <c r="S96" s="2"/>
      <c r="T96" s="116">
        <f t="shared" si="44"/>
        <v>0</v>
      </c>
      <c r="U96" s="324"/>
      <c r="V96" s="324"/>
      <c r="W96" s="324"/>
      <c r="X96" s="324"/>
      <c r="Y96" s="324"/>
      <c r="Z96" s="324"/>
      <c r="AA96" s="324"/>
      <c r="AB96" s="324"/>
      <c r="AC96" s="324"/>
      <c r="AD96" s="324"/>
      <c r="AE96" s="324"/>
      <c r="AF96" s="324">
        <f>162-24</f>
        <v>138</v>
      </c>
      <c r="AG96" s="140">
        <f t="shared" si="45"/>
        <v>138</v>
      </c>
      <c r="AH96" s="324"/>
      <c r="AI96" s="324"/>
      <c r="AJ96" s="324"/>
      <c r="AK96" s="324"/>
      <c r="AL96" s="324"/>
      <c r="AM96" s="324"/>
      <c r="AN96" s="324"/>
      <c r="AO96" s="324"/>
      <c r="AP96" s="324"/>
      <c r="AQ96" s="324"/>
      <c r="AR96" s="324"/>
      <c r="AS96" s="324"/>
      <c r="AT96" s="140">
        <f t="shared" si="46"/>
        <v>0</v>
      </c>
      <c r="AU96" s="324"/>
      <c r="AV96" s="324"/>
      <c r="AW96" s="324"/>
      <c r="AX96" s="324"/>
      <c r="AY96" s="324"/>
      <c r="AZ96" s="324"/>
      <c r="BA96" s="324"/>
      <c r="BB96" s="324"/>
      <c r="BC96" s="324"/>
      <c r="BD96" s="324"/>
      <c r="BE96" s="324"/>
      <c r="BF96" s="324"/>
      <c r="BG96" s="140">
        <f t="shared" si="47"/>
        <v>0</v>
      </c>
      <c r="BH96" s="324"/>
      <c r="BI96" s="324"/>
      <c r="BJ96" s="324"/>
      <c r="BK96" s="324"/>
      <c r="BL96" s="324"/>
      <c r="BM96" s="324"/>
      <c r="BN96" s="324"/>
      <c r="BO96" s="324"/>
      <c r="BP96" s="324"/>
      <c r="BQ96" s="324"/>
      <c r="BR96" s="324"/>
      <c r="BS96" s="324"/>
      <c r="BT96" s="140">
        <f t="shared" si="48"/>
        <v>0</v>
      </c>
      <c r="BU96" s="114">
        <f t="shared" si="49"/>
        <v>138</v>
      </c>
      <c r="BV96" s="432"/>
      <c r="BW96" s="432"/>
      <c r="BX96" s="432"/>
      <c r="BY96" s="432"/>
      <c r="BZ96" s="433"/>
      <c r="CA96" s="434"/>
      <c r="CB96" s="7"/>
      <c r="CC96" s="3"/>
      <c r="CD96" s="3"/>
      <c r="CE96" s="3"/>
      <c r="CF96" s="3"/>
      <c r="CG96" s="3"/>
      <c r="CH96" s="3"/>
      <c r="CI96" s="3"/>
      <c r="CJ96" s="3"/>
      <c r="CK96" s="3"/>
      <c r="CL96" s="3"/>
      <c r="CM96" s="3"/>
      <c r="CN96" s="3"/>
      <c r="CO96" s="4">
        <f t="shared" si="52"/>
        <v>0</v>
      </c>
      <c r="CP96" s="3"/>
      <c r="CQ96" s="3"/>
      <c r="CR96" s="3"/>
      <c r="CS96" s="3"/>
      <c r="CT96" s="3"/>
      <c r="CU96" s="3"/>
      <c r="CV96" s="3"/>
      <c r="CW96" s="3"/>
      <c r="CX96" s="3"/>
      <c r="CY96" s="3"/>
      <c r="CZ96" s="3"/>
      <c r="DA96" s="3"/>
      <c r="DB96" s="4">
        <f t="shared" si="53"/>
        <v>0</v>
      </c>
      <c r="DC96" s="3"/>
      <c r="DD96" s="3"/>
      <c r="DE96" s="3"/>
      <c r="DF96" s="3"/>
      <c r="DG96" s="3"/>
      <c r="DH96" s="3"/>
      <c r="DI96" s="3"/>
      <c r="DJ96" s="3"/>
      <c r="DK96" s="3"/>
      <c r="DL96" s="3"/>
      <c r="DM96" s="3"/>
      <c r="DN96" s="3"/>
      <c r="DO96" s="4">
        <f t="shared" si="54"/>
        <v>0</v>
      </c>
      <c r="DP96" s="3"/>
      <c r="DQ96" s="3"/>
      <c r="DR96" s="3"/>
      <c r="DS96" s="3"/>
      <c r="DT96" s="3"/>
      <c r="DU96" s="3"/>
      <c r="DV96" s="3"/>
      <c r="DW96" s="3"/>
      <c r="DX96" s="3"/>
      <c r="DY96" s="3"/>
      <c r="DZ96" s="3"/>
      <c r="EA96" s="3"/>
      <c r="EB96" s="4">
        <f t="shared" si="55"/>
        <v>0</v>
      </c>
      <c r="EC96" s="3"/>
      <c r="ED96" s="3"/>
      <c r="EE96" s="3"/>
      <c r="EF96" s="3"/>
      <c r="EG96" s="3"/>
      <c r="EH96" s="3"/>
      <c r="EI96" s="3"/>
      <c r="EJ96" s="3"/>
      <c r="EK96" s="3"/>
      <c r="EL96" s="3"/>
      <c r="EM96" s="3"/>
      <c r="EN96" s="3"/>
      <c r="EO96" s="4">
        <f t="shared" si="56"/>
        <v>0</v>
      </c>
      <c r="EP96" s="8">
        <f t="shared" si="57"/>
        <v>0</v>
      </c>
      <c r="EQ96" s="181">
        <f>IFERROR(VLOOKUP(I96,CEI_012018!$A$1:$U$509,9,FALSE),0)</f>
        <v>0</v>
      </c>
      <c r="ER96" s="181">
        <f>IFERROR(VLOOKUP(I96,CEI_022018!$A$1:$U$509,9,FALSE),0)</f>
        <v>0</v>
      </c>
      <c r="ES96" s="181">
        <f>IFERROR(VLOOKUP(I96,CEI_032018!$A$1:$U$509,9,FALSE),0)</f>
        <v>0</v>
      </c>
      <c r="ET96" s="181">
        <f>IFERROR(VLOOKUP(I96,CEI_042018!$A$1:$U$491,9,FALSE),0)</f>
        <v>0</v>
      </c>
      <c r="EU96" s="181">
        <f>IFERROR(VLOOKUP(I96,CEI_052018!$A$1:$U$489,9,FALSE),0)</f>
        <v>0</v>
      </c>
      <c r="EV96" s="181">
        <f>IFERROR(VLOOKUP(I96,CEI_062018!$A$1:$U$489,9,FALSE),0)</f>
        <v>0</v>
      </c>
      <c r="EW96" s="181">
        <f>IFERROR(VLOOKUP(I96,CEI_072018!$A$1:$U$489,9,FALSE),0)</f>
        <v>0</v>
      </c>
      <c r="EX96" s="181">
        <f>IFERROR(VLOOKUP(I96,CEI_082018!$A$1:$U$489,9,FALSE),0)</f>
        <v>0</v>
      </c>
      <c r="EY96" s="181">
        <f>IFERROR(VLOOKUP(I96,CEI_092018!$A$1:$U$489,9,FALSE),0)</f>
        <v>0</v>
      </c>
      <c r="EZ96" s="181"/>
      <c r="FA96" s="181"/>
      <c r="FB96" s="181"/>
      <c r="FC96" s="181">
        <f>IFERROR(VLOOKUP(I96,CEI_092018!$A$1:$U$489,12,FALSE),0)</f>
        <v>0</v>
      </c>
      <c r="FD96" s="181">
        <f t="shared" si="58"/>
        <v>0</v>
      </c>
      <c r="FE96" s="181">
        <f t="shared" si="59"/>
        <v>0</v>
      </c>
      <c r="FF96"/>
      <c r="FG96"/>
      <c r="FH96"/>
      <c r="FI96"/>
      <c r="FJ96"/>
      <c r="FK96"/>
      <c r="FL96"/>
      <c r="FM96"/>
      <c r="FN96"/>
      <c r="FO96"/>
      <c r="FP96"/>
      <c r="FQ96"/>
      <c r="FR96"/>
      <c r="FS96"/>
      <c r="FT96"/>
      <c r="FU96"/>
      <c r="FV96"/>
      <c r="FW96"/>
      <c r="FX96"/>
      <c r="FY96"/>
      <c r="FZ96"/>
      <c r="GA96"/>
      <c r="GB96"/>
      <c r="GC96"/>
    </row>
    <row r="97" spans="1:185" ht="12.95" customHeight="1" x14ac:dyDescent="0.25">
      <c r="A97" s="202"/>
      <c r="B97" s="329" t="s">
        <v>57</v>
      </c>
      <c r="C97" s="330" t="s">
        <v>40</v>
      </c>
      <c r="D97" s="94" t="s">
        <v>1900</v>
      </c>
      <c r="E97" s="94" t="s">
        <v>1899</v>
      </c>
      <c r="F97" s="330" t="s">
        <v>1900</v>
      </c>
      <c r="G97" s="330" t="s">
        <v>489</v>
      </c>
      <c r="H97" s="94" t="s">
        <v>62</v>
      </c>
      <c r="I97" s="423" t="s">
        <v>1898</v>
      </c>
      <c r="J97" s="423" t="s">
        <v>1897</v>
      </c>
      <c r="K97" s="94" t="s">
        <v>1903</v>
      </c>
      <c r="L97" s="23" t="s">
        <v>1901</v>
      </c>
      <c r="M97" s="23" t="s">
        <v>1902</v>
      </c>
      <c r="N97" s="23"/>
      <c r="O97" s="2"/>
      <c r="P97" s="2"/>
      <c r="Q97" s="2"/>
      <c r="R97" s="2">
        <v>74</v>
      </c>
      <c r="S97" s="2">
        <v>75</v>
      </c>
      <c r="T97" s="116">
        <f t="shared" si="44"/>
        <v>149</v>
      </c>
      <c r="U97" s="324"/>
      <c r="V97" s="324"/>
      <c r="W97" s="324"/>
      <c r="X97" s="324"/>
      <c r="Y97" s="324"/>
      <c r="Z97" s="324"/>
      <c r="AA97" s="324"/>
      <c r="AB97" s="324"/>
      <c r="AC97" s="324"/>
      <c r="AD97" s="324"/>
      <c r="AE97" s="324"/>
      <c r="AF97" s="324"/>
      <c r="AG97" s="140">
        <f t="shared" si="45"/>
        <v>0</v>
      </c>
      <c r="AH97" s="324"/>
      <c r="AI97" s="324"/>
      <c r="AJ97" s="324"/>
      <c r="AK97" s="324"/>
      <c r="AL97" s="324"/>
      <c r="AM97" s="324"/>
      <c r="AN97" s="324"/>
      <c r="AO97" s="324"/>
      <c r="AP97" s="324"/>
      <c r="AQ97" s="324"/>
      <c r="AR97" s="324"/>
      <c r="AS97" s="324"/>
      <c r="AT97" s="140">
        <f t="shared" si="46"/>
        <v>0</v>
      </c>
      <c r="AU97" s="324"/>
      <c r="AV97" s="324"/>
      <c r="AW97" s="324"/>
      <c r="AX97" s="324"/>
      <c r="AY97" s="324"/>
      <c r="AZ97" s="324"/>
      <c r="BA97" s="324"/>
      <c r="BB97" s="324"/>
      <c r="BC97" s="324"/>
      <c r="BD97" s="324"/>
      <c r="BE97" s="324"/>
      <c r="BF97" s="324"/>
      <c r="BG97" s="140">
        <f t="shared" si="47"/>
        <v>0</v>
      </c>
      <c r="BH97" s="324"/>
      <c r="BI97" s="324"/>
      <c r="BJ97" s="324"/>
      <c r="BK97" s="324"/>
      <c r="BL97" s="324"/>
      <c r="BM97" s="324"/>
      <c r="BN97" s="324"/>
      <c r="BO97" s="324"/>
      <c r="BP97" s="324"/>
      <c r="BQ97" s="324"/>
      <c r="BR97" s="324"/>
      <c r="BS97" s="324"/>
      <c r="BT97" s="140">
        <f t="shared" si="48"/>
        <v>0</v>
      </c>
      <c r="BU97" s="114">
        <f t="shared" si="49"/>
        <v>149</v>
      </c>
      <c r="BV97" s="372">
        <v>1</v>
      </c>
      <c r="BW97" s="372">
        <v>1</v>
      </c>
      <c r="BX97" s="372">
        <v>1</v>
      </c>
      <c r="BY97" s="372">
        <v>-1</v>
      </c>
      <c r="BZ97" s="436">
        <f>IFERROR((EX97/T97%),0)</f>
        <v>0</v>
      </c>
      <c r="CA97" s="428">
        <f>IFERROR((FD97/T97%),0)</f>
        <v>92.414497529100245</v>
      </c>
      <c r="CB97" s="7" t="s">
        <v>109</v>
      </c>
      <c r="CC97" s="3">
        <v>0</v>
      </c>
      <c r="CD97" s="3"/>
      <c r="CE97" s="3"/>
      <c r="CF97" s="3"/>
      <c r="CG97" s="3"/>
      <c r="CH97" s="3"/>
      <c r="CI97" s="3"/>
      <c r="CJ97" s="3">
        <v>9</v>
      </c>
      <c r="CK97" s="3"/>
      <c r="CL97" s="3">
        <v>7</v>
      </c>
      <c r="CM97" s="3"/>
      <c r="CN97" s="3">
        <v>2</v>
      </c>
      <c r="CO97" s="4">
        <f t="shared" si="52"/>
        <v>18</v>
      </c>
      <c r="CP97" s="3"/>
      <c r="CQ97" s="3"/>
      <c r="CR97" s="3"/>
      <c r="CS97" s="3"/>
      <c r="CT97" s="3"/>
      <c r="CU97" s="3"/>
      <c r="CV97" s="3"/>
      <c r="CW97" s="3"/>
      <c r="CX97" s="3"/>
      <c r="CY97" s="3"/>
      <c r="CZ97" s="3"/>
      <c r="DA97" s="3"/>
      <c r="DB97" s="4">
        <f t="shared" si="53"/>
        <v>0</v>
      </c>
      <c r="DC97" s="3"/>
      <c r="DD97" s="3"/>
      <c r="DE97" s="3"/>
      <c r="DF97" s="3"/>
      <c r="DG97" s="3"/>
      <c r="DH97" s="3"/>
      <c r="DI97" s="3"/>
      <c r="DJ97" s="3"/>
      <c r="DK97" s="3"/>
      <c r="DL97" s="3"/>
      <c r="DM97" s="3"/>
      <c r="DN97" s="3"/>
      <c r="DO97" s="4">
        <f t="shared" si="54"/>
        <v>0</v>
      </c>
      <c r="DP97" s="3"/>
      <c r="DQ97" s="3"/>
      <c r="DR97" s="3"/>
      <c r="DS97" s="3"/>
      <c r="DT97" s="3"/>
      <c r="DU97" s="3"/>
      <c r="DV97" s="3"/>
      <c r="DW97" s="3"/>
      <c r="DX97" s="3"/>
      <c r="DY97" s="3"/>
      <c r="DZ97" s="3"/>
      <c r="EA97" s="3"/>
      <c r="EB97" s="4">
        <f t="shared" si="55"/>
        <v>0</v>
      </c>
      <c r="EC97" s="3"/>
      <c r="ED97" s="3"/>
      <c r="EE97" s="3"/>
      <c r="EF97" s="3"/>
      <c r="EG97" s="3"/>
      <c r="EH97" s="3"/>
      <c r="EI97" s="3"/>
      <c r="EJ97" s="3"/>
      <c r="EK97" s="3"/>
      <c r="EL97" s="3"/>
      <c r="EM97" s="3"/>
      <c r="EN97" s="3"/>
      <c r="EO97" s="4">
        <f t="shared" si="56"/>
        <v>0</v>
      </c>
      <c r="EP97" s="8">
        <f t="shared" si="57"/>
        <v>18</v>
      </c>
      <c r="EQ97" s="181">
        <f>IFERROR(VLOOKUP(I97,CEI_012018!$A$1:$U$509,9,FALSE),0)</f>
        <v>0</v>
      </c>
      <c r="ER97" s="181">
        <f>IFERROR(VLOOKUP(I97,CEI_022018!$A$1:$U$509,9,FALSE),0)</f>
        <v>0</v>
      </c>
      <c r="ES97" s="181">
        <f>IFERROR(VLOOKUP(I97,CEI_032018!$A$1:$U$509,9,FALSE),0)</f>
        <v>0</v>
      </c>
      <c r="ET97" s="181">
        <f>IFERROR(VLOOKUP(I97,CEI_042018!$A$1:$U$491,9,FALSE),0)</f>
        <v>0</v>
      </c>
      <c r="EU97" s="181">
        <f>IFERROR(VLOOKUP(I97,CEI_052018!$A$1:$U$489,9,FALSE),0)</f>
        <v>0</v>
      </c>
      <c r="EV97" s="181">
        <f>IFERROR(VLOOKUP(I97,CEI_062018!$A$1:$U$489,9,FALSE),0)</f>
        <v>0</v>
      </c>
      <c r="EW97" s="181">
        <f>IFERROR(VLOOKUP(I97,CEI_072018!$A$1:$U$489,9,FALSE),0)</f>
        <v>0</v>
      </c>
      <c r="EX97" s="181">
        <f>IFERROR(VLOOKUP(I97,CEI_082018!$A$1:$U$489,9,FALSE),0)</f>
        <v>0</v>
      </c>
      <c r="EY97" s="181">
        <f>IFERROR(VLOOKUP(I97,CEI_092018!$A$1:$U$489,9,FALSE),0)</f>
        <v>0</v>
      </c>
      <c r="EZ97" s="181"/>
      <c r="FA97" s="181"/>
      <c r="FB97" s="181"/>
      <c r="FC97" s="181">
        <f>IFERROR(VLOOKUP(I97,CEI_092018!$A$1:$U$489,12,FALSE),0)</f>
        <v>137.69760131835937</v>
      </c>
      <c r="FD97" s="181">
        <f t="shared" si="58"/>
        <v>137.69760131835937</v>
      </c>
      <c r="FE97" s="181">
        <f t="shared" si="59"/>
        <v>11.302398681640625</v>
      </c>
      <c r="FF97"/>
      <c r="FG97"/>
      <c r="FH97"/>
      <c r="FI97"/>
      <c r="FJ97"/>
      <c r="FK97"/>
      <c r="FL97"/>
      <c r="FM97"/>
      <c r="FN97"/>
      <c r="FO97"/>
      <c r="FP97"/>
      <c r="FQ97"/>
      <c r="FR97"/>
      <c r="FS97"/>
      <c r="FT97"/>
      <c r="FU97"/>
      <c r="FV97"/>
      <c r="FW97"/>
      <c r="FX97"/>
      <c r="FY97"/>
      <c r="FZ97"/>
      <c r="GA97"/>
      <c r="GB97"/>
      <c r="GC97"/>
    </row>
    <row r="98" spans="1:185" ht="12.95" customHeight="1" x14ac:dyDescent="0.25">
      <c r="A98" s="202"/>
      <c r="B98" s="22" t="s">
        <v>57</v>
      </c>
      <c r="C98" s="34" t="s">
        <v>40</v>
      </c>
      <c r="D98" s="22" t="s">
        <v>61</v>
      </c>
      <c r="E98" s="25" t="s">
        <v>227</v>
      </c>
      <c r="F98" s="25" t="s">
        <v>61</v>
      </c>
      <c r="G98" s="25" t="s">
        <v>227</v>
      </c>
      <c r="H98" s="22" t="s">
        <v>226</v>
      </c>
      <c r="I98" s="423" t="s">
        <v>565</v>
      </c>
      <c r="J98" s="37"/>
      <c r="K98" s="23" t="s">
        <v>237</v>
      </c>
      <c r="L98" s="23" t="s">
        <v>238</v>
      </c>
      <c r="M98" s="23" t="s">
        <v>236</v>
      </c>
      <c r="N98" s="23"/>
      <c r="O98" s="2"/>
      <c r="P98" s="2"/>
      <c r="Q98" s="2"/>
      <c r="R98" s="2"/>
      <c r="S98" s="2"/>
      <c r="T98" s="116">
        <f t="shared" si="44"/>
        <v>0</v>
      </c>
      <c r="U98" s="324"/>
      <c r="V98" s="324"/>
      <c r="W98" s="324"/>
      <c r="X98" s="324"/>
      <c r="Y98" s="324"/>
      <c r="Z98" s="324"/>
      <c r="AA98" s="324"/>
      <c r="AB98" s="324"/>
      <c r="AC98" s="324"/>
      <c r="AD98" s="324"/>
      <c r="AE98" s="324"/>
      <c r="AF98" s="324">
        <v>33</v>
      </c>
      <c r="AG98" s="140">
        <f t="shared" si="45"/>
        <v>33</v>
      </c>
      <c r="AH98" s="324"/>
      <c r="AI98" s="324"/>
      <c r="AJ98" s="324"/>
      <c r="AK98" s="324"/>
      <c r="AL98" s="324"/>
      <c r="AM98" s="324"/>
      <c r="AN98" s="324"/>
      <c r="AO98" s="324"/>
      <c r="AP98" s="324"/>
      <c r="AQ98" s="324"/>
      <c r="AR98" s="324"/>
      <c r="AS98" s="324"/>
      <c r="AT98" s="140">
        <f t="shared" si="46"/>
        <v>0</v>
      </c>
      <c r="AU98" s="324"/>
      <c r="AV98" s="324"/>
      <c r="AW98" s="324"/>
      <c r="AX98" s="324"/>
      <c r="AY98" s="324"/>
      <c r="AZ98" s="324"/>
      <c r="BA98" s="324"/>
      <c r="BB98" s="324"/>
      <c r="BC98" s="324"/>
      <c r="BD98" s="324"/>
      <c r="BE98" s="324"/>
      <c r="BF98" s="324"/>
      <c r="BG98" s="140">
        <f t="shared" si="47"/>
        <v>0</v>
      </c>
      <c r="BH98" s="324"/>
      <c r="BI98" s="324"/>
      <c r="BJ98" s="324"/>
      <c r="BK98" s="324"/>
      <c r="BL98" s="324"/>
      <c r="BM98" s="324"/>
      <c r="BN98" s="324"/>
      <c r="BO98" s="324"/>
      <c r="BP98" s="324"/>
      <c r="BQ98" s="324"/>
      <c r="BR98" s="324"/>
      <c r="BS98" s="324"/>
      <c r="BT98" s="140">
        <f t="shared" si="48"/>
        <v>0</v>
      </c>
      <c r="BU98" s="114">
        <f t="shared" si="49"/>
        <v>33</v>
      </c>
      <c r="BV98" s="432"/>
      <c r="BW98" s="432"/>
      <c r="BX98" s="432"/>
      <c r="BY98" s="432"/>
      <c r="BZ98" s="433"/>
      <c r="CA98" s="434"/>
      <c r="CB98" s="7" t="s">
        <v>73</v>
      </c>
      <c r="CC98" s="3"/>
      <c r="CD98" s="3"/>
      <c r="CE98" s="3"/>
      <c r="CF98" s="3"/>
      <c r="CG98" s="3"/>
      <c r="CH98" s="3"/>
      <c r="CI98" s="3"/>
      <c r="CJ98" s="3"/>
      <c r="CK98" s="3"/>
      <c r="CL98" s="3"/>
      <c r="CM98" s="3"/>
      <c r="CN98" s="3"/>
      <c r="CO98" s="4">
        <f t="shared" si="52"/>
        <v>0</v>
      </c>
      <c r="CP98" s="3"/>
      <c r="CQ98" s="3"/>
      <c r="CR98" s="3"/>
      <c r="CS98" s="3"/>
      <c r="CT98" s="3"/>
      <c r="CU98" s="3"/>
      <c r="CV98" s="3"/>
      <c r="CW98" s="3"/>
      <c r="CX98" s="3"/>
      <c r="CY98" s="3"/>
      <c r="CZ98" s="3"/>
      <c r="DA98" s="3">
        <v>1</v>
      </c>
      <c r="DB98" s="4">
        <f t="shared" si="53"/>
        <v>1</v>
      </c>
      <c r="DC98" s="3"/>
      <c r="DD98" s="3"/>
      <c r="DE98" s="3"/>
      <c r="DF98" s="3"/>
      <c r="DG98" s="3"/>
      <c r="DH98" s="3"/>
      <c r="DI98" s="3"/>
      <c r="DJ98" s="3"/>
      <c r="DK98" s="3"/>
      <c r="DL98" s="3"/>
      <c r="DM98" s="3"/>
      <c r="DN98" s="3"/>
      <c r="DO98" s="4">
        <f t="shared" si="54"/>
        <v>0</v>
      </c>
      <c r="DP98" s="3"/>
      <c r="DQ98" s="3"/>
      <c r="DR98" s="3"/>
      <c r="DS98" s="3"/>
      <c r="DT98" s="3"/>
      <c r="DU98" s="3"/>
      <c r="DV98" s="3"/>
      <c r="DW98" s="3"/>
      <c r="DX98" s="3"/>
      <c r="DY98" s="3"/>
      <c r="DZ98" s="3"/>
      <c r="EA98" s="3"/>
      <c r="EB98" s="4">
        <f t="shared" si="55"/>
        <v>0</v>
      </c>
      <c r="EC98" s="3"/>
      <c r="ED98" s="3"/>
      <c r="EE98" s="3"/>
      <c r="EF98" s="3"/>
      <c r="EG98" s="3"/>
      <c r="EH98" s="3"/>
      <c r="EI98" s="3"/>
      <c r="EJ98" s="3"/>
      <c r="EK98" s="3"/>
      <c r="EL98" s="3"/>
      <c r="EM98" s="3"/>
      <c r="EN98" s="3"/>
      <c r="EO98" s="4">
        <f t="shared" si="56"/>
        <v>0</v>
      </c>
      <c r="EP98" s="8">
        <f t="shared" si="57"/>
        <v>1</v>
      </c>
      <c r="EQ98" s="181">
        <f>IFERROR(VLOOKUP(I98,CEI_012018!$A$1:$U$509,9,FALSE),0)</f>
        <v>0</v>
      </c>
      <c r="ER98" s="181">
        <f>IFERROR(VLOOKUP(I98,CEI_022018!$A$1:$U$509,9,FALSE),0)</f>
        <v>0</v>
      </c>
      <c r="ES98" s="181">
        <f>IFERROR(VLOOKUP(I98,CEI_032018!$A$1:$U$509,9,FALSE),0)</f>
        <v>0</v>
      </c>
      <c r="ET98" s="181">
        <f>IFERROR(VLOOKUP(I98,CEI_042018!$A$1:$U$491,9,FALSE),0)</f>
        <v>0</v>
      </c>
      <c r="EU98" s="181">
        <f>IFERROR(VLOOKUP(I98,CEI_052018!$A$1:$U$489,9,FALSE),0)</f>
        <v>0</v>
      </c>
      <c r="EV98" s="181">
        <f>IFERROR(VLOOKUP(I98,CEI_062018!$A$1:$U$489,9,FALSE),0)</f>
        <v>0</v>
      </c>
      <c r="EW98" s="181">
        <f>IFERROR(VLOOKUP(I98,CEI_072018!$A$1:$U$489,9,FALSE),0)</f>
        <v>0</v>
      </c>
      <c r="EX98" s="181">
        <f>IFERROR(VLOOKUP(I98,CEI_082018!$A$1:$U$489,9,FALSE),0)</f>
        <v>0</v>
      </c>
      <c r="EY98" s="181">
        <f>IFERROR(VLOOKUP(I98,CEI_092018!$A$1:$U$489,9,FALSE),0)</f>
        <v>0</v>
      </c>
      <c r="EZ98" s="181"/>
      <c r="FA98" s="181"/>
      <c r="FB98" s="181"/>
      <c r="FC98" s="181">
        <f>IFERROR(VLOOKUP(I98,CEI_092018!$A$1:$U$489,12,FALSE),0)</f>
        <v>0</v>
      </c>
      <c r="FD98" s="181">
        <f t="shared" si="58"/>
        <v>0</v>
      </c>
      <c r="FE98" s="181">
        <f t="shared" si="59"/>
        <v>0</v>
      </c>
      <c r="FF98"/>
      <c r="FG98"/>
      <c r="FH98"/>
      <c r="FI98"/>
      <c r="FJ98"/>
      <c r="FK98"/>
      <c r="FL98"/>
      <c r="FM98"/>
      <c r="FN98"/>
      <c r="FO98"/>
      <c r="FP98"/>
      <c r="FQ98"/>
      <c r="FR98"/>
      <c r="FS98"/>
      <c r="FT98"/>
      <c r="FU98"/>
      <c r="FV98"/>
      <c r="FW98"/>
      <c r="FX98"/>
      <c r="FY98"/>
      <c r="FZ98"/>
      <c r="GA98"/>
      <c r="GB98"/>
      <c r="GC98"/>
    </row>
    <row r="99" spans="1:185" ht="12.95" customHeight="1" x14ac:dyDescent="0.25">
      <c r="A99" s="202"/>
      <c r="B99" s="22" t="s">
        <v>57</v>
      </c>
      <c r="C99" s="34" t="s">
        <v>40</v>
      </c>
      <c r="D99" s="22" t="s">
        <v>61</v>
      </c>
      <c r="E99" s="25" t="s">
        <v>233</v>
      </c>
      <c r="F99" s="25" t="s">
        <v>61</v>
      </c>
      <c r="G99" s="25" t="s">
        <v>233</v>
      </c>
      <c r="H99" s="22" t="s">
        <v>226</v>
      </c>
      <c r="I99" s="423" t="s">
        <v>565</v>
      </c>
      <c r="J99" s="37"/>
      <c r="K99" s="23" t="s">
        <v>234</v>
      </c>
      <c r="L99" s="23" t="s">
        <v>235</v>
      </c>
      <c r="M99" s="23" t="s">
        <v>236</v>
      </c>
      <c r="N99" s="23"/>
      <c r="O99" s="2"/>
      <c r="P99" s="2"/>
      <c r="Q99" s="2"/>
      <c r="R99" s="2"/>
      <c r="S99" s="2"/>
      <c r="T99" s="116">
        <f t="shared" si="44"/>
        <v>0</v>
      </c>
      <c r="U99" s="324"/>
      <c r="V99" s="324"/>
      <c r="W99" s="324"/>
      <c r="X99" s="324"/>
      <c r="Y99" s="324"/>
      <c r="Z99" s="324"/>
      <c r="AA99" s="324"/>
      <c r="AB99" s="324"/>
      <c r="AC99" s="324"/>
      <c r="AD99" s="324"/>
      <c r="AE99" s="324"/>
      <c r="AF99" s="324"/>
      <c r="AG99" s="140">
        <f t="shared" si="45"/>
        <v>0</v>
      </c>
      <c r="AH99" s="324"/>
      <c r="AI99" s="324"/>
      <c r="AJ99" s="324"/>
      <c r="AK99" s="324"/>
      <c r="AL99" s="324"/>
      <c r="AM99" s="324"/>
      <c r="AN99" s="324"/>
      <c r="AO99" s="324"/>
      <c r="AP99" s="324"/>
      <c r="AQ99" s="324"/>
      <c r="AR99" s="324"/>
      <c r="AS99" s="324">
        <v>30</v>
      </c>
      <c r="AT99" s="140">
        <f t="shared" si="46"/>
        <v>30</v>
      </c>
      <c r="AU99" s="324"/>
      <c r="AV99" s="324"/>
      <c r="AW99" s="324"/>
      <c r="AX99" s="324"/>
      <c r="AY99" s="324"/>
      <c r="AZ99" s="324"/>
      <c r="BA99" s="324"/>
      <c r="BB99" s="324"/>
      <c r="BC99" s="324"/>
      <c r="BD99" s="324"/>
      <c r="BE99" s="324"/>
      <c r="BF99" s="324"/>
      <c r="BG99" s="140">
        <f t="shared" si="47"/>
        <v>0</v>
      </c>
      <c r="BH99" s="324"/>
      <c r="BI99" s="324"/>
      <c r="BJ99" s="324"/>
      <c r="BK99" s="324"/>
      <c r="BL99" s="324"/>
      <c r="BM99" s="324"/>
      <c r="BN99" s="324"/>
      <c r="BO99" s="324"/>
      <c r="BP99" s="324"/>
      <c r="BQ99" s="324"/>
      <c r="BR99" s="324"/>
      <c r="BS99" s="324"/>
      <c r="BT99" s="140">
        <f t="shared" si="48"/>
        <v>0</v>
      </c>
      <c r="BU99" s="114">
        <f t="shared" si="49"/>
        <v>30</v>
      </c>
      <c r="BV99" s="432"/>
      <c r="BW99" s="432"/>
      <c r="BX99" s="432"/>
      <c r="BY99" s="432"/>
      <c r="BZ99" s="433"/>
      <c r="CA99" s="434"/>
      <c r="CB99" s="7" t="s">
        <v>73</v>
      </c>
      <c r="CC99" s="3"/>
      <c r="CD99" s="3"/>
      <c r="CE99" s="3"/>
      <c r="CF99" s="3"/>
      <c r="CG99" s="3"/>
      <c r="CH99" s="3"/>
      <c r="CI99" s="3"/>
      <c r="CJ99" s="3"/>
      <c r="CK99" s="3"/>
      <c r="CL99" s="3"/>
      <c r="CM99" s="3"/>
      <c r="CN99" s="3"/>
      <c r="CO99" s="4">
        <f t="shared" si="52"/>
        <v>0</v>
      </c>
      <c r="CP99" s="3"/>
      <c r="CQ99" s="3"/>
      <c r="CR99" s="3"/>
      <c r="CS99" s="3"/>
      <c r="CT99" s="3"/>
      <c r="CU99" s="3"/>
      <c r="CV99" s="3"/>
      <c r="CW99" s="3"/>
      <c r="CX99" s="3"/>
      <c r="CY99" s="3"/>
      <c r="CZ99" s="3"/>
      <c r="DA99" s="3"/>
      <c r="DB99" s="4">
        <f t="shared" si="53"/>
        <v>0</v>
      </c>
      <c r="DC99" s="3"/>
      <c r="DD99" s="3"/>
      <c r="DE99" s="3"/>
      <c r="DF99" s="3"/>
      <c r="DG99" s="3"/>
      <c r="DH99" s="3"/>
      <c r="DI99" s="3"/>
      <c r="DJ99" s="3"/>
      <c r="DK99" s="3"/>
      <c r="DL99" s="3"/>
      <c r="DM99" s="3"/>
      <c r="DN99" s="3">
        <v>1</v>
      </c>
      <c r="DO99" s="4">
        <f t="shared" si="54"/>
        <v>1</v>
      </c>
      <c r="DP99" s="3"/>
      <c r="DQ99" s="3"/>
      <c r="DR99" s="3"/>
      <c r="DS99" s="3"/>
      <c r="DT99" s="3"/>
      <c r="DU99" s="3"/>
      <c r="DV99" s="3"/>
      <c r="DW99" s="3"/>
      <c r="DX99" s="3"/>
      <c r="DY99" s="3"/>
      <c r="DZ99" s="3"/>
      <c r="EA99" s="3"/>
      <c r="EB99" s="4">
        <f t="shared" si="55"/>
        <v>0</v>
      </c>
      <c r="EC99" s="3"/>
      <c r="ED99" s="3"/>
      <c r="EE99" s="3"/>
      <c r="EF99" s="3"/>
      <c r="EG99" s="3"/>
      <c r="EH99" s="3"/>
      <c r="EI99" s="3"/>
      <c r="EJ99" s="3"/>
      <c r="EK99" s="3"/>
      <c r="EL99" s="3"/>
      <c r="EM99" s="3"/>
      <c r="EN99" s="3"/>
      <c r="EO99" s="4">
        <f t="shared" si="56"/>
        <v>0</v>
      </c>
      <c r="EP99" s="8">
        <f t="shared" si="57"/>
        <v>1</v>
      </c>
      <c r="EQ99" s="181">
        <f>IFERROR(VLOOKUP(I99,CEI_012018!$A$1:$U$509,9,FALSE),0)</f>
        <v>0</v>
      </c>
      <c r="ER99" s="181">
        <f>IFERROR(VLOOKUP(I99,CEI_022018!$A$1:$U$509,9,FALSE),0)</f>
        <v>0</v>
      </c>
      <c r="ES99" s="181">
        <f>IFERROR(VLOOKUP(I99,CEI_032018!$A$1:$U$509,9,FALSE),0)</f>
        <v>0</v>
      </c>
      <c r="ET99" s="181">
        <f>IFERROR(VLOOKUP(I99,CEI_042018!$A$1:$U$491,9,FALSE),0)</f>
        <v>0</v>
      </c>
      <c r="EU99" s="181">
        <f>IFERROR(VLOOKUP(I99,CEI_052018!$A$1:$U$489,9,FALSE),0)</f>
        <v>0</v>
      </c>
      <c r="EV99" s="181">
        <f>IFERROR(VLOOKUP(I99,CEI_062018!$A$1:$U$489,9,FALSE),0)</f>
        <v>0</v>
      </c>
      <c r="EW99" s="181">
        <f>IFERROR(VLOOKUP(I99,CEI_072018!$A$1:$U$489,9,FALSE),0)</f>
        <v>0</v>
      </c>
      <c r="EX99" s="181">
        <f>IFERROR(VLOOKUP(I99,CEI_082018!$A$1:$U$489,9,FALSE),0)</f>
        <v>0</v>
      </c>
      <c r="EY99" s="181">
        <f>IFERROR(VLOOKUP(I99,CEI_092018!$A$1:$U$489,9,FALSE),0)</f>
        <v>0</v>
      </c>
      <c r="EZ99" s="181"/>
      <c r="FA99" s="181"/>
      <c r="FB99" s="181"/>
      <c r="FC99" s="181">
        <f>IFERROR(VLOOKUP(I99,CEI_092018!$A$1:$U$489,12,FALSE),0)</f>
        <v>0</v>
      </c>
      <c r="FD99" s="181">
        <f t="shared" si="58"/>
        <v>0</v>
      </c>
      <c r="FE99" s="181">
        <f t="shared" si="59"/>
        <v>0</v>
      </c>
      <c r="FF99"/>
      <c r="FG99"/>
      <c r="FH99"/>
      <c r="FI99"/>
      <c r="FJ99"/>
      <c r="FK99"/>
      <c r="FL99"/>
      <c r="FM99"/>
      <c r="FN99"/>
      <c r="FO99"/>
      <c r="FP99"/>
      <c r="FQ99"/>
      <c r="FR99"/>
      <c r="FS99"/>
      <c r="FT99"/>
      <c r="FU99"/>
      <c r="FV99"/>
      <c r="FW99"/>
      <c r="FX99"/>
      <c r="FY99"/>
      <c r="FZ99"/>
      <c r="GA99"/>
      <c r="GB99"/>
      <c r="GC99"/>
    </row>
    <row r="100" spans="1:185" ht="12.95" customHeight="1" x14ac:dyDescent="0.25">
      <c r="A100" s="202"/>
      <c r="B100" s="22" t="s">
        <v>57</v>
      </c>
      <c r="C100" s="34" t="s">
        <v>40</v>
      </c>
      <c r="D100" s="22" t="s">
        <v>61</v>
      </c>
      <c r="E100" s="25" t="s">
        <v>263</v>
      </c>
      <c r="F100" s="25" t="s">
        <v>61</v>
      </c>
      <c r="G100" s="25" t="s">
        <v>263</v>
      </c>
      <c r="H100" s="22" t="s">
        <v>226</v>
      </c>
      <c r="I100" s="423" t="s">
        <v>565</v>
      </c>
      <c r="J100" s="37"/>
      <c r="K100" s="23" t="s">
        <v>264</v>
      </c>
      <c r="L100" s="23" t="s">
        <v>265</v>
      </c>
      <c r="M100" s="23" t="s">
        <v>236</v>
      </c>
      <c r="N100" s="23"/>
      <c r="O100" s="2"/>
      <c r="P100" s="2"/>
      <c r="Q100" s="2"/>
      <c r="R100" s="2"/>
      <c r="S100" s="2"/>
      <c r="T100" s="116">
        <f t="shared" si="44"/>
        <v>0</v>
      </c>
      <c r="U100" s="324"/>
      <c r="V100" s="324"/>
      <c r="W100" s="324"/>
      <c r="X100" s="324"/>
      <c r="Y100" s="324"/>
      <c r="Z100" s="324"/>
      <c r="AA100" s="324"/>
      <c r="AB100" s="324"/>
      <c r="AC100" s="324"/>
      <c r="AD100" s="324"/>
      <c r="AE100" s="324"/>
      <c r="AF100" s="324">
        <v>10</v>
      </c>
      <c r="AG100" s="140">
        <f t="shared" si="45"/>
        <v>10</v>
      </c>
      <c r="AH100" s="324"/>
      <c r="AI100" s="324"/>
      <c r="AJ100" s="324"/>
      <c r="AK100" s="324"/>
      <c r="AL100" s="324"/>
      <c r="AM100" s="324"/>
      <c r="AN100" s="324"/>
      <c r="AO100" s="324"/>
      <c r="AP100" s="324"/>
      <c r="AQ100" s="324"/>
      <c r="AR100" s="324"/>
      <c r="AS100" s="324"/>
      <c r="AT100" s="140">
        <f t="shared" si="46"/>
        <v>0</v>
      </c>
      <c r="AU100" s="324"/>
      <c r="AV100" s="324"/>
      <c r="AW100" s="324"/>
      <c r="AX100" s="324"/>
      <c r="AY100" s="324"/>
      <c r="AZ100" s="324"/>
      <c r="BA100" s="324"/>
      <c r="BB100" s="324"/>
      <c r="BC100" s="324"/>
      <c r="BD100" s="324"/>
      <c r="BE100" s="324"/>
      <c r="BF100" s="324">
        <v>10</v>
      </c>
      <c r="BG100" s="140">
        <f t="shared" si="47"/>
        <v>10</v>
      </c>
      <c r="BH100" s="324"/>
      <c r="BI100" s="324"/>
      <c r="BJ100" s="324"/>
      <c r="BK100" s="324"/>
      <c r="BL100" s="324"/>
      <c r="BM100" s="324"/>
      <c r="BN100" s="324"/>
      <c r="BO100" s="324"/>
      <c r="BP100" s="324"/>
      <c r="BQ100" s="324"/>
      <c r="BR100" s="324"/>
      <c r="BS100" s="324"/>
      <c r="BT100" s="140">
        <f t="shared" si="48"/>
        <v>0</v>
      </c>
      <c r="BU100" s="114">
        <f t="shared" si="49"/>
        <v>20</v>
      </c>
      <c r="BV100" s="432"/>
      <c r="BW100" s="432"/>
      <c r="BX100" s="432"/>
      <c r="BY100" s="432"/>
      <c r="BZ100" s="433"/>
      <c r="CA100" s="434"/>
      <c r="CB100" s="7" t="s">
        <v>73</v>
      </c>
      <c r="CC100" s="3"/>
      <c r="CD100" s="3"/>
      <c r="CE100" s="3"/>
      <c r="CF100" s="3"/>
      <c r="CG100" s="3"/>
      <c r="CH100" s="3"/>
      <c r="CI100" s="3"/>
      <c r="CJ100" s="3"/>
      <c r="CK100" s="3"/>
      <c r="CL100" s="3"/>
      <c r="CM100" s="3"/>
      <c r="CN100" s="3"/>
      <c r="CO100" s="4">
        <f t="shared" si="52"/>
        <v>0</v>
      </c>
      <c r="CP100" s="3"/>
      <c r="CQ100" s="3"/>
      <c r="CR100" s="3"/>
      <c r="CS100" s="3"/>
      <c r="CT100" s="3"/>
      <c r="CU100" s="3"/>
      <c r="CV100" s="3"/>
      <c r="CW100" s="3"/>
      <c r="CX100" s="3"/>
      <c r="CY100" s="3"/>
      <c r="CZ100" s="3"/>
      <c r="DA100" s="3">
        <v>1</v>
      </c>
      <c r="DB100" s="4">
        <f t="shared" si="53"/>
        <v>1</v>
      </c>
      <c r="DC100" s="3"/>
      <c r="DD100" s="3"/>
      <c r="DE100" s="3"/>
      <c r="DF100" s="3"/>
      <c r="DG100" s="3"/>
      <c r="DH100" s="3"/>
      <c r="DI100" s="3"/>
      <c r="DJ100" s="3"/>
      <c r="DK100" s="3"/>
      <c r="DL100" s="3"/>
      <c r="DM100" s="3"/>
      <c r="DN100" s="3"/>
      <c r="DO100" s="4">
        <f t="shared" si="54"/>
        <v>0</v>
      </c>
      <c r="DP100" s="3"/>
      <c r="DQ100" s="3"/>
      <c r="DR100" s="3"/>
      <c r="DS100" s="3"/>
      <c r="DT100" s="3"/>
      <c r="DU100" s="3"/>
      <c r="DV100" s="3"/>
      <c r="DW100" s="3"/>
      <c r="DX100" s="3"/>
      <c r="DY100" s="3"/>
      <c r="DZ100" s="3"/>
      <c r="EA100" s="3">
        <v>1</v>
      </c>
      <c r="EB100" s="4">
        <f t="shared" si="55"/>
        <v>1</v>
      </c>
      <c r="EC100" s="3"/>
      <c r="ED100" s="3"/>
      <c r="EE100" s="3"/>
      <c r="EF100" s="3"/>
      <c r="EG100" s="3"/>
      <c r="EH100" s="3"/>
      <c r="EI100" s="3"/>
      <c r="EJ100" s="3"/>
      <c r="EK100" s="3"/>
      <c r="EL100" s="3"/>
      <c r="EM100" s="3"/>
      <c r="EN100" s="3"/>
      <c r="EO100" s="4">
        <f t="shared" si="56"/>
        <v>0</v>
      </c>
      <c r="EP100" s="8">
        <f t="shared" si="57"/>
        <v>2</v>
      </c>
      <c r="EQ100" s="181">
        <f>IFERROR(VLOOKUP(I100,CEI_012018!$A$1:$U$509,9,FALSE),0)</f>
        <v>0</v>
      </c>
      <c r="ER100" s="181">
        <f>IFERROR(VLOOKUP(I100,CEI_022018!$A$1:$U$509,9,FALSE),0)</f>
        <v>0</v>
      </c>
      <c r="ES100" s="181">
        <f>IFERROR(VLOOKUP(I100,CEI_032018!$A$1:$U$509,9,FALSE),0)</f>
        <v>0</v>
      </c>
      <c r="ET100" s="181">
        <f>IFERROR(VLOOKUP(I100,CEI_042018!$A$1:$U$491,9,FALSE),0)</f>
        <v>0</v>
      </c>
      <c r="EU100" s="181">
        <f>IFERROR(VLOOKUP(I100,CEI_052018!$A$1:$U$489,9,FALSE),0)</f>
        <v>0</v>
      </c>
      <c r="EV100" s="181">
        <f>IFERROR(VLOOKUP(I100,CEI_062018!$A$1:$U$489,9,FALSE),0)</f>
        <v>0</v>
      </c>
      <c r="EW100" s="181">
        <f>IFERROR(VLOOKUP(I100,CEI_072018!$A$1:$U$489,9,FALSE),0)</f>
        <v>0</v>
      </c>
      <c r="EX100" s="181">
        <f>IFERROR(VLOOKUP(I100,CEI_082018!$A$1:$U$489,9,FALSE),0)</f>
        <v>0</v>
      </c>
      <c r="EY100" s="181">
        <f>IFERROR(VLOOKUP(I100,CEI_092018!$A$1:$U$489,9,FALSE),0)</f>
        <v>0</v>
      </c>
      <c r="EZ100" s="181"/>
      <c r="FA100" s="181"/>
      <c r="FB100" s="181"/>
      <c r="FC100" s="181">
        <f>IFERROR(VLOOKUP(I100,CEI_092018!$A$1:$U$489,12,FALSE),0)</f>
        <v>0</v>
      </c>
      <c r="FD100" s="181">
        <f t="shared" si="58"/>
        <v>0</v>
      </c>
      <c r="FE100" s="181">
        <f t="shared" si="59"/>
        <v>0</v>
      </c>
      <c r="FF100"/>
      <c r="FG100"/>
      <c r="FH100"/>
      <c r="FI100"/>
      <c r="FJ100"/>
      <c r="FK100"/>
      <c r="FL100"/>
      <c r="FM100"/>
      <c r="FN100"/>
      <c r="FO100"/>
      <c r="FP100"/>
      <c r="FQ100"/>
      <c r="FR100"/>
      <c r="FS100"/>
      <c r="FT100"/>
      <c r="FU100"/>
      <c r="FV100"/>
      <c r="FW100"/>
      <c r="FX100"/>
      <c r="FY100"/>
      <c r="FZ100"/>
      <c r="GA100"/>
      <c r="GB100"/>
      <c r="GC100"/>
    </row>
    <row r="101" spans="1:185" ht="12.95" customHeight="1" x14ac:dyDescent="0.25">
      <c r="A101" s="202"/>
      <c r="B101" s="22" t="s">
        <v>57</v>
      </c>
      <c r="C101" s="34" t="s">
        <v>40</v>
      </c>
      <c r="D101" s="22" t="s">
        <v>1424</v>
      </c>
      <c r="E101" s="25" t="s">
        <v>1674</v>
      </c>
      <c r="F101" s="25" t="s">
        <v>1424</v>
      </c>
      <c r="G101" s="25" t="s">
        <v>1674</v>
      </c>
      <c r="H101" s="22" t="s">
        <v>62</v>
      </c>
      <c r="I101" s="423" t="s">
        <v>1291</v>
      </c>
      <c r="J101" s="373" t="s">
        <v>1293</v>
      </c>
      <c r="K101" s="23" t="s">
        <v>1292</v>
      </c>
      <c r="L101" s="23"/>
      <c r="M101" s="23"/>
      <c r="N101" s="23"/>
      <c r="O101" s="2">
        <v>11.104649901390076</v>
      </c>
      <c r="P101" s="2"/>
      <c r="Q101" s="2"/>
      <c r="R101" s="2"/>
      <c r="S101" s="2">
        <v>0</v>
      </c>
      <c r="T101" s="116">
        <f t="shared" si="44"/>
        <v>11.104649901390076</v>
      </c>
      <c r="U101" s="324"/>
      <c r="V101" s="324"/>
      <c r="W101" s="324"/>
      <c r="X101" s="324"/>
      <c r="Y101" s="324"/>
      <c r="Z101" s="324"/>
      <c r="AA101" s="324"/>
      <c r="AB101" s="324"/>
      <c r="AC101" s="324"/>
      <c r="AD101" s="324"/>
      <c r="AE101" s="324"/>
      <c r="AF101" s="324"/>
      <c r="AG101" s="140">
        <f t="shared" si="45"/>
        <v>0</v>
      </c>
      <c r="AH101" s="324"/>
      <c r="AI101" s="324"/>
      <c r="AJ101" s="324"/>
      <c r="AK101" s="324"/>
      <c r="AL101" s="324"/>
      <c r="AM101" s="324"/>
      <c r="AN101" s="324"/>
      <c r="AO101" s="324"/>
      <c r="AP101" s="324"/>
      <c r="AQ101" s="324"/>
      <c r="AR101" s="324"/>
      <c r="AS101" s="324"/>
      <c r="AT101" s="140">
        <f t="shared" si="46"/>
        <v>0</v>
      </c>
      <c r="AU101" s="324"/>
      <c r="AV101" s="324"/>
      <c r="AW101" s="324"/>
      <c r="AX101" s="324"/>
      <c r="AY101" s="324"/>
      <c r="AZ101" s="324"/>
      <c r="BA101" s="324"/>
      <c r="BB101" s="324"/>
      <c r="BC101" s="324"/>
      <c r="BD101" s="324"/>
      <c r="BE101" s="324"/>
      <c r="BF101" s="324"/>
      <c r="BG101" s="140">
        <f t="shared" si="47"/>
        <v>0</v>
      </c>
      <c r="BH101" s="324"/>
      <c r="BI101" s="324"/>
      <c r="BJ101" s="324"/>
      <c r="BK101" s="324"/>
      <c r="BL101" s="324"/>
      <c r="BM101" s="324"/>
      <c r="BN101" s="324"/>
      <c r="BO101" s="324"/>
      <c r="BP101" s="324"/>
      <c r="BQ101" s="324"/>
      <c r="BR101" s="324"/>
      <c r="BS101" s="324"/>
      <c r="BT101" s="140">
        <f t="shared" si="48"/>
        <v>0</v>
      </c>
      <c r="BU101" s="114">
        <f t="shared" si="49"/>
        <v>11.104649901390076</v>
      </c>
      <c r="BV101" s="372">
        <v>1</v>
      </c>
      <c r="BW101" s="372">
        <v>1</v>
      </c>
      <c r="BX101" s="372">
        <v>1</v>
      </c>
      <c r="BY101" s="372">
        <v>1</v>
      </c>
      <c r="BZ101" s="436">
        <f>IFERROR((EX101/T101%),0)</f>
        <v>100</v>
      </c>
      <c r="CA101" s="428">
        <f>IFERROR((FD101/T101%),0)</f>
        <v>100</v>
      </c>
      <c r="CB101" s="7" t="s">
        <v>109</v>
      </c>
      <c r="CC101" s="3">
        <v>0</v>
      </c>
      <c r="CD101" s="3"/>
      <c r="CE101" s="3">
        <v>4</v>
      </c>
      <c r="CF101" s="3"/>
      <c r="CG101" s="3"/>
      <c r="CH101" s="3"/>
      <c r="CI101" s="3"/>
      <c r="CJ101" s="3"/>
      <c r="CK101" s="3"/>
      <c r="CL101" s="3"/>
      <c r="CM101" s="3"/>
      <c r="CN101" s="3"/>
      <c r="CO101" s="4">
        <f t="shared" si="52"/>
        <v>4</v>
      </c>
      <c r="CP101" s="3"/>
      <c r="CQ101" s="3"/>
      <c r="CR101" s="3"/>
      <c r="CS101" s="3"/>
      <c r="CT101" s="3"/>
      <c r="CU101" s="3"/>
      <c r="CV101" s="3"/>
      <c r="CW101" s="3"/>
      <c r="CX101" s="3"/>
      <c r="CY101" s="3"/>
      <c r="CZ101" s="3"/>
      <c r="DA101" s="3"/>
      <c r="DB101" s="4">
        <f t="shared" si="53"/>
        <v>0</v>
      </c>
      <c r="DC101" s="3"/>
      <c r="DD101" s="3"/>
      <c r="DE101" s="3"/>
      <c r="DF101" s="3"/>
      <c r="DG101" s="3"/>
      <c r="DH101" s="3"/>
      <c r="DI101" s="3"/>
      <c r="DJ101" s="3"/>
      <c r="DK101" s="3"/>
      <c r="DL101" s="3"/>
      <c r="DM101" s="3"/>
      <c r="DN101" s="3"/>
      <c r="DO101" s="4">
        <f t="shared" si="54"/>
        <v>0</v>
      </c>
      <c r="DP101" s="3"/>
      <c r="DQ101" s="3"/>
      <c r="DR101" s="3"/>
      <c r="DS101" s="3"/>
      <c r="DT101" s="3"/>
      <c r="DU101" s="3"/>
      <c r="DV101" s="3"/>
      <c r="DW101" s="3"/>
      <c r="DX101" s="3"/>
      <c r="DY101" s="3"/>
      <c r="DZ101" s="3"/>
      <c r="EA101" s="3"/>
      <c r="EB101" s="4">
        <f t="shared" si="55"/>
        <v>0</v>
      </c>
      <c r="EC101" s="3"/>
      <c r="ED101" s="3"/>
      <c r="EE101" s="3"/>
      <c r="EF101" s="3"/>
      <c r="EG101" s="3"/>
      <c r="EH101" s="3"/>
      <c r="EI101" s="3"/>
      <c r="EJ101" s="3"/>
      <c r="EK101" s="3"/>
      <c r="EL101" s="3"/>
      <c r="EM101" s="3"/>
      <c r="EN101" s="3"/>
      <c r="EO101" s="4">
        <f t="shared" si="56"/>
        <v>0</v>
      </c>
      <c r="EP101" s="8">
        <f t="shared" si="57"/>
        <v>4</v>
      </c>
      <c r="EQ101" s="181">
        <f>IFERROR(VLOOKUP(I101,CEI_012018!$A$1:$U$509,9,FALSE),0)</f>
        <v>10.184720039367676</v>
      </c>
      <c r="ER101" s="181">
        <f>IFERROR(VLOOKUP(I101,CEI_022018!$A$1:$U$509,9,FALSE),0)</f>
        <v>12.704649925231934</v>
      </c>
      <c r="ES101" s="181">
        <f>IFERROR(VLOOKUP(I101,CEI_032018!$A$1:$U$509,9,FALSE),0)</f>
        <v>12.704649925231934</v>
      </c>
      <c r="ET101" s="181">
        <f>IFERROR(VLOOKUP(I101,CEI_042018!$A$1:$U$491,9,FALSE),0)</f>
        <v>11.104649901390076</v>
      </c>
      <c r="EU101" s="181">
        <f>IFERROR(VLOOKUP(I101,CEI_052018!$A$1:$U$489,9,FALSE),0)</f>
        <v>11.104649901390076</v>
      </c>
      <c r="EV101" s="181">
        <f>IFERROR(VLOOKUP(I101,CEI_062018!$A$1:$U$489,9,FALSE),0)</f>
        <v>11.104649901390076</v>
      </c>
      <c r="EW101" s="181">
        <f>IFERROR(VLOOKUP(I101,CEI_072018!$A$1:$U$489,9,FALSE),0)</f>
        <v>11.104649901390076</v>
      </c>
      <c r="EX101" s="181">
        <f>IFERROR(VLOOKUP(I101,CEI_082018!$A$1:$U$489,9,FALSE),0)</f>
        <v>11.104649901390076</v>
      </c>
      <c r="EY101" s="181">
        <f>IFERROR(VLOOKUP(I101,CEI_092018!$A$1:$U$489,9,FALSE),0)</f>
        <v>11.104649901390076</v>
      </c>
      <c r="EZ101" s="181"/>
      <c r="FA101" s="181"/>
      <c r="FB101" s="181"/>
      <c r="FC101" s="181">
        <f>IFERROR(VLOOKUP(I101,CEI_092018!$A$1:$U$489,12,FALSE),0)</f>
        <v>0</v>
      </c>
      <c r="FD101" s="181">
        <f t="shared" si="58"/>
        <v>11.104649901390076</v>
      </c>
      <c r="FE101" s="181">
        <f t="shared" si="59"/>
        <v>0</v>
      </c>
      <c r="FF101"/>
      <c r="FG101"/>
      <c r="FH101"/>
      <c r="FI101"/>
      <c r="FJ101"/>
      <c r="FK101"/>
      <c r="FL101"/>
      <c r="FM101"/>
      <c r="FN101"/>
      <c r="FO101"/>
      <c r="FP101"/>
      <c r="FQ101"/>
      <c r="FR101"/>
      <c r="FS101"/>
      <c r="FT101"/>
      <c r="FU101"/>
      <c r="FV101"/>
      <c r="FW101"/>
      <c r="FX101"/>
      <c r="FY101"/>
      <c r="FZ101"/>
      <c r="GA101"/>
      <c r="GB101"/>
      <c r="GC101"/>
    </row>
    <row r="102" spans="1:185" ht="12.95" customHeight="1" x14ac:dyDescent="0.25">
      <c r="A102" s="202"/>
      <c r="B102" s="22" t="s">
        <v>57</v>
      </c>
      <c r="C102" s="34" t="s">
        <v>40</v>
      </c>
      <c r="D102" s="23" t="s">
        <v>61</v>
      </c>
      <c r="E102" s="441" t="s">
        <v>233</v>
      </c>
      <c r="F102" s="34" t="s">
        <v>61</v>
      </c>
      <c r="G102" s="441" t="s">
        <v>233</v>
      </c>
      <c r="H102" s="23" t="s">
        <v>226</v>
      </c>
      <c r="I102" s="423" t="s">
        <v>565</v>
      </c>
      <c r="J102" s="373"/>
      <c r="K102" s="23" t="s">
        <v>258</v>
      </c>
      <c r="L102" s="23" t="s">
        <v>235</v>
      </c>
      <c r="M102" s="23" t="s">
        <v>236</v>
      </c>
      <c r="N102" s="23"/>
      <c r="O102" s="2"/>
      <c r="P102" s="2"/>
      <c r="Q102" s="2"/>
      <c r="R102" s="2"/>
      <c r="S102" s="2"/>
      <c r="T102" s="116">
        <f t="shared" si="44"/>
        <v>0</v>
      </c>
      <c r="U102" s="324"/>
      <c r="V102" s="324"/>
      <c r="W102" s="324"/>
      <c r="X102" s="324"/>
      <c r="Y102" s="324"/>
      <c r="Z102" s="324"/>
      <c r="AA102" s="324"/>
      <c r="AB102" s="324"/>
      <c r="AC102" s="324"/>
      <c r="AD102" s="324"/>
      <c r="AE102" s="324"/>
      <c r="AF102" s="324"/>
      <c r="AG102" s="140">
        <f t="shared" si="45"/>
        <v>0</v>
      </c>
      <c r="AH102" s="324"/>
      <c r="AI102" s="324"/>
      <c r="AJ102" s="324"/>
      <c r="AK102" s="324"/>
      <c r="AL102" s="324"/>
      <c r="AM102" s="324"/>
      <c r="AN102" s="324"/>
      <c r="AO102" s="324"/>
      <c r="AP102" s="324"/>
      <c r="AQ102" s="324"/>
      <c r="AR102" s="324"/>
      <c r="AS102" s="324">
        <v>3</v>
      </c>
      <c r="AT102" s="140">
        <f t="shared" si="46"/>
        <v>3</v>
      </c>
      <c r="AU102" s="324"/>
      <c r="AV102" s="324"/>
      <c r="AW102" s="324"/>
      <c r="AX102" s="324"/>
      <c r="AY102" s="324"/>
      <c r="AZ102" s="324"/>
      <c r="BA102" s="324"/>
      <c r="BB102" s="324"/>
      <c r="BC102" s="324"/>
      <c r="BD102" s="324"/>
      <c r="BE102" s="324"/>
      <c r="BF102" s="324">
        <v>3</v>
      </c>
      <c r="BG102" s="140">
        <f t="shared" si="47"/>
        <v>3</v>
      </c>
      <c r="BH102" s="324"/>
      <c r="BI102" s="324"/>
      <c r="BJ102" s="324"/>
      <c r="BK102" s="324"/>
      <c r="BL102" s="324"/>
      <c r="BM102" s="324"/>
      <c r="BN102" s="324"/>
      <c r="BO102" s="324"/>
      <c r="BP102" s="324"/>
      <c r="BQ102" s="324"/>
      <c r="BR102" s="324"/>
      <c r="BS102" s="324"/>
      <c r="BT102" s="140">
        <f t="shared" si="48"/>
        <v>0</v>
      </c>
      <c r="BU102" s="114">
        <f t="shared" si="49"/>
        <v>6</v>
      </c>
      <c r="BV102" s="432"/>
      <c r="BW102" s="432"/>
      <c r="BX102" s="432"/>
      <c r="BY102" s="432"/>
      <c r="BZ102" s="433"/>
      <c r="CA102" s="434"/>
      <c r="CB102" s="7" t="s">
        <v>73</v>
      </c>
      <c r="CC102" s="3"/>
      <c r="CD102" s="3"/>
      <c r="CE102" s="3"/>
      <c r="CF102" s="3"/>
      <c r="CG102" s="3"/>
      <c r="CH102" s="3"/>
      <c r="CI102" s="3"/>
      <c r="CJ102" s="3"/>
      <c r="CK102" s="3"/>
      <c r="CL102" s="3"/>
      <c r="CM102" s="3"/>
      <c r="CN102" s="3"/>
      <c r="CO102" s="4">
        <f t="shared" si="52"/>
        <v>0</v>
      </c>
      <c r="CP102" s="3"/>
      <c r="CQ102" s="3"/>
      <c r="CR102" s="3"/>
      <c r="CS102" s="3"/>
      <c r="CT102" s="3"/>
      <c r="CU102" s="3"/>
      <c r="CV102" s="3"/>
      <c r="CW102" s="3"/>
      <c r="CX102" s="3"/>
      <c r="CY102" s="3"/>
      <c r="CZ102" s="3"/>
      <c r="DA102" s="3"/>
      <c r="DB102" s="4">
        <f t="shared" si="53"/>
        <v>0</v>
      </c>
      <c r="DC102" s="3"/>
      <c r="DD102" s="3"/>
      <c r="DE102" s="3"/>
      <c r="DF102" s="3"/>
      <c r="DG102" s="3"/>
      <c r="DH102" s="3"/>
      <c r="DI102" s="3"/>
      <c r="DJ102" s="3"/>
      <c r="DK102" s="3"/>
      <c r="DL102" s="3"/>
      <c r="DM102" s="3"/>
      <c r="DN102" s="3">
        <v>1</v>
      </c>
      <c r="DO102" s="4">
        <f t="shared" si="54"/>
        <v>1</v>
      </c>
      <c r="DP102" s="3"/>
      <c r="DQ102" s="3"/>
      <c r="DR102" s="3"/>
      <c r="DS102" s="3"/>
      <c r="DT102" s="3"/>
      <c r="DU102" s="3"/>
      <c r="DV102" s="3"/>
      <c r="DW102" s="3"/>
      <c r="DX102" s="3"/>
      <c r="DY102" s="3"/>
      <c r="DZ102" s="3"/>
      <c r="EA102" s="3">
        <v>1</v>
      </c>
      <c r="EB102" s="4">
        <f t="shared" si="55"/>
        <v>1</v>
      </c>
      <c r="EC102" s="3"/>
      <c r="ED102" s="3"/>
      <c r="EE102" s="3"/>
      <c r="EF102" s="3"/>
      <c r="EG102" s="3"/>
      <c r="EH102" s="3"/>
      <c r="EI102" s="3"/>
      <c r="EJ102" s="3"/>
      <c r="EK102" s="3"/>
      <c r="EL102" s="3"/>
      <c r="EM102" s="3"/>
      <c r="EN102" s="3"/>
      <c r="EO102" s="4">
        <f t="shared" si="56"/>
        <v>0</v>
      </c>
      <c r="EP102" s="8">
        <f t="shared" si="57"/>
        <v>2</v>
      </c>
      <c r="EQ102" s="181">
        <f>IFERROR(VLOOKUP(I102,CEI_012018!$A$1:$U$509,9,FALSE),0)</f>
        <v>0</v>
      </c>
      <c r="ER102" s="181">
        <f>IFERROR(VLOOKUP(I102,CEI_022018!$A$1:$U$509,9,FALSE),0)</f>
        <v>0</v>
      </c>
      <c r="ES102" s="181">
        <f>IFERROR(VLOOKUP(I102,CEI_032018!$A$1:$U$509,9,FALSE),0)</f>
        <v>0</v>
      </c>
      <c r="ET102" s="181">
        <f>IFERROR(VLOOKUP(I102,CEI_042018!$A$1:$U$491,9,FALSE),0)</f>
        <v>0</v>
      </c>
      <c r="EU102" s="181">
        <f>IFERROR(VLOOKUP(I102,CEI_052018!$A$1:$U$489,9,FALSE),0)</f>
        <v>0</v>
      </c>
      <c r="EV102" s="181">
        <f>IFERROR(VLOOKUP(I102,CEI_062018!$A$1:$U$489,9,FALSE),0)</f>
        <v>0</v>
      </c>
      <c r="EW102" s="181">
        <f>IFERROR(VLOOKUP(I102,CEI_072018!$A$1:$U$489,9,FALSE),0)</f>
        <v>0</v>
      </c>
      <c r="EX102" s="181">
        <f>IFERROR(VLOOKUP(I102,CEI_082018!$A$1:$U$489,9,FALSE),0)</f>
        <v>0</v>
      </c>
      <c r="EY102" s="181">
        <f>IFERROR(VLOOKUP(I102,CEI_092018!$A$1:$U$489,9,FALSE),0)</f>
        <v>0</v>
      </c>
      <c r="EZ102" s="181"/>
      <c r="FA102" s="181"/>
      <c r="FB102" s="181"/>
      <c r="FC102" s="181">
        <f>IFERROR(VLOOKUP(I102,CEI_092018!$A$1:$U$489,12,FALSE),0)</f>
        <v>0</v>
      </c>
      <c r="FD102" s="181">
        <f t="shared" si="58"/>
        <v>0</v>
      </c>
      <c r="FE102" s="181">
        <f t="shared" si="59"/>
        <v>0</v>
      </c>
      <c r="FF102"/>
      <c r="FG102"/>
      <c r="FH102"/>
      <c r="FI102"/>
      <c r="FJ102"/>
      <c r="FK102"/>
      <c r="FL102"/>
      <c r="FM102"/>
      <c r="FN102"/>
      <c r="FO102"/>
      <c r="FP102"/>
      <c r="FQ102"/>
      <c r="FR102"/>
      <c r="FS102"/>
      <c r="FT102"/>
      <c r="FU102"/>
      <c r="FV102"/>
      <c r="FW102"/>
      <c r="FX102"/>
      <c r="FY102"/>
      <c r="FZ102"/>
      <c r="GA102"/>
      <c r="GB102"/>
      <c r="GC102"/>
    </row>
    <row r="103" spans="1:185" ht="12.95" customHeight="1" x14ac:dyDescent="0.25">
      <c r="A103" s="202"/>
      <c r="B103" s="22" t="s">
        <v>57</v>
      </c>
      <c r="C103" s="34" t="s">
        <v>40</v>
      </c>
      <c r="D103" s="22" t="s">
        <v>1963</v>
      </c>
      <c r="E103" s="25" t="s">
        <v>1964</v>
      </c>
      <c r="F103" s="22" t="s">
        <v>1963</v>
      </c>
      <c r="G103" s="25" t="s">
        <v>1964</v>
      </c>
      <c r="H103" s="22" t="s">
        <v>56</v>
      </c>
      <c r="I103" s="423" t="s">
        <v>565</v>
      </c>
      <c r="J103" s="37"/>
      <c r="K103" s="23" t="s">
        <v>1996</v>
      </c>
      <c r="L103" s="23"/>
      <c r="M103" s="23"/>
      <c r="N103" s="23"/>
      <c r="O103" s="2"/>
      <c r="P103" s="2"/>
      <c r="Q103" s="2"/>
      <c r="R103" s="2"/>
      <c r="S103" s="2"/>
      <c r="T103" s="116">
        <f t="shared" si="44"/>
        <v>0</v>
      </c>
      <c r="U103" s="324"/>
      <c r="V103" s="324"/>
      <c r="W103" s="324"/>
      <c r="X103" s="324"/>
      <c r="Y103" s="324"/>
      <c r="Z103" s="324"/>
      <c r="AA103" s="324"/>
      <c r="AB103" s="324"/>
      <c r="AC103" s="324"/>
      <c r="AD103" s="324"/>
      <c r="AE103" s="324"/>
      <c r="AF103" s="324"/>
      <c r="AG103" s="140">
        <f t="shared" si="45"/>
        <v>0</v>
      </c>
      <c r="AH103" s="324"/>
      <c r="AI103" s="324"/>
      <c r="AJ103" s="324"/>
      <c r="AK103" s="324"/>
      <c r="AL103" s="324"/>
      <c r="AM103" s="324"/>
      <c r="AN103" s="324"/>
      <c r="AO103" s="324"/>
      <c r="AP103" s="324"/>
      <c r="AQ103" s="324"/>
      <c r="AR103" s="324"/>
      <c r="AS103" s="324"/>
      <c r="AT103" s="140">
        <f t="shared" si="46"/>
        <v>0</v>
      </c>
      <c r="AU103" s="324"/>
      <c r="AV103" s="324"/>
      <c r="AW103" s="324"/>
      <c r="AX103" s="324"/>
      <c r="AY103" s="324"/>
      <c r="AZ103" s="324"/>
      <c r="BA103" s="324"/>
      <c r="BB103" s="324"/>
      <c r="BC103" s="324"/>
      <c r="BD103" s="324"/>
      <c r="BE103" s="324"/>
      <c r="BF103" s="324"/>
      <c r="BG103" s="140">
        <f t="shared" si="47"/>
        <v>0</v>
      </c>
      <c r="BH103" s="324"/>
      <c r="BI103" s="324"/>
      <c r="BJ103" s="324"/>
      <c r="BK103" s="324"/>
      <c r="BL103" s="324"/>
      <c r="BM103" s="324"/>
      <c r="BN103" s="324"/>
      <c r="BO103" s="324"/>
      <c r="BP103" s="324"/>
      <c r="BQ103" s="324"/>
      <c r="BR103" s="324"/>
      <c r="BS103" s="324"/>
      <c r="BT103" s="140">
        <f t="shared" si="48"/>
        <v>0</v>
      </c>
      <c r="BU103" s="114">
        <f t="shared" si="49"/>
        <v>0</v>
      </c>
      <c r="BV103" s="372"/>
      <c r="BW103" s="372"/>
      <c r="BX103" s="372"/>
      <c r="BY103" s="372"/>
      <c r="BZ103" s="429"/>
      <c r="CA103" s="428"/>
      <c r="CB103" s="7"/>
      <c r="CC103" s="83"/>
      <c r="CD103" s="83"/>
      <c r="CE103" s="83"/>
      <c r="CF103" s="83"/>
      <c r="CG103" s="339"/>
      <c r="CH103" s="339"/>
      <c r="CI103" s="339"/>
      <c r="CJ103" s="339"/>
      <c r="CK103" s="339"/>
      <c r="CL103" s="339"/>
      <c r="CM103" s="339"/>
      <c r="CN103" s="339"/>
      <c r="CO103" s="4"/>
      <c r="CP103" s="3"/>
      <c r="CQ103" s="3"/>
      <c r="CR103" s="3"/>
      <c r="CS103" s="3"/>
      <c r="CT103" s="3"/>
      <c r="CU103" s="3"/>
      <c r="CV103" s="3"/>
      <c r="CW103" s="3"/>
      <c r="CX103" s="3"/>
      <c r="CY103" s="3"/>
      <c r="CZ103" s="3"/>
      <c r="DA103" s="3"/>
      <c r="DB103" s="4"/>
      <c r="DC103" s="3"/>
      <c r="DD103" s="3"/>
      <c r="DE103" s="3"/>
      <c r="DF103" s="3"/>
      <c r="DG103" s="3"/>
      <c r="DH103" s="3"/>
      <c r="DI103" s="3"/>
      <c r="DJ103" s="3"/>
      <c r="DK103" s="3"/>
      <c r="DL103" s="3"/>
      <c r="DM103" s="3"/>
      <c r="DN103" s="3"/>
      <c r="DO103" s="4"/>
      <c r="DP103" s="3"/>
      <c r="DQ103" s="3"/>
      <c r="DR103" s="3"/>
      <c r="DS103" s="3"/>
      <c r="DT103" s="3"/>
      <c r="DU103" s="3"/>
      <c r="DV103" s="3"/>
      <c r="DW103" s="3"/>
      <c r="DX103" s="3"/>
      <c r="DY103" s="3"/>
      <c r="DZ103" s="3"/>
      <c r="EA103" s="3"/>
      <c r="EB103" s="4"/>
      <c r="EC103" s="3"/>
      <c r="ED103" s="3"/>
      <c r="EE103" s="3"/>
      <c r="EF103" s="3"/>
      <c r="EG103" s="3"/>
      <c r="EH103" s="3"/>
      <c r="EI103" s="3"/>
      <c r="EJ103" s="3"/>
      <c r="EK103" s="3"/>
      <c r="EL103" s="3"/>
      <c r="EM103" s="3"/>
      <c r="EN103" s="3"/>
      <c r="EO103" s="4"/>
      <c r="EP103" s="8"/>
      <c r="EQ103" s="181"/>
      <c r="ER103" s="181"/>
      <c r="ES103" s="181"/>
      <c r="ET103" s="181"/>
      <c r="EU103" s="181"/>
      <c r="EV103" s="181"/>
      <c r="EW103" s="181">
        <f>IFERROR(VLOOKUP(I103,CEI_072018!$A$1:$U$489,9,FALSE),0)</f>
        <v>0</v>
      </c>
      <c r="EX103" s="181">
        <f>IFERROR(VLOOKUP(I103,CEI_082018!$A$1:$U$489,9,FALSE),0)</f>
        <v>0</v>
      </c>
      <c r="EY103" s="181">
        <f>IFERROR(VLOOKUP(I103,CEI_092018!$A$1:$U$489,9,FALSE),0)</f>
        <v>0</v>
      </c>
      <c r="EZ103" s="181"/>
      <c r="FA103" s="181"/>
      <c r="FB103" s="181"/>
      <c r="FC103" s="181">
        <f>IFERROR(VLOOKUP(I103,CEI_092018!$A$1:$U$489,12,FALSE),0)</f>
        <v>0</v>
      </c>
      <c r="FD103" s="181"/>
      <c r="FE103" s="181"/>
      <c r="FF103"/>
      <c r="FG103"/>
      <c r="FH103"/>
      <c r="FI103"/>
      <c r="FJ103"/>
      <c r="FK103"/>
      <c r="FL103"/>
      <c r="FM103"/>
      <c r="FN103"/>
      <c r="FO103"/>
      <c r="FP103"/>
      <c r="FQ103"/>
      <c r="FR103"/>
      <c r="FS103"/>
      <c r="FT103"/>
      <c r="FU103"/>
      <c r="FV103"/>
      <c r="FW103"/>
      <c r="FX103"/>
      <c r="FY103"/>
      <c r="FZ103"/>
      <c r="GA103"/>
      <c r="GB103"/>
      <c r="GC103"/>
    </row>
    <row r="104" spans="1:185" ht="12.95" customHeight="1" x14ac:dyDescent="0.25">
      <c r="A104" s="202"/>
      <c r="B104" s="22" t="s">
        <v>57</v>
      </c>
      <c r="C104" s="34" t="s">
        <v>41</v>
      </c>
      <c r="D104" s="22" t="s">
        <v>1963</v>
      </c>
      <c r="E104" s="25" t="s">
        <v>1964</v>
      </c>
      <c r="F104" s="22" t="s">
        <v>1963</v>
      </c>
      <c r="G104" s="25" t="s">
        <v>1964</v>
      </c>
      <c r="H104" s="22" t="s">
        <v>56</v>
      </c>
      <c r="I104" s="423" t="s">
        <v>565</v>
      </c>
      <c r="J104" s="37"/>
      <c r="K104" s="23" t="s">
        <v>1997</v>
      </c>
      <c r="L104" s="23"/>
      <c r="M104" s="23"/>
      <c r="N104" s="23"/>
      <c r="O104" s="2"/>
      <c r="P104" s="2"/>
      <c r="Q104" s="2"/>
      <c r="R104" s="2"/>
      <c r="S104" s="2"/>
      <c r="T104" s="116">
        <f t="shared" si="44"/>
        <v>0</v>
      </c>
      <c r="U104" s="324"/>
      <c r="V104" s="324"/>
      <c r="W104" s="324"/>
      <c r="X104" s="324"/>
      <c r="Y104" s="324"/>
      <c r="Z104" s="324"/>
      <c r="AA104" s="324"/>
      <c r="AB104" s="324"/>
      <c r="AC104" s="324"/>
      <c r="AD104" s="324"/>
      <c r="AE104" s="324"/>
      <c r="AF104" s="324">
        <v>21.600000023842</v>
      </c>
      <c r="AG104" s="140">
        <f t="shared" si="45"/>
        <v>21.600000023842</v>
      </c>
      <c r="AH104" s="324"/>
      <c r="AI104" s="324"/>
      <c r="AJ104" s="324"/>
      <c r="AK104" s="324"/>
      <c r="AL104" s="324"/>
      <c r="AM104" s="324"/>
      <c r="AN104" s="324"/>
      <c r="AO104" s="324"/>
      <c r="AP104" s="324"/>
      <c r="AQ104" s="324"/>
      <c r="AR104" s="324"/>
      <c r="AS104" s="324"/>
      <c r="AT104" s="140">
        <f t="shared" si="46"/>
        <v>0</v>
      </c>
      <c r="AU104" s="324"/>
      <c r="AV104" s="324"/>
      <c r="AW104" s="324"/>
      <c r="AX104" s="324"/>
      <c r="AY104" s="324"/>
      <c r="AZ104" s="324"/>
      <c r="BA104" s="324"/>
      <c r="BB104" s="324"/>
      <c r="BC104" s="324"/>
      <c r="BD104" s="324"/>
      <c r="BE104" s="324"/>
      <c r="BF104" s="324"/>
      <c r="BG104" s="140">
        <f t="shared" si="47"/>
        <v>0</v>
      </c>
      <c r="BH104" s="324"/>
      <c r="BI104" s="324"/>
      <c r="BJ104" s="324"/>
      <c r="BK104" s="324"/>
      <c r="BL104" s="324"/>
      <c r="BM104" s="324"/>
      <c r="BN104" s="324"/>
      <c r="BO104" s="324"/>
      <c r="BP104" s="324"/>
      <c r="BQ104" s="324"/>
      <c r="BR104" s="324"/>
      <c r="BS104" s="324"/>
      <c r="BT104" s="140">
        <f t="shared" si="48"/>
        <v>0</v>
      </c>
      <c r="BU104" s="114">
        <f t="shared" si="49"/>
        <v>21.600000023842</v>
      </c>
      <c r="BV104" s="372"/>
      <c r="BW104" s="372"/>
      <c r="BX104" s="372"/>
      <c r="BY104" s="372"/>
      <c r="BZ104" s="429"/>
      <c r="CA104" s="428"/>
      <c r="CB104" s="7"/>
      <c r="CC104" s="83"/>
      <c r="CD104" s="83"/>
      <c r="CE104" s="83"/>
      <c r="CF104" s="83"/>
      <c r="CG104" s="339"/>
      <c r="CH104" s="339"/>
      <c r="CI104" s="339"/>
      <c r="CJ104" s="339"/>
      <c r="CK104" s="339"/>
      <c r="CL104" s="339"/>
      <c r="CM104" s="339"/>
      <c r="CN104" s="339"/>
      <c r="CO104" s="4"/>
      <c r="CP104" s="3"/>
      <c r="CQ104" s="3"/>
      <c r="CR104" s="3"/>
      <c r="CS104" s="3"/>
      <c r="CT104" s="3"/>
      <c r="CU104" s="3"/>
      <c r="CV104" s="3"/>
      <c r="CW104" s="3"/>
      <c r="CX104" s="3"/>
      <c r="CY104" s="3"/>
      <c r="CZ104" s="3"/>
      <c r="DA104" s="3"/>
      <c r="DB104" s="4"/>
      <c r="DC104" s="3"/>
      <c r="DD104" s="3"/>
      <c r="DE104" s="3"/>
      <c r="DF104" s="3"/>
      <c r="DG104" s="3"/>
      <c r="DH104" s="3"/>
      <c r="DI104" s="3"/>
      <c r="DJ104" s="3"/>
      <c r="DK104" s="3"/>
      <c r="DL104" s="3"/>
      <c r="DM104" s="3"/>
      <c r="DN104" s="3"/>
      <c r="DO104" s="4"/>
      <c r="DP104" s="3"/>
      <c r="DQ104" s="3"/>
      <c r="DR104" s="3"/>
      <c r="DS104" s="3"/>
      <c r="DT104" s="3"/>
      <c r="DU104" s="3"/>
      <c r="DV104" s="3"/>
      <c r="DW104" s="3"/>
      <c r="DX104" s="3"/>
      <c r="DY104" s="3"/>
      <c r="DZ104" s="3"/>
      <c r="EA104" s="3"/>
      <c r="EB104" s="4"/>
      <c r="EC104" s="3"/>
      <c r="ED104" s="3"/>
      <c r="EE104" s="3"/>
      <c r="EF104" s="3"/>
      <c r="EG104" s="3"/>
      <c r="EH104" s="3"/>
      <c r="EI104" s="3"/>
      <c r="EJ104" s="3"/>
      <c r="EK104" s="3"/>
      <c r="EL104" s="3"/>
      <c r="EM104" s="3"/>
      <c r="EN104" s="3"/>
      <c r="EO104" s="4"/>
      <c r="EP104" s="8"/>
      <c r="EQ104" s="181"/>
      <c r="ER104" s="181"/>
      <c r="ES104" s="181"/>
      <c r="ET104" s="181"/>
      <c r="EU104" s="181"/>
      <c r="EV104" s="181"/>
      <c r="EW104" s="181">
        <f>IFERROR(VLOOKUP(I104,CEI_072018!$A$1:$U$489,9,FALSE),0)</f>
        <v>0</v>
      </c>
      <c r="EX104" s="181">
        <f>IFERROR(VLOOKUP(I104,CEI_082018!$A$1:$U$489,9,FALSE),0)</f>
        <v>0</v>
      </c>
      <c r="EY104" s="181">
        <f>IFERROR(VLOOKUP(I104,CEI_092018!$A$1:$U$489,9,FALSE),0)</f>
        <v>0</v>
      </c>
      <c r="EZ104" s="181"/>
      <c r="FA104" s="181"/>
      <c r="FB104" s="181"/>
      <c r="FC104" s="181">
        <f>IFERROR(VLOOKUP(I104,CEI_092018!$A$1:$U$489,12,FALSE),0)</f>
        <v>0</v>
      </c>
      <c r="FD104" s="181"/>
      <c r="FE104" s="181"/>
      <c r="FF104"/>
      <c r="FG104"/>
      <c r="FH104"/>
      <c r="FI104"/>
      <c r="FJ104"/>
      <c r="FK104"/>
      <c r="FL104"/>
      <c r="FM104"/>
      <c r="FN104"/>
      <c r="FO104"/>
      <c r="FP104"/>
      <c r="FQ104"/>
      <c r="FR104"/>
      <c r="FS104"/>
      <c r="FT104"/>
      <c r="FU104"/>
      <c r="FV104"/>
      <c r="FW104"/>
      <c r="FX104"/>
      <c r="FY104"/>
      <c r="FZ104"/>
      <c r="GA104"/>
      <c r="GB104"/>
      <c r="GC104"/>
    </row>
    <row r="105" spans="1:185" ht="12.95" customHeight="1" x14ac:dyDescent="0.25">
      <c r="A105" s="202"/>
      <c r="B105" s="22" t="s">
        <v>57</v>
      </c>
      <c r="C105" s="34" t="s">
        <v>41</v>
      </c>
      <c r="D105" s="22" t="s">
        <v>187</v>
      </c>
      <c r="E105" s="25" t="s">
        <v>183</v>
      </c>
      <c r="F105" s="25" t="s">
        <v>187</v>
      </c>
      <c r="G105" s="25" t="s">
        <v>183</v>
      </c>
      <c r="H105" s="22" t="s">
        <v>56</v>
      </c>
      <c r="I105" s="423" t="s">
        <v>565</v>
      </c>
      <c r="J105" s="37"/>
      <c r="K105" s="23" t="s">
        <v>593</v>
      </c>
      <c r="L105" s="23" t="s">
        <v>218</v>
      </c>
      <c r="M105" s="23" t="s">
        <v>219</v>
      </c>
      <c r="N105" s="23"/>
      <c r="O105" s="2"/>
      <c r="P105" s="2"/>
      <c r="Q105" s="2"/>
      <c r="R105" s="2"/>
      <c r="S105" s="2"/>
      <c r="T105" s="116">
        <f t="shared" si="44"/>
        <v>0</v>
      </c>
      <c r="U105" s="324"/>
      <c r="V105" s="324"/>
      <c r="W105" s="324"/>
      <c r="X105" s="324"/>
      <c r="Y105" s="324"/>
      <c r="Z105" s="324"/>
      <c r="AA105" s="324"/>
      <c r="AB105" s="324"/>
      <c r="AC105" s="324"/>
      <c r="AD105" s="324"/>
      <c r="AE105" s="324"/>
      <c r="AF105" s="324"/>
      <c r="AG105" s="140">
        <f t="shared" si="45"/>
        <v>0</v>
      </c>
      <c r="AH105" s="324"/>
      <c r="AI105" s="324">
        <v>10</v>
      </c>
      <c r="AJ105" s="324">
        <v>15</v>
      </c>
      <c r="AK105" s="324">
        <v>20</v>
      </c>
      <c r="AL105" s="324">
        <v>25</v>
      </c>
      <c r="AM105" s="324">
        <v>20</v>
      </c>
      <c r="AN105" s="324">
        <v>15</v>
      </c>
      <c r="AO105" s="324"/>
      <c r="AP105" s="324"/>
      <c r="AQ105" s="324"/>
      <c r="AR105" s="324"/>
      <c r="AS105" s="324"/>
      <c r="AT105" s="140">
        <f t="shared" si="46"/>
        <v>105</v>
      </c>
      <c r="AU105" s="324"/>
      <c r="AV105" s="324"/>
      <c r="AW105" s="324"/>
      <c r="AX105" s="324">
        <f>200-150</f>
        <v>50</v>
      </c>
      <c r="AY105" s="324">
        <v>215</v>
      </c>
      <c r="AZ105" s="324">
        <v>220</v>
      </c>
      <c r="BA105" s="324">
        <v>240</v>
      </c>
      <c r="BB105" s="324">
        <v>285</v>
      </c>
      <c r="BC105" s="324">
        <v>265</v>
      </c>
      <c r="BD105" s="324">
        <v>250</v>
      </c>
      <c r="BE105" s="324">
        <v>220</v>
      </c>
      <c r="BF105" s="324">
        <v>205</v>
      </c>
      <c r="BG105" s="140">
        <f t="shared" si="47"/>
        <v>1950</v>
      </c>
      <c r="BH105" s="324">
        <v>200</v>
      </c>
      <c r="BI105" s="324">
        <v>190</v>
      </c>
      <c r="BJ105" s="324">
        <v>175</v>
      </c>
      <c r="BK105" s="324">
        <v>155</v>
      </c>
      <c r="BL105" s="324">
        <v>135</v>
      </c>
      <c r="BM105" s="324">
        <v>120</v>
      </c>
      <c r="BN105" s="324"/>
      <c r="BO105" s="324"/>
      <c r="BP105" s="324"/>
      <c r="BQ105" s="324"/>
      <c r="BR105" s="324"/>
      <c r="BS105" s="324"/>
      <c r="BT105" s="140">
        <f t="shared" si="48"/>
        <v>975</v>
      </c>
      <c r="BU105" s="114">
        <f t="shared" si="49"/>
        <v>3030</v>
      </c>
      <c r="BV105" s="432"/>
      <c r="BW105" s="432"/>
      <c r="BX105" s="432"/>
      <c r="BY105" s="432"/>
      <c r="BZ105" s="433"/>
      <c r="CA105" s="434"/>
      <c r="CB105" s="7" t="s">
        <v>72</v>
      </c>
      <c r="CC105" s="83">
        <v>0</v>
      </c>
      <c r="CD105" s="83">
        <v>0</v>
      </c>
      <c r="CE105" s="83">
        <v>0</v>
      </c>
      <c r="CF105" s="83">
        <v>0</v>
      </c>
      <c r="CG105" s="84">
        <v>0</v>
      </c>
      <c r="CH105" s="84">
        <v>0</v>
      </c>
      <c r="CI105" s="84">
        <v>0</v>
      </c>
      <c r="CJ105" s="84">
        <v>0</v>
      </c>
      <c r="CK105" s="84">
        <v>0</v>
      </c>
      <c r="CL105" s="84">
        <v>0</v>
      </c>
      <c r="CM105" s="84">
        <v>0</v>
      </c>
      <c r="CN105" s="84">
        <v>0</v>
      </c>
      <c r="CO105" s="4">
        <f>SUM(CC105:CN105)</f>
        <v>0</v>
      </c>
      <c r="CP105" s="84">
        <v>0</v>
      </c>
      <c r="CQ105" s="84">
        <v>0</v>
      </c>
      <c r="CR105" s="84">
        <v>0</v>
      </c>
      <c r="CS105" s="84">
        <v>0</v>
      </c>
      <c r="CT105" s="84">
        <v>0</v>
      </c>
      <c r="CU105" s="84">
        <v>0</v>
      </c>
      <c r="CV105" s="84">
        <v>0</v>
      </c>
      <c r="CW105" s="84">
        <v>0</v>
      </c>
      <c r="CX105" s="84">
        <v>0</v>
      </c>
      <c r="CY105" s="84">
        <v>0</v>
      </c>
      <c r="CZ105" s="84">
        <v>0</v>
      </c>
      <c r="DA105" s="84">
        <v>0</v>
      </c>
      <c r="DB105" s="4">
        <f>SUM(CP105:DA105)</f>
        <v>0</v>
      </c>
      <c r="DC105" s="84">
        <v>0</v>
      </c>
      <c r="DD105" s="84">
        <v>1.1396979208444053E-3</v>
      </c>
      <c r="DE105" s="84">
        <v>1.709546881266608E-3</v>
      </c>
      <c r="DF105" s="84">
        <v>2.2793958416888107E-3</v>
      </c>
      <c r="DG105" s="84">
        <v>2.8492448021110134E-3</v>
      </c>
      <c r="DH105" s="84">
        <v>2.2793958416888107E-3</v>
      </c>
      <c r="DI105" s="84">
        <v>1.709546881266608E-3</v>
      </c>
      <c r="DJ105" s="84">
        <v>0</v>
      </c>
      <c r="DK105" s="84">
        <v>0</v>
      </c>
      <c r="DL105" s="84">
        <v>0</v>
      </c>
      <c r="DM105" s="84">
        <v>0</v>
      </c>
      <c r="DN105" s="84">
        <v>0</v>
      </c>
      <c r="DO105" s="4">
        <f>SUM(DC105:DN105)</f>
        <v>1.1966828168866257E-2</v>
      </c>
      <c r="DP105" s="84">
        <v>0</v>
      </c>
      <c r="DQ105" s="84">
        <v>0</v>
      </c>
      <c r="DR105" s="84">
        <v>0</v>
      </c>
      <c r="DS105" s="84">
        <v>2.3805799902253386E-2</v>
      </c>
      <c r="DT105" s="84">
        <v>2.5591234894922387E-2</v>
      </c>
      <c r="DU105" s="84">
        <v>2.6186379892478722E-2</v>
      </c>
      <c r="DV105" s="84">
        <v>2.8566959882704062E-2</v>
      </c>
      <c r="DW105" s="84">
        <v>3.3923264860711073E-2</v>
      </c>
      <c r="DX105" s="84">
        <v>3.1542684870485733E-2</v>
      </c>
      <c r="DY105" s="84">
        <v>2.9757249877816732E-2</v>
      </c>
      <c r="DZ105" s="84">
        <v>2.6186379892478722E-2</v>
      </c>
      <c r="EA105" s="84">
        <v>2.4400944899809721E-2</v>
      </c>
      <c r="EB105" s="4">
        <f>SUM(DP105:EA105)</f>
        <v>0.24996089897366053</v>
      </c>
      <c r="EC105" s="84">
        <v>4.1605991262741837E-2</v>
      </c>
      <c r="ED105" s="84">
        <v>3.9525691699604744E-2</v>
      </c>
      <c r="EE105" s="84">
        <v>3.6405242354899107E-2</v>
      </c>
      <c r="EF105" s="84">
        <v>3.2244643228624921E-2</v>
      </c>
      <c r="EG105" s="84">
        <v>2.8084044102350738E-2</v>
      </c>
      <c r="EH105" s="84">
        <v>2.4963594757645102E-2</v>
      </c>
      <c r="EI105" s="84">
        <v>0</v>
      </c>
      <c r="EJ105" s="84">
        <v>0</v>
      </c>
      <c r="EK105" s="84">
        <v>0</v>
      </c>
      <c r="EL105" s="84">
        <v>0</v>
      </c>
      <c r="EM105" s="84">
        <v>0</v>
      </c>
      <c r="EN105" s="84">
        <v>0</v>
      </c>
      <c r="EO105" s="4">
        <f>SUM(EC105:EN105)</f>
        <v>0.20282920740586644</v>
      </c>
      <c r="EP105" s="8">
        <f>SUM(EO105,EB105,DO105,DB105,CO105)</f>
        <v>0.46475693454839323</v>
      </c>
      <c r="EQ105" s="181">
        <f>IFERROR(VLOOKUP(I105,CEI_012018!$A$1:$U$509,9,FALSE),0)</f>
        <v>0</v>
      </c>
      <c r="ER105" s="181">
        <f>IFERROR(VLOOKUP(I105,CEI_022018!$A$1:$U$509,9,FALSE),0)</f>
        <v>0</v>
      </c>
      <c r="ES105" s="181">
        <f>IFERROR(VLOOKUP(I105,CEI_032018!$A$1:$U$509,9,FALSE),0)</f>
        <v>0</v>
      </c>
      <c r="ET105" s="181">
        <f>IFERROR(VLOOKUP(I105,CEI_042018!$A$1:$U$491,9,FALSE),0)</f>
        <v>0</v>
      </c>
      <c r="EU105" s="181">
        <f>IFERROR(VLOOKUP(I105,CEI_052018!$A$1:$U$489,9,FALSE),0)</f>
        <v>0</v>
      </c>
      <c r="EV105" s="181">
        <f>IFERROR(VLOOKUP(I105,CEI_062018!$A$1:$U$489,9,FALSE),0)</f>
        <v>0</v>
      </c>
      <c r="EW105" s="181">
        <f>IFERROR(VLOOKUP(I105,CEI_072018!$A$1:$U$489,9,FALSE),0)</f>
        <v>0</v>
      </c>
      <c r="EX105" s="181">
        <f>IFERROR(VLOOKUP(I105,CEI_082018!$A$1:$U$489,9,FALSE),0)</f>
        <v>0</v>
      </c>
      <c r="EY105" s="181">
        <f>IFERROR(VLOOKUP(I105,CEI_092018!$A$1:$U$489,9,FALSE),0)</f>
        <v>0</v>
      </c>
      <c r="EZ105" s="181"/>
      <c r="FA105" s="181"/>
      <c r="FB105" s="181"/>
      <c r="FC105" s="181">
        <f>IFERROR(VLOOKUP(I105,CEI_092018!$A$1:$U$489,12,FALSE),0)</f>
        <v>0</v>
      </c>
      <c r="FD105" s="181">
        <f>EW105+FC105</f>
        <v>0</v>
      </c>
      <c r="FE105" s="181">
        <f>SUM(T105-FD105)</f>
        <v>0</v>
      </c>
      <c r="FF105"/>
      <c r="FG105"/>
      <c r="FH105"/>
      <c r="FI105"/>
      <c r="FJ105"/>
      <c r="FK105"/>
      <c r="FL105"/>
      <c r="FM105"/>
      <c r="FN105"/>
      <c r="FO105"/>
      <c r="FP105"/>
      <c r="FQ105"/>
      <c r="FR105"/>
      <c r="FS105"/>
      <c r="FT105"/>
      <c r="FU105"/>
      <c r="FV105"/>
      <c r="FW105"/>
      <c r="FX105"/>
      <c r="FY105"/>
      <c r="FZ105"/>
      <c r="GA105"/>
      <c r="GB105"/>
      <c r="GC105"/>
    </row>
    <row r="106" spans="1:185" ht="12.95" customHeight="1" x14ac:dyDescent="0.25">
      <c r="A106" s="202"/>
      <c r="B106" s="22" t="s">
        <v>57</v>
      </c>
      <c r="C106" s="34" t="s">
        <v>41</v>
      </c>
      <c r="D106" s="22" t="s">
        <v>55</v>
      </c>
      <c r="E106" s="25" t="s">
        <v>611</v>
      </c>
      <c r="F106" s="25" t="s">
        <v>55</v>
      </c>
      <c r="G106" s="25" t="s">
        <v>611</v>
      </c>
      <c r="H106" s="22" t="s">
        <v>56</v>
      </c>
      <c r="I106" s="423" t="s">
        <v>1613</v>
      </c>
      <c r="J106" s="373" t="s">
        <v>1614</v>
      </c>
      <c r="K106" s="94" t="s">
        <v>60</v>
      </c>
      <c r="L106" s="23" t="s">
        <v>587</v>
      </c>
      <c r="M106" s="23" t="s">
        <v>74</v>
      </c>
      <c r="N106" s="23"/>
      <c r="O106" s="2"/>
      <c r="P106" s="2"/>
      <c r="Q106" s="2"/>
      <c r="R106" s="2">
        <v>10</v>
      </c>
      <c r="S106" s="2">
        <v>20</v>
      </c>
      <c r="T106" s="116">
        <f t="shared" si="44"/>
        <v>30</v>
      </c>
      <c r="U106" s="324">
        <v>145</v>
      </c>
      <c r="V106" s="324">
        <v>65</v>
      </c>
      <c r="W106" s="324">
        <v>65</v>
      </c>
      <c r="X106" s="324">
        <v>65</v>
      </c>
      <c r="Y106" s="324">
        <v>65</v>
      </c>
      <c r="Z106" s="324">
        <v>69</v>
      </c>
      <c r="AA106" s="324"/>
      <c r="AB106" s="324"/>
      <c r="AC106" s="324"/>
      <c r="AD106" s="324"/>
      <c r="AE106" s="324"/>
      <c r="AF106" s="324">
        <v>2</v>
      </c>
      <c r="AG106" s="140">
        <f t="shared" si="45"/>
        <v>476</v>
      </c>
      <c r="AH106" s="324">
        <v>207</v>
      </c>
      <c r="AI106" s="324">
        <v>237.01</v>
      </c>
      <c r="AJ106" s="324">
        <v>161.41999999999999</v>
      </c>
      <c r="AK106" s="324">
        <v>252.32</v>
      </c>
      <c r="AL106" s="324">
        <v>202.53</v>
      </c>
      <c r="AM106" s="324">
        <v>158.07</v>
      </c>
      <c r="AN106" s="324">
        <v>233.24</v>
      </c>
      <c r="AO106" s="324">
        <v>118.07</v>
      </c>
      <c r="AP106" s="324">
        <v>100.29</v>
      </c>
      <c r="AQ106" s="324">
        <v>118.07</v>
      </c>
      <c r="AR106" s="324">
        <v>104.73</v>
      </c>
      <c r="AS106" s="324">
        <f>86.95-2</f>
        <v>84.95</v>
      </c>
      <c r="AT106" s="140">
        <f t="shared" si="46"/>
        <v>1977.6999999999998</v>
      </c>
      <c r="AU106" s="324"/>
      <c r="AV106" s="324"/>
      <c r="AW106" s="324"/>
      <c r="AX106" s="324"/>
      <c r="AY106" s="324"/>
      <c r="AZ106" s="324"/>
      <c r="BA106" s="324"/>
      <c r="BB106" s="324"/>
      <c r="BC106" s="324"/>
      <c r="BD106" s="324"/>
      <c r="BE106" s="324"/>
      <c r="BF106" s="324"/>
      <c r="BG106" s="140">
        <f t="shared" si="47"/>
        <v>0</v>
      </c>
      <c r="BH106" s="324"/>
      <c r="BI106" s="324"/>
      <c r="BJ106" s="324"/>
      <c r="BK106" s="324"/>
      <c r="BL106" s="324"/>
      <c r="BM106" s="324"/>
      <c r="BN106" s="324"/>
      <c r="BO106" s="324"/>
      <c r="BP106" s="324"/>
      <c r="BQ106" s="324"/>
      <c r="BR106" s="324"/>
      <c r="BS106" s="324"/>
      <c r="BT106" s="140">
        <f t="shared" si="48"/>
        <v>0</v>
      </c>
      <c r="BU106" s="114">
        <f t="shared" si="49"/>
        <v>2483.6999999999998</v>
      </c>
      <c r="BV106" s="372">
        <v>1</v>
      </c>
      <c r="BW106" s="372">
        <v>1</v>
      </c>
      <c r="BX106" s="372">
        <v>1</v>
      </c>
      <c r="BY106" s="372">
        <v>1</v>
      </c>
      <c r="BZ106" s="436">
        <f>IFERROR((EX106/T106%),0)</f>
        <v>0</v>
      </c>
      <c r="CA106" s="428">
        <f>IFERROR((FD106/T106%),0)</f>
        <v>61.199531555175781</v>
      </c>
      <c r="CB106" s="7" t="s">
        <v>72</v>
      </c>
      <c r="CC106" s="83">
        <v>0</v>
      </c>
      <c r="CD106" s="83">
        <v>0</v>
      </c>
      <c r="CE106" s="83">
        <v>0</v>
      </c>
      <c r="CF106" s="83">
        <v>0</v>
      </c>
      <c r="CG106" s="84">
        <v>0</v>
      </c>
      <c r="CH106" s="84">
        <v>0</v>
      </c>
      <c r="CI106" s="84">
        <v>0</v>
      </c>
      <c r="CJ106" s="84">
        <v>0</v>
      </c>
      <c r="CK106" s="84">
        <v>2.5770260192009052E-3</v>
      </c>
      <c r="CL106" s="84">
        <v>1.8039182134406338E-2</v>
      </c>
      <c r="CM106" s="84">
        <v>0</v>
      </c>
      <c r="CN106" s="84">
        <v>5.1540520384018105E-3</v>
      </c>
      <c r="CO106" s="4">
        <f>SUM(CC106:CN106)</f>
        <v>2.5770260192009051E-2</v>
      </c>
      <c r="CP106" s="84">
        <v>0</v>
      </c>
      <c r="CQ106" s="84">
        <v>2.5572022294572394E-2</v>
      </c>
      <c r="CR106" s="84">
        <v>0</v>
      </c>
      <c r="CS106" s="84">
        <v>3.482118877612482E-2</v>
      </c>
      <c r="CT106" s="84">
        <v>0</v>
      </c>
      <c r="CU106" s="84">
        <v>0</v>
      </c>
      <c r="CV106" s="84">
        <v>0</v>
      </c>
      <c r="CW106" s="84">
        <v>0</v>
      </c>
      <c r="CX106" s="84">
        <v>0</v>
      </c>
      <c r="CY106" s="84">
        <v>2.9170144029564762E-3</v>
      </c>
      <c r="CZ106" s="84">
        <v>8.6070279769712953E-3</v>
      </c>
      <c r="DA106" s="84">
        <v>1.4163310935461283E-2</v>
      </c>
      <c r="DB106" s="4">
        <f>SUM(CP106:DA106)</f>
        <v>8.6080564386086272E-2</v>
      </c>
      <c r="DC106" s="84">
        <v>1.3326163924920288E-2</v>
      </c>
      <c r="DD106" s="84">
        <v>1.3838212154892771E-2</v>
      </c>
      <c r="DE106" s="84">
        <v>1.8397003838270389E-2</v>
      </c>
      <c r="DF106" s="84">
        <v>2.8756317909183926E-2</v>
      </c>
      <c r="DG106" s="84">
        <v>2.3082062084905281E-2</v>
      </c>
      <c r="DH106" s="84">
        <v>1.801576224187669E-2</v>
      </c>
      <c r="DI106" s="84">
        <v>2.6582342098448397E-2</v>
      </c>
      <c r="DJ106" s="84">
        <v>1.3456092383185148E-2</v>
      </c>
      <c r="DK106" s="84">
        <v>1.1429572445950916E-2</v>
      </c>
      <c r="DL106" s="84">
        <v>1.3456092383185148E-2</v>
      </c>
      <c r="DM106" s="84">
        <v>1.1936202430173999E-2</v>
      </c>
      <c r="DN106" s="84">
        <v>9.9096824930537362E-3</v>
      </c>
      <c r="DO106" s="4">
        <f>SUM(DC106:DN106)</f>
        <v>0.20218550638804669</v>
      </c>
      <c r="DP106" s="84">
        <v>0</v>
      </c>
      <c r="DQ106" s="84">
        <v>0</v>
      </c>
      <c r="DR106" s="84">
        <v>0</v>
      </c>
      <c r="DS106" s="84">
        <v>0</v>
      </c>
      <c r="DT106" s="84">
        <v>0</v>
      </c>
      <c r="DU106" s="84">
        <v>0</v>
      </c>
      <c r="DV106" s="84">
        <v>0</v>
      </c>
      <c r="DW106" s="84">
        <v>0</v>
      </c>
      <c r="DX106" s="84">
        <v>0</v>
      </c>
      <c r="DY106" s="84">
        <v>0</v>
      </c>
      <c r="DZ106" s="84">
        <v>0</v>
      </c>
      <c r="EA106" s="84">
        <v>0</v>
      </c>
      <c r="EB106" s="4">
        <f>SUM(DP106:EA106)</f>
        <v>0</v>
      </c>
      <c r="EC106" s="84">
        <v>0</v>
      </c>
      <c r="ED106" s="84">
        <v>0</v>
      </c>
      <c r="EE106" s="84">
        <v>0</v>
      </c>
      <c r="EF106" s="84">
        <v>0</v>
      </c>
      <c r="EG106" s="84">
        <v>0</v>
      </c>
      <c r="EH106" s="84">
        <v>0</v>
      </c>
      <c r="EI106" s="84">
        <v>0</v>
      </c>
      <c r="EJ106" s="84">
        <v>0</v>
      </c>
      <c r="EK106" s="84">
        <v>0</v>
      </c>
      <c r="EL106" s="84">
        <v>0</v>
      </c>
      <c r="EM106" s="84">
        <v>0</v>
      </c>
      <c r="EN106" s="84">
        <v>0</v>
      </c>
      <c r="EO106" s="4">
        <f>SUM(EC106:EN106)</f>
        <v>0</v>
      </c>
      <c r="EP106" s="8">
        <f>SUM(EO106,EB106,DO106,DB106,CO106)</f>
        <v>0.31403633096614203</v>
      </c>
      <c r="EQ106" s="181">
        <f>IFERROR(VLOOKUP(I106,CEI_012018!$A$1:$U$509,9,FALSE),0)</f>
        <v>0</v>
      </c>
      <c r="ER106" s="181">
        <f>IFERROR(VLOOKUP(I106,CEI_022018!$A$1:$U$509,9,FALSE),0)</f>
        <v>0</v>
      </c>
      <c r="ES106" s="181">
        <f>IFERROR(VLOOKUP(I106,CEI_032018!$A$1:$U$509,9,FALSE),0)</f>
        <v>0</v>
      </c>
      <c r="ET106" s="181">
        <f>IFERROR(VLOOKUP(I106,CEI_042018!$A$1:$U$491,9,FALSE),0)</f>
        <v>0</v>
      </c>
      <c r="EU106" s="181">
        <f>IFERROR(VLOOKUP(I106,CEI_052018!$A$1:$U$489,9,FALSE),0)</f>
        <v>0</v>
      </c>
      <c r="EV106" s="181">
        <f>IFERROR(VLOOKUP(I106,CEI_062018!$A$1:$U$489,9,FALSE),0)</f>
        <v>0</v>
      </c>
      <c r="EW106" s="181">
        <f>IFERROR(VLOOKUP(I106,CEI_072018!$A$1:$U$489,9,FALSE),0)</f>
        <v>0</v>
      </c>
      <c r="EX106" s="181">
        <f>IFERROR(VLOOKUP(I106,CEI_082018!$A$1:$U$489,9,FALSE),0)</f>
        <v>0</v>
      </c>
      <c r="EY106" s="181">
        <f>IFERROR(VLOOKUP(I106,CEI_092018!$A$1:$U$489,9,FALSE),0)</f>
        <v>10.5</v>
      </c>
      <c r="EZ106" s="181"/>
      <c r="FA106" s="181"/>
      <c r="FB106" s="181"/>
      <c r="FC106" s="181">
        <f>IFERROR(VLOOKUP(I106,CEI_092018!$A$1:$U$489,12,FALSE),0)</f>
        <v>18.359859466552734</v>
      </c>
      <c r="FD106" s="181">
        <f>EW106+FC106</f>
        <v>18.359859466552734</v>
      </c>
      <c r="FE106" s="181">
        <f>SUM(T106-FD106)</f>
        <v>11.640140533447266</v>
      </c>
      <c r="FF106"/>
      <c r="FG106"/>
      <c r="FH106"/>
      <c r="FI106"/>
      <c r="FJ106"/>
      <c r="FK106"/>
      <c r="FL106"/>
      <c r="FM106"/>
      <c r="FN106"/>
      <c r="FO106"/>
      <c r="FP106"/>
      <c r="FQ106"/>
      <c r="FR106"/>
      <c r="FS106"/>
      <c r="FT106"/>
      <c r="FU106"/>
      <c r="FV106"/>
      <c r="FW106"/>
      <c r="FX106"/>
      <c r="FY106"/>
      <c r="FZ106"/>
      <c r="GA106"/>
      <c r="GB106"/>
      <c r="GC106"/>
    </row>
    <row r="107" spans="1:185" ht="12.95" customHeight="1" x14ac:dyDescent="0.25">
      <c r="A107" s="202"/>
      <c r="B107" s="496" t="s">
        <v>57</v>
      </c>
      <c r="C107" s="497" t="s">
        <v>41</v>
      </c>
      <c r="D107" s="496" t="s">
        <v>1910</v>
      </c>
      <c r="E107" s="497" t="s">
        <v>1909</v>
      </c>
      <c r="F107" s="496" t="s">
        <v>1910</v>
      </c>
      <c r="G107" s="497" t="s">
        <v>1909</v>
      </c>
      <c r="H107" s="498" t="s">
        <v>62</v>
      </c>
      <c r="I107" s="499" t="s">
        <v>565</v>
      </c>
      <c r="J107" s="500"/>
      <c r="K107" s="496" t="s">
        <v>1911</v>
      </c>
      <c r="L107" s="23"/>
      <c r="M107" s="23"/>
      <c r="N107" s="23"/>
      <c r="O107" s="2"/>
      <c r="P107" s="2"/>
      <c r="Q107" s="2"/>
      <c r="R107" s="2"/>
      <c r="S107" s="2"/>
      <c r="T107" s="116">
        <f t="shared" si="44"/>
        <v>0</v>
      </c>
      <c r="U107" s="324"/>
      <c r="V107" s="324"/>
      <c r="W107" s="324"/>
      <c r="X107" s="324"/>
      <c r="Y107" s="324"/>
      <c r="Z107" s="324"/>
      <c r="AA107" s="324">
        <f>2015-320+100-45+1.60000002384185+218.399999976158</f>
        <v>1969.9999999999998</v>
      </c>
      <c r="AB107" s="324"/>
      <c r="AC107" s="324"/>
      <c r="AD107" s="324"/>
      <c r="AE107" s="324"/>
      <c r="AF107" s="324"/>
      <c r="AG107" s="140">
        <f t="shared" si="45"/>
        <v>1969.9999999999998</v>
      </c>
      <c r="AH107" s="324"/>
      <c r="AI107" s="324"/>
      <c r="AJ107" s="324"/>
      <c r="AK107" s="324"/>
      <c r="AL107" s="324"/>
      <c r="AM107" s="324"/>
      <c r="AN107" s="324"/>
      <c r="AO107" s="324"/>
      <c r="AP107" s="324"/>
      <c r="AQ107" s="324"/>
      <c r="AR107" s="324"/>
      <c r="AS107" s="324"/>
      <c r="AT107" s="140">
        <f t="shared" si="46"/>
        <v>0</v>
      </c>
      <c r="AU107" s="324"/>
      <c r="AV107" s="324"/>
      <c r="AW107" s="324"/>
      <c r="AX107" s="324"/>
      <c r="AY107" s="324"/>
      <c r="AZ107" s="324"/>
      <c r="BA107" s="324"/>
      <c r="BB107" s="324"/>
      <c r="BC107" s="324"/>
      <c r="BD107" s="324"/>
      <c r="BE107" s="324"/>
      <c r="BF107" s="324"/>
      <c r="BG107" s="140">
        <f t="shared" si="47"/>
        <v>0</v>
      </c>
      <c r="BH107" s="324"/>
      <c r="BI107" s="324"/>
      <c r="BJ107" s="324"/>
      <c r="BK107" s="324"/>
      <c r="BL107" s="324"/>
      <c r="BM107" s="324"/>
      <c r="BN107" s="324"/>
      <c r="BO107" s="324"/>
      <c r="BP107" s="324"/>
      <c r="BQ107" s="324"/>
      <c r="BR107" s="324"/>
      <c r="BS107" s="324"/>
      <c r="BT107" s="140">
        <f t="shared" si="48"/>
        <v>0</v>
      </c>
      <c r="BU107" s="114">
        <f t="shared" si="49"/>
        <v>1969.9999999999998</v>
      </c>
      <c r="BV107" s="372"/>
      <c r="BW107" s="372"/>
      <c r="BX107" s="372"/>
      <c r="BY107" s="372"/>
      <c r="BZ107" s="429"/>
      <c r="CA107" s="428"/>
      <c r="CB107" s="7"/>
      <c r="CC107" s="3"/>
      <c r="CD107" s="3"/>
      <c r="CE107" s="3"/>
      <c r="CF107" s="3"/>
      <c r="CG107" s="3"/>
      <c r="CH107" s="3"/>
      <c r="CI107" s="3"/>
      <c r="CJ107" s="3"/>
      <c r="CK107" s="3"/>
      <c r="CL107" s="3"/>
      <c r="CM107" s="3"/>
      <c r="CN107" s="3"/>
      <c r="CO107" s="4"/>
      <c r="CP107" s="3"/>
      <c r="CQ107" s="3"/>
      <c r="CR107" s="3"/>
      <c r="CS107" s="3"/>
      <c r="CT107" s="3"/>
      <c r="CU107" s="3"/>
      <c r="CV107" s="3"/>
      <c r="CW107" s="3"/>
      <c r="CX107" s="3"/>
      <c r="CY107" s="3"/>
      <c r="CZ107" s="3"/>
      <c r="DA107" s="3"/>
      <c r="DB107" s="4"/>
      <c r="DC107" s="3"/>
      <c r="DD107" s="3"/>
      <c r="DE107" s="3"/>
      <c r="DF107" s="3"/>
      <c r="DG107" s="3"/>
      <c r="DH107" s="3"/>
      <c r="DI107" s="3"/>
      <c r="DJ107" s="3"/>
      <c r="DK107" s="3"/>
      <c r="DL107" s="3"/>
      <c r="DM107" s="3"/>
      <c r="DN107" s="3"/>
      <c r="DO107" s="4"/>
      <c r="DP107" s="3"/>
      <c r="DQ107" s="3"/>
      <c r="DR107" s="3"/>
      <c r="DS107" s="3"/>
      <c r="DT107" s="3"/>
      <c r="DU107" s="3"/>
      <c r="DV107" s="3"/>
      <c r="DW107" s="3"/>
      <c r="DX107" s="3"/>
      <c r="DY107" s="3"/>
      <c r="DZ107" s="3"/>
      <c r="EA107" s="3"/>
      <c r="EB107" s="4"/>
      <c r="EC107" s="3"/>
      <c r="ED107" s="3"/>
      <c r="EE107" s="3"/>
      <c r="EF107" s="3"/>
      <c r="EG107" s="3"/>
      <c r="EH107" s="3"/>
      <c r="EI107" s="3"/>
      <c r="EJ107" s="3"/>
      <c r="EK107" s="3"/>
      <c r="EL107" s="3"/>
      <c r="EM107" s="3"/>
      <c r="EN107" s="3"/>
      <c r="EO107" s="4"/>
      <c r="EP107" s="8"/>
      <c r="EQ107" s="181"/>
      <c r="ER107" s="181"/>
      <c r="ES107" s="181"/>
      <c r="ET107" s="181"/>
      <c r="EU107" s="181"/>
      <c r="EV107" s="181"/>
      <c r="EW107" s="181">
        <f>IFERROR(VLOOKUP(I107,CEI_072018!$A$1:$U$489,9,FALSE),0)</f>
        <v>0</v>
      </c>
      <c r="EX107" s="181">
        <f>IFERROR(VLOOKUP(I107,CEI_082018!$A$1:$U$489,9,FALSE),0)</f>
        <v>0</v>
      </c>
      <c r="EY107" s="181">
        <f>IFERROR(VLOOKUP(I107,CEI_092018!$A$1:$U$489,9,FALSE),0)</f>
        <v>0</v>
      </c>
      <c r="EZ107" s="181"/>
      <c r="FA107" s="181"/>
      <c r="FB107" s="181"/>
      <c r="FC107" s="181">
        <f>IFERROR(VLOOKUP(I107,CEI_092018!$A$1:$U$489,12,FALSE),0)</f>
        <v>0</v>
      </c>
      <c r="FD107" s="181"/>
      <c r="FE107" s="181"/>
      <c r="FF107"/>
      <c r="FG107"/>
      <c r="FH107"/>
      <c r="FI107"/>
      <c r="FJ107"/>
      <c r="FK107"/>
      <c r="FL107"/>
      <c r="FM107"/>
      <c r="FN107"/>
      <c r="FO107"/>
      <c r="FP107"/>
      <c r="FQ107"/>
      <c r="FR107"/>
      <c r="FS107"/>
      <c r="FT107"/>
      <c r="FU107"/>
      <c r="FV107"/>
      <c r="FW107"/>
      <c r="FX107"/>
      <c r="FY107"/>
      <c r="FZ107"/>
      <c r="GA107"/>
      <c r="GB107"/>
      <c r="GC107"/>
    </row>
    <row r="108" spans="1:185" ht="12.95" customHeight="1" x14ac:dyDescent="0.25">
      <c r="A108" s="202"/>
      <c r="B108" s="22" t="s">
        <v>57</v>
      </c>
      <c r="C108" s="34" t="s">
        <v>41</v>
      </c>
      <c r="D108" s="23" t="s">
        <v>58</v>
      </c>
      <c r="E108" s="25" t="s">
        <v>292</v>
      </c>
      <c r="F108" s="25" t="s">
        <v>58</v>
      </c>
      <c r="G108" s="25" t="s">
        <v>292</v>
      </c>
      <c r="H108" s="22" t="s">
        <v>56</v>
      </c>
      <c r="I108" s="423" t="s">
        <v>565</v>
      </c>
      <c r="J108" s="37"/>
      <c r="K108" s="23" t="s">
        <v>596</v>
      </c>
      <c r="L108" s="23" t="s">
        <v>643</v>
      </c>
      <c r="M108" s="23" t="s">
        <v>644</v>
      </c>
      <c r="N108" s="23" t="s">
        <v>1775</v>
      </c>
      <c r="O108" s="2"/>
      <c r="P108" s="2"/>
      <c r="Q108" s="2"/>
      <c r="R108" s="2"/>
      <c r="S108" s="2"/>
      <c r="T108" s="116">
        <f t="shared" si="44"/>
        <v>0</v>
      </c>
      <c r="U108" s="324"/>
      <c r="V108" s="324"/>
      <c r="W108" s="324"/>
      <c r="X108" s="324"/>
      <c r="Y108" s="324"/>
      <c r="Z108" s="324"/>
      <c r="AA108" s="324"/>
      <c r="AB108" s="324"/>
      <c r="AC108" s="324">
        <v>660</v>
      </c>
      <c r="AD108" s="324"/>
      <c r="AE108" s="324"/>
      <c r="AF108" s="324"/>
      <c r="AG108" s="140">
        <f t="shared" si="45"/>
        <v>660</v>
      </c>
      <c r="AH108" s="324">
        <v>124</v>
      </c>
      <c r="AI108" s="324">
        <v>120</v>
      </c>
      <c r="AJ108" s="324">
        <v>116</v>
      </c>
      <c r="AK108" s="324">
        <v>100</v>
      </c>
      <c r="AL108" s="324">
        <v>74</v>
      </c>
      <c r="AM108" s="324"/>
      <c r="AN108" s="324"/>
      <c r="AO108" s="324"/>
      <c r="AP108" s="324"/>
      <c r="AQ108" s="324"/>
      <c r="AR108" s="324"/>
      <c r="AS108" s="324"/>
      <c r="AT108" s="140">
        <f t="shared" si="46"/>
        <v>534</v>
      </c>
      <c r="AU108" s="324"/>
      <c r="AV108" s="324"/>
      <c r="AW108" s="324"/>
      <c r="AX108" s="324"/>
      <c r="AY108" s="324">
        <v>320</v>
      </c>
      <c r="AZ108" s="324"/>
      <c r="BA108" s="324"/>
      <c r="BB108" s="324"/>
      <c r="BC108" s="324"/>
      <c r="BD108" s="324"/>
      <c r="BE108" s="324"/>
      <c r="BF108" s="324">
        <v>0</v>
      </c>
      <c r="BG108" s="140">
        <f t="shared" si="47"/>
        <v>320</v>
      </c>
      <c r="BH108" s="324"/>
      <c r="BI108" s="324"/>
      <c r="BJ108" s="324"/>
      <c r="BK108" s="324"/>
      <c r="BL108" s="324"/>
      <c r="BM108" s="324"/>
      <c r="BN108" s="324"/>
      <c r="BO108" s="324"/>
      <c r="BP108" s="324"/>
      <c r="BQ108" s="324"/>
      <c r="BR108" s="324"/>
      <c r="BS108" s="324">
        <v>0</v>
      </c>
      <c r="BT108" s="140">
        <f t="shared" si="48"/>
        <v>0</v>
      </c>
      <c r="BU108" s="114">
        <f t="shared" si="49"/>
        <v>1514</v>
      </c>
      <c r="BV108" s="432"/>
      <c r="BW108" s="432"/>
      <c r="BX108" s="432"/>
      <c r="BY108" s="432"/>
      <c r="BZ108" s="433"/>
      <c r="CA108" s="434"/>
      <c r="CB108" s="7" t="s">
        <v>72</v>
      </c>
      <c r="CC108" s="83">
        <v>0</v>
      </c>
      <c r="CD108" s="83">
        <v>0</v>
      </c>
      <c r="CE108" s="83">
        <v>0</v>
      </c>
      <c r="CF108" s="83">
        <v>0</v>
      </c>
      <c r="CG108" s="84">
        <v>0</v>
      </c>
      <c r="CH108" s="84">
        <v>0</v>
      </c>
      <c r="CI108" s="84">
        <v>0</v>
      </c>
      <c r="CJ108" s="84">
        <v>0</v>
      </c>
      <c r="CK108" s="84">
        <v>0</v>
      </c>
      <c r="CL108" s="84">
        <v>0</v>
      </c>
      <c r="CM108" s="84">
        <v>0</v>
      </c>
      <c r="CN108" s="84">
        <v>0</v>
      </c>
      <c r="CO108" s="4">
        <f t="shared" ref="CO108:CO121" si="65">SUM(CC108:CN108)</f>
        <v>0</v>
      </c>
      <c r="CP108" s="84">
        <v>0</v>
      </c>
      <c r="CQ108" s="84">
        <v>0</v>
      </c>
      <c r="CR108" s="84">
        <v>0</v>
      </c>
      <c r="CS108" s="84">
        <v>0</v>
      </c>
      <c r="CT108" s="84">
        <v>0</v>
      </c>
      <c r="CU108" s="84">
        <v>1.2989609151597099E-2</v>
      </c>
      <c r="CV108" s="84">
        <v>1.7648925477713448E-2</v>
      </c>
      <c r="CW108" s="84">
        <v>2.2167050400008093E-2</v>
      </c>
      <c r="CX108" s="84">
        <v>2.2590624611473216E-2</v>
      </c>
      <c r="CY108" s="84">
        <v>2.4284921457333707E-2</v>
      </c>
      <c r="CZ108" s="84">
        <v>2.2025858996186386E-2</v>
      </c>
      <c r="DA108" s="84">
        <v>1.8072499689178571E-2</v>
      </c>
      <c r="DB108" s="4">
        <f t="shared" ref="DB108:DB121" si="66">SUM(CP108:DA108)</f>
        <v>0.13977948978349053</v>
      </c>
      <c r="DC108" s="84">
        <v>1.4132254218470627E-2</v>
      </c>
      <c r="DD108" s="84">
        <v>1.3676375050132864E-2</v>
      </c>
      <c r="DE108" s="84">
        <v>1.3220495881795103E-2</v>
      </c>
      <c r="DF108" s="84">
        <v>1.1396979208444053E-2</v>
      </c>
      <c r="DG108" s="84">
        <v>1.0941100040106292E-2</v>
      </c>
      <c r="DH108" s="84">
        <v>0</v>
      </c>
      <c r="DI108" s="84">
        <v>0</v>
      </c>
      <c r="DJ108" s="84">
        <v>0</v>
      </c>
      <c r="DK108" s="84">
        <v>0</v>
      </c>
      <c r="DL108" s="84">
        <v>0</v>
      </c>
      <c r="DM108" s="84">
        <v>0</v>
      </c>
      <c r="DN108" s="84">
        <v>0</v>
      </c>
      <c r="DO108" s="4">
        <f t="shared" ref="DO108:DO121" si="67">SUM(DC108:DN108)</f>
        <v>6.336720439894894E-2</v>
      </c>
      <c r="DP108" s="84">
        <v>0</v>
      </c>
      <c r="DQ108" s="84">
        <v>0</v>
      </c>
      <c r="DR108" s="84">
        <v>0</v>
      </c>
      <c r="DS108" s="84">
        <v>0</v>
      </c>
      <c r="DT108" s="84">
        <v>0</v>
      </c>
      <c r="DU108" s="84">
        <v>0</v>
      </c>
      <c r="DV108" s="84">
        <v>0</v>
      </c>
      <c r="DW108" s="84">
        <v>0</v>
      </c>
      <c r="DX108" s="84">
        <v>0</v>
      </c>
      <c r="DY108" s="84">
        <v>0</v>
      </c>
      <c r="DZ108" s="84">
        <v>0</v>
      </c>
      <c r="EA108" s="84">
        <v>0</v>
      </c>
      <c r="EB108" s="4">
        <f t="shared" ref="EB108:EB121" si="68">SUM(DP108:EA108)</f>
        <v>0</v>
      </c>
      <c r="EC108" s="84">
        <v>0</v>
      </c>
      <c r="ED108" s="84">
        <v>0</v>
      </c>
      <c r="EE108" s="84">
        <v>0</v>
      </c>
      <c r="EF108" s="84">
        <v>0</v>
      </c>
      <c r="EG108" s="84">
        <v>0</v>
      </c>
      <c r="EH108" s="84">
        <v>0</v>
      </c>
      <c r="EI108" s="84">
        <v>0</v>
      </c>
      <c r="EJ108" s="84">
        <v>0</v>
      </c>
      <c r="EK108" s="84">
        <v>0</v>
      </c>
      <c r="EL108" s="84">
        <v>0</v>
      </c>
      <c r="EM108" s="84">
        <v>0</v>
      </c>
      <c r="EN108" s="84">
        <v>0</v>
      </c>
      <c r="EO108" s="4">
        <f t="shared" ref="EO108:EO121" si="69">SUM(EC108:EN108)</f>
        <v>0</v>
      </c>
      <c r="EP108" s="8">
        <f t="shared" ref="EP108:EP121" si="70">SUM(EO108,EB108,DO108,DB108,CO108)</f>
        <v>0.20314669418243947</v>
      </c>
      <c r="EQ108" s="181">
        <f>IFERROR(VLOOKUP(I108,CEI_012018!$A$1:$U$509,9,FALSE),0)</f>
        <v>0</v>
      </c>
      <c r="ER108" s="181">
        <f>IFERROR(VLOOKUP(I108,CEI_022018!$A$1:$U$509,9,FALSE),0)</f>
        <v>0</v>
      </c>
      <c r="ES108" s="181">
        <f>IFERROR(VLOOKUP(I108,CEI_032018!$A$1:$U$509,9,FALSE),0)</f>
        <v>0</v>
      </c>
      <c r="ET108" s="181">
        <f>IFERROR(VLOOKUP(I108,CEI_042018!$A$1:$U$491,9,FALSE),0)</f>
        <v>0</v>
      </c>
      <c r="EU108" s="181">
        <f>IFERROR(VLOOKUP(I108,CEI_052018!$A$1:$U$489,9,FALSE),0)</f>
        <v>0</v>
      </c>
      <c r="EV108" s="181">
        <f>IFERROR(VLOOKUP(I108,CEI_062018!$A$1:$U$489,9,FALSE),0)</f>
        <v>0</v>
      </c>
      <c r="EW108" s="181">
        <f>IFERROR(VLOOKUP(I108,CEI_072018!$A$1:$U$489,9,FALSE),0)</f>
        <v>0</v>
      </c>
      <c r="EX108" s="181">
        <f>IFERROR(VLOOKUP(I108,CEI_082018!$A$1:$U$489,9,FALSE),0)</f>
        <v>0</v>
      </c>
      <c r="EY108" s="181">
        <f>IFERROR(VLOOKUP(I108,CEI_092018!$A$1:$U$489,9,FALSE),0)</f>
        <v>0</v>
      </c>
      <c r="EZ108" s="181"/>
      <c r="FA108" s="181"/>
      <c r="FB108" s="181"/>
      <c r="FC108" s="181">
        <f>IFERROR(VLOOKUP(I108,CEI_092018!$A$1:$U$489,12,FALSE),0)</f>
        <v>0</v>
      </c>
      <c r="FD108" s="181">
        <f t="shared" ref="FD108:FD142" si="71">EW108+FC108</f>
        <v>0</v>
      </c>
      <c r="FE108" s="181">
        <f t="shared" ref="FE108:FE142" si="72">SUM(T108-FD108)</f>
        <v>0</v>
      </c>
      <c r="FF108"/>
      <c r="FG108"/>
      <c r="FH108"/>
      <c r="FI108"/>
      <c r="FJ108"/>
      <c r="FK108"/>
      <c r="FL108"/>
      <c r="FM108"/>
      <c r="FN108"/>
      <c r="FO108"/>
      <c r="FP108"/>
      <c r="FQ108"/>
      <c r="FR108"/>
      <c r="FS108"/>
      <c r="FT108"/>
      <c r="FU108"/>
      <c r="FV108"/>
      <c r="FW108"/>
      <c r="FX108"/>
      <c r="FY108"/>
      <c r="FZ108"/>
      <c r="GA108"/>
      <c r="GB108"/>
      <c r="GC108"/>
    </row>
    <row r="109" spans="1:185" ht="12.95" customHeight="1" x14ac:dyDescent="0.25">
      <c r="A109" s="202"/>
      <c r="B109" s="22" t="s">
        <v>57</v>
      </c>
      <c r="C109" s="34" t="s">
        <v>41</v>
      </c>
      <c r="D109" s="22" t="s">
        <v>55</v>
      </c>
      <c r="E109" s="25" t="s">
        <v>616</v>
      </c>
      <c r="F109" s="25" t="s">
        <v>55</v>
      </c>
      <c r="G109" s="25" t="s">
        <v>616</v>
      </c>
      <c r="H109" s="22" t="s">
        <v>56</v>
      </c>
      <c r="I109" s="423" t="s">
        <v>565</v>
      </c>
      <c r="J109" s="37"/>
      <c r="K109" s="23" t="s">
        <v>93</v>
      </c>
      <c r="L109" s="23" t="s">
        <v>94</v>
      </c>
      <c r="M109" s="23" t="s">
        <v>79</v>
      </c>
      <c r="N109" s="23"/>
      <c r="O109" s="2"/>
      <c r="P109" s="2"/>
      <c r="Q109" s="2"/>
      <c r="R109" s="2"/>
      <c r="S109" s="2"/>
      <c r="T109" s="116">
        <f t="shared" si="44"/>
        <v>0</v>
      </c>
      <c r="U109" s="324"/>
      <c r="V109" s="324">
        <v>30</v>
      </c>
      <c r="W109" s="324"/>
      <c r="X109" s="324">
        <v>71</v>
      </c>
      <c r="Y109" s="324"/>
      <c r="Z109" s="324"/>
      <c r="AA109" s="324"/>
      <c r="AB109" s="324"/>
      <c r="AC109" s="324"/>
      <c r="AD109" s="324"/>
      <c r="AE109" s="324"/>
      <c r="AF109" s="324"/>
      <c r="AG109" s="140">
        <f t="shared" si="45"/>
        <v>101</v>
      </c>
      <c r="AH109" s="324"/>
      <c r="AI109" s="324"/>
      <c r="AJ109" s="324"/>
      <c r="AK109" s="324"/>
      <c r="AL109" s="324"/>
      <c r="AM109" s="324"/>
      <c r="AN109" s="324"/>
      <c r="AO109" s="324"/>
      <c r="AP109" s="324">
        <v>67.519000000000005</v>
      </c>
      <c r="AQ109" s="324">
        <v>67.519000000000005</v>
      </c>
      <c r="AR109" s="324">
        <v>135.03800000000001</v>
      </c>
      <c r="AS109" s="324">
        <v>135.03800000000001</v>
      </c>
      <c r="AT109" s="140">
        <f t="shared" si="46"/>
        <v>405.11400000000003</v>
      </c>
      <c r="AU109" s="324">
        <v>202.55600000000001</v>
      </c>
      <c r="AV109" s="324">
        <v>202.566</v>
      </c>
      <c r="AW109" s="324">
        <v>202.55600000000001</v>
      </c>
      <c r="AX109" s="324">
        <v>135.03800000000001</v>
      </c>
      <c r="AY109" s="324">
        <v>135.03800000000001</v>
      </c>
      <c r="AZ109" s="324">
        <v>67.42899999999986</v>
      </c>
      <c r="BA109" s="324"/>
      <c r="BB109" s="324"/>
      <c r="BC109" s="324"/>
      <c r="BD109" s="324"/>
      <c r="BE109" s="324"/>
      <c r="BF109" s="324"/>
      <c r="BG109" s="140">
        <f t="shared" si="47"/>
        <v>945.18299999999988</v>
      </c>
      <c r="BH109" s="324"/>
      <c r="BI109" s="324"/>
      <c r="BJ109" s="324"/>
      <c r="BK109" s="324"/>
      <c r="BL109" s="324"/>
      <c r="BM109" s="324"/>
      <c r="BN109" s="324"/>
      <c r="BO109" s="324"/>
      <c r="BP109" s="324"/>
      <c r="BQ109" s="324"/>
      <c r="BR109" s="324"/>
      <c r="BS109" s="324"/>
      <c r="BT109" s="140">
        <f t="shared" si="48"/>
        <v>0</v>
      </c>
      <c r="BU109" s="488">
        <f t="shared" si="49"/>
        <v>1451.297</v>
      </c>
      <c r="BV109" s="432"/>
      <c r="BW109" s="432"/>
      <c r="BX109" s="432"/>
      <c r="BY109" s="432"/>
      <c r="BZ109" s="433"/>
      <c r="CA109" s="434"/>
      <c r="CB109" s="7" t="s">
        <v>72</v>
      </c>
      <c r="CC109" s="83">
        <v>0</v>
      </c>
      <c r="CD109" s="83">
        <v>0</v>
      </c>
      <c r="CE109" s="83">
        <v>0</v>
      </c>
      <c r="CF109" s="83">
        <v>0</v>
      </c>
      <c r="CG109" s="84">
        <v>0</v>
      </c>
      <c r="CH109" s="84">
        <v>0</v>
      </c>
      <c r="CI109" s="84">
        <v>0</v>
      </c>
      <c r="CJ109" s="84">
        <v>0</v>
      </c>
      <c r="CK109" s="84">
        <v>0</v>
      </c>
      <c r="CL109" s="84">
        <v>0</v>
      </c>
      <c r="CM109" s="84">
        <v>0</v>
      </c>
      <c r="CN109" s="84">
        <v>0</v>
      </c>
      <c r="CO109" s="4">
        <f t="shared" si="65"/>
        <v>0</v>
      </c>
      <c r="CP109" s="84">
        <v>0</v>
      </c>
      <c r="CQ109" s="84">
        <v>4.2357421146512276E-3</v>
      </c>
      <c r="CR109" s="84">
        <v>0</v>
      </c>
      <c r="CS109" s="84">
        <v>1.002458967134124E-2</v>
      </c>
      <c r="CT109" s="84">
        <v>0</v>
      </c>
      <c r="CU109" s="84">
        <v>0</v>
      </c>
      <c r="CV109" s="84">
        <v>0</v>
      </c>
      <c r="CW109" s="84">
        <v>0</v>
      </c>
      <c r="CX109" s="84">
        <v>0</v>
      </c>
      <c r="CY109" s="84">
        <v>0</v>
      </c>
      <c r="CZ109" s="84">
        <v>0</v>
      </c>
      <c r="DA109" s="84">
        <v>0</v>
      </c>
      <c r="DB109" s="4">
        <f t="shared" si="66"/>
        <v>1.4260331785992467E-2</v>
      </c>
      <c r="DC109" s="84">
        <v>0</v>
      </c>
      <c r="DD109" s="84">
        <v>0</v>
      </c>
      <c r="DE109" s="84">
        <v>0</v>
      </c>
      <c r="DF109" s="84">
        <v>0</v>
      </c>
      <c r="DG109" s="84">
        <v>0</v>
      </c>
      <c r="DH109" s="84">
        <v>0</v>
      </c>
      <c r="DI109" s="84">
        <v>0</v>
      </c>
      <c r="DJ109" s="84">
        <v>0</v>
      </c>
      <c r="DK109" s="84">
        <v>7.6951263917493413E-3</v>
      </c>
      <c r="DL109" s="84">
        <v>7.6951263917493413E-3</v>
      </c>
      <c r="DM109" s="84">
        <v>1.5390252783498683E-2</v>
      </c>
      <c r="DN109" s="84">
        <v>1.5390252783498683E-2</v>
      </c>
      <c r="DO109" s="4">
        <f t="shared" si="67"/>
        <v>4.6170758350496048E-2</v>
      </c>
      <c r="DP109" s="84">
        <v>2.4110038025004183E-2</v>
      </c>
      <c r="DQ109" s="84">
        <v>2.4111228314999296E-2</v>
      </c>
      <c r="DR109" s="84">
        <v>2.4110038025004183E-2</v>
      </c>
      <c r="DS109" s="84">
        <v>1.6073438036002464E-2</v>
      </c>
      <c r="DT109" s="84">
        <v>1.6073438036002464E-2</v>
      </c>
      <c r="DU109" s="84">
        <v>8.0260064080452005E-3</v>
      </c>
      <c r="DV109" s="84">
        <v>0</v>
      </c>
      <c r="DW109" s="84">
        <v>0</v>
      </c>
      <c r="DX109" s="84">
        <v>0</v>
      </c>
      <c r="DY109" s="84">
        <v>0</v>
      </c>
      <c r="DZ109" s="84">
        <v>0</v>
      </c>
      <c r="EA109" s="84">
        <v>0</v>
      </c>
      <c r="EB109" s="4">
        <f t="shared" si="68"/>
        <v>0.11250418684505778</v>
      </c>
      <c r="EC109" s="84">
        <v>0</v>
      </c>
      <c r="ED109" s="84">
        <v>0</v>
      </c>
      <c r="EE109" s="84">
        <v>0</v>
      </c>
      <c r="EF109" s="84">
        <v>0</v>
      </c>
      <c r="EG109" s="84">
        <v>0</v>
      </c>
      <c r="EH109" s="84">
        <v>0</v>
      </c>
      <c r="EI109" s="84">
        <v>0</v>
      </c>
      <c r="EJ109" s="84">
        <v>0</v>
      </c>
      <c r="EK109" s="84">
        <v>0</v>
      </c>
      <c r="EL109" s="84">
        <v>0</v>
      </c>
      <c r="EM109" s="84">
        <v>0</v>
      </c>
      <c r="EN109" s="84">
        <v>0</v>
      </c>
      <c r="EO109" s="4">
        <f t="shared" si="69"/>
        <v>0</v>
      </c>
      <c r="EP109" s="8">
        <f t="shared" si="70"/>
        <v>0.17293527698154632</v>
      </c>
      <c r="EQ109" s="181">
        <f>IFERROR(VLOOKUP(I109,CEI_012018!$A$1:$U$509,9,FALSE),0)</f>
        <v>0</v>
      </c>
      <c r="ER109" s="181">
        <f>IFERROR(VLOOKUP(I109,CEI_022018!$A$1:$U$509,9,FALSE),0)</f>
        <v>0</v>
      </c>
      <c r="ES109" s="181">
        <f>IFERROR(VLOOKUP(I109,CEI_032018!$A$1:$U$509,9,FALSE),0)</f>
        <v>0</v>
      </c>
      <c r="ET109" s="181">
        <f>IFERROR(VLOOKUP(I109,CEI_042018!$A$1:$U$491,9,FALSE),0)</f>
        <v>0</v>
      </c>
      <c r="EU109" s="181">
        <f>IFERROR(VLOOKUP(I109,CEI_052018!$A$1:$U$489,9,FALSE),0)</f>
        <v>0</v>
      </c>
      <c r="EV109" s="181">
        <f>IFERROR(VLOOKUP(I109,CEI_062018!$A$1:$U$489,9,FALSE),0)</f>
        <v>0</v>
      </c>
      <c r="EW109" s="181">
        <f>IFERROR(VLOOKUP(I109,CEI_072018!$A$1:$U$489,9,FALSE),0)</f>
        <v>0</v>
      </c>
      <c r="EX109" s="181">
        <f>IFERROR(VLOOKUP(I109,CEI_082018!$A$1:$U$489,9,FALSE),0)</f>
        <v>0</v>
      </c>
      <c r="EY109" s="181">
        <f>IFERROR(VLOOKUP(I109,CEI_092018!$A$1:$U$489,9,FALSE),0)</f>
        <v>0</v>
      </c>
      <c r="EZ109" s="181"/>
      <c r="FA109" s="181"/>
      <c r="FB109" s="181"/>
      <c r="FC109" s="181">
        <f>IFERROR(VLOOKUP(I109,CEI_092018!$A$1:$U$489,12,FALSE),0)</f>
        <v>0</v>
      </c>
      <c r="FD109" s="181">
        <f t="shared" si="71"/>
        <v>0</v>
      </c>
      <c r="FE109" s="181">
        <f t="shared" si="72"/>
        <v>0</v>
      </c>
      <c r="FF109"/>
      <c r="FG109"/>
      <c r="FH109"/>
      <c r="FI109"/>
      <c r="FJ109"/>
      <c r="FK109"/>
      <c r="FL109"/>
      <c r="FM109"/>
      <c r="FN109"/>
      <c r="FO109"/>
      <c r="FP109"/>
      <c r="FQ109"/>
      <c r="FR109"/>
      <c r="FS109"/>
      <c r="FT109"/>
      <c r="FU109"/>
      <c r="FV109"/>
      <c r="FW109"/>
      <c r="FX109"/>
      <c r="FY109"/>
      <c r="FZ109"/>
      <c r="GA109"/>
      <c r="GB109"/>
      <c r="GC109"/>
    </row>
    <row r="110" spans="1:185" ht="12.95" customHeight="1" x14ac:dyDescent="0.25">
      <c r="A110" s="202"/>
      <c r="B110" s="22" t="s">
        <v>57</v>
      </c>
      <c r="C110" s="34" t="s">
        <v>41</v>
      </c>
      <c r="D110" s="22" t="s">
        <v>55</v>
      </c>
      <c r="E110" s="25" t="s">
        <v>613</v>
      </c>
      <c r="F110" s="25" t="s">
        <v>55</v>
      </c>
      <c r="G110" s="25" t="s">
        <v>613</v>
      </c>
      <c r="H110" s="22" t="s">
        <v>56</v>
      </c>
      <c r="I110" s="423" t="s">
        <v>565</v>
      </c>
      <c r="J110" s="37"/>
      <c r="K110" s="23" t="s">
        <v>80</v>
      </c>
      <c r="L110" s="23" t="s">
        <v>81</v>
      </c>
      <c r="M110" s="23" t="s">
        <v>79</v>
      </c>
      <c r="N110" s="23"/>
      <c r="O110" s="2"/>
      <c r="P110" s="2"/>
      <c r="Q110" s="2"/>
      <c r="R110" s="2"/>
      <c r="S110" s="2"/>
      <c r="T110" s="116">
        <f t="shared" si="44"/>
        <v>0</v>
      </c>
      <c r="U110" s="324"/>
      <c r="V110" s="324"/>
      <c r="W110" s="324"/>
      <c r="X110" s="324"/>
      <c r="Y110" s="324"/>
      <c r="Z110" s="324"/>
      <c r="AA110" s="324">
        <v>30</v>
      </c>
      <c r="AB110" s="324"/>
      <c r="AC110" s="324"/>
      <c r="AD110" s="324">
        <v>70</v>
      </c>
      <c r="AE110" s="324"/>
      <c r="AF110" s="324"/>
      <c r="AG110" s="140">
        <f t="shared" si="45"/>
        <v>100</v>
      </c>
      <c r="AH110" s="324"/>
      <c r="AI110" s="324"/>
      <c r="AJ110" s="324"/>
      <c r="AK110" s="324"/>
      <c r="AL110" s="324"/>
      <c r="AM110" s="324"/>
      <c r="AN110" s="324"/>
      <c r="AO110" s="324"/>
      <c r="AP110" s="324">
        <v>67.5</v>
      </c>
      <c r="AQ110" s="324">
        <v>67.5</v>
      </c>
      <c r="AR110" s="324">
        <v>135</v>
      </c>
      <c r="AS110" s="324">
        <v>135</v>
      </c>
      <c r="AT110" s="140">
        <f t="shared" si="46"/>
        <v>405</v>
      </c>
      <c r="AU110" s="324">
        <v>202.5</v>
      </c>
      <c r="AV110" s="324">
        <v>202.5</v>
      </c>
      <c r="AW110" s="324">
        <v>202.5</v>
      </c>
      <c r="AX110" s="324">
        <v>135</v>
      </c>
      <c r="AY110" s="324">
        <v>135</v>
      </c>
      <c r="AZ110" s="324">
        <f>67.5-0.377641820523422</f>
        <v>67.122358179476578</v>
      </c>
      <c r="BA110" s="324"/>
      <c r="BB110" s="324"/>
      <c r="BC110" s="324"/>
      <c r="BD110" s="324"/>
      <c r="BE110" s="324"/>
      <c r="BF110" s="324"/>
      <c r="BG110" s="140">
        <f t="shared" si="47"/>
        <v>944.62235817947658</v>
      </c>
      <c r="BH110" s="324"/>
      <c r="BI110" s="324"/>
      <c r="BJ110" s="324"/>
      <c r="BK110" s="324"/>
      <c r="BL110" s="324"/>
      <c r="BM110" s="324"/>
      <c r="BN110" s="324"/>
      <c r="BO110" s="324"/>
      <c r="BP110" s="324"/>
      <c r="BQ110" s="324"/>
      <c r="BR110" s="324"/>
      <c r="BS110" s="324"/>
      <c r="BT110" s="140">
        <f t="shared" si="48"/>
        <v>0</v>
      </c>
      <c r="BU110" s="488">
        <f t="shared" si="49"/>
        <v>1449.6223581794766</v>
      </c>
      <c r="BV110" s="432"/>
      <c r="BW110" s="432"/>
      <c r="BX110" s="432"/>
      <c r="BY110" s="432"/>
      <c r="BZ110" s="433"/>
      <c r="CA110" s="434"/>
      <c r="CB110" s="7" t="s">
        <v>72</v>
      </c>
      <c r="CC110" s="83">
        <v>0</v>
      </c>
      <c r="CD110" s="83">
        <v>0</v>
      </c>
      <c r="CE110" s="83">
        <v>0</v>
      </c>
      <c r="CF110" s="83">
        <v>0</v>
      </c>
      <c r="CG110" s="84">
        <v>0</v>
      </c>
      <c r="CH110" s="84">
        <v>0</v>
      </c>
      <c r="CI110" s="84">
        <v>0</v>
      </c>
      <c r="CJ110" s="84">
        <v>0</v>
      </c>
      <c r="CK110" s="84">
        <v>0</v>
      </c>
      <c r="CL110" s="84">
        <v>0</v>
      </c>
      <c r="CM110" s="84">
        <v>0</v>
      </c>
      <c r="CN110" s="84">
        <v>0</v>
      </c>
      <c r="CO110" s="4">
        <f t="shared" si="65"/>
        <v>0</v>
      </c>
      <c r="CP110" s="84">
        <v>0</v>
      </c>
      <c r="CQ110" s="84">
        <v>0</v>
      </c>
      <c r="CR110" s="84">
        <v>0</v>
      </c>
      <c r="CS110" s="84">
        <v>0</v>
      </c>
      <c r="CT110" s="84">
        <v>0</v>
      </c>
      <c r="CU110" s="84">
        <v>0</v>
      </c>
      <c r="CV110" s="84">
        <v>4.2357421146512276E-3</v>
      </c>
      <c r="CW110" s="84">
        <v>0</v>
      </c>
      <c r="CX110" s="84">
        <v>0</v>
      </c>
      <c r="CY110" s="84">
        <v>9.8833982675195324E-3</v>
      </c>
      <c r="CZ110" s="84">
        <v>0</v>
      </c>
      <c r="DA110" s="84">
        <v>0</v>
      </c>
      <c r="DB110" s="4">
        <f t="shared" si="66"/>
        <v>1.4119140382170759E-2</v>
      </c>
      <c r="DC110" s="84">
        <v>0</v>
      </c>
      <c r="DD110" s="84">
        <v>0</v>
      </c>
      <c r="DE110" s="84">
        <v>0</v>
      </c>
      <c r="DF110" s="84">
        <v>0</v>
      </c>
      <c r="DG110" s="84">
        <v>0</v>
      </c>
      <c r="DH110" s="84">
        <v>0</v>
      </c>
      <c r="DI110" s="84">
        <v>0</v>
      </c>
      <c r="DJ110" s="84">
        <v>0</v>
      </c>
      <c r="DK110" s="84">
        <v>7.6929609656997367E-3</v>
      </c>
      <c r="DL110" s="84">
        <v>7.6929609656997367E-3</v>
      </c>
      <c r="DM110" s="84">
        <v>1.5385921931399473E-2</v>
      </c>
      <c r="DN110" s="84">
        <v>1.5385921931399473E-2</v>
      </c>
      <c r="DO110" s="4">
        <f t="shared" si="67"/>
        <v>4.6157765794198419E-2</v>
      </c>
      <c r="DP110" s="84">
        <v>2.4103372401031553E-2</v>
      </c>
      <c r="DQ110" s="84">
        <v>2.4103372401031553E-2</v>
      </c>
      <c r="DR110" s="84">
        <v>2.4103372401031553E-2</v>
      </c>
      <c r="DS110" s="84">
        <v>1.6068914934021034E-2</v>
      </c>
      <c r="DT110" s="84">
        <v>1.6068914934021034E-2</v>
      </c>
      <c r="DU110" s="84">
        <v>8.0344574670105171E-3</v>
      </c>
      <c r="DV110" s="84">
        <v>0</v>
      </c>
      <c r="DW110" s="84">
        <v>0</v>
      </c>
      <c r="DX110" s="84">
        <v>0</v>
      </c>
      <c r="DY110" s="84">
        <v>0</v>
      </c>
      <c r="DZ110" s="84">
        <v>0</v>
      </c>
      <c r="EA110" s="84">
        <v>0</v>
      </c>
      <c r="EB110" s="4">
        <f t="shared" si="68"/>
        <v>0.11248240453814724</v>
      </c>
      <c r="EC110" s="84">
        <v>0</v>
      </c>
      <c r="ED110" s="84">
        <v>0</v>
      </c>
      <c r="EE110" s="84">
        <v>0</v>
      </c>
      <c r="EF110" s="84">
        <v>0</v>
      </c>
      <c r="EG110" s="84">
        <v>0</v>
      </c>
      <c r="EH110" s="84">
        <v>0</v>
      </c>
      <c r="EI110" s="84">
        <v>0</v>
      </c>
      <c r="EJ110" s="84">
        <v>0</v>
      </c>
      <c r="EK110" s="84">
        <v>0</v>
      </c>
      <c r="EL110" s="84">
        <v>0</v>
      </c>
      <c r="EM110" s="84">
        <v>0</v>
      </c>
      <c r="EN110" s="84">
        <v>0</v>
      </c>
      <c r="EO110" s="4">
        <f t="shared" si="69"/>
        <v>0</v>
      </c>
      <c r="EP110" s="8">
        <f t="shared" si="70"/>
        <v>0.17275931071451645</v>
      </c>
      <c r="EQ110" s="181">
        <f>IFERROR(VLOOKUP(I110,CEI_012018!$A$1:$U$509,9,FALSE),0)</f>
        <v>0</v>
      </c>
      <c r="ER110" s="181">
        <f>IFERROR(VLOOKUP(I110,CEI_022018!$A$1:$U$509,9,FALSE),0)</f>
        <v>0</v>
      </c>
      <c r="ES110" s="181">
        <f>IFERROR(VLOOKUP(I110,CEI_032018!$A$1:$U$509,9,FALSE),0)</f>
        <v>0</v>
      </c>
      <c r="ET110" s="181">
        <f>IFERROR(VLOOKUP(I110,CEI_042018!$A$1:$U$491,9,FALSE),0)</f>
        <v>0</v>
      </c>
      <c r="EU110" s="181">
        <f>IFERROR(VLOOKUP(I110,CEI_052018!$A$1:$U$489,9,FALSE),0)</f>
        <v>0</v>
      </c>
      <c r="EV110" s="181">
        <f>IFERROR(VLOOKUP(I110,CEI_062018!$A$1:$U$489,9,FALSE),0)</f>
        <v>0</v>
      </c>
      <c r="EW110" s="181">
        <f>IFERROR(VLOOKUP(I110,CEI_072018!$A$1:$U$489,9,FALSE),0)</f>
        <v>0</v>
      </c>
      <c r="EX110" s="181">
        <f>IFERROR(VLOOKUP(I110,CEI_082018!$A$1:$U$489,9,FALSE),0)</f>
        <v>0</v>
      </c>
      <c r="EY110" s="181">
        <f>IFERROR(VLOOKUP(I110,CEI_092018!$A$1:$U$489,9,FALSE),0)</f>
        <v>0</v>
      </c>
      <c r="EZ110" s="181"/>
      <c r="FA110" s="181"/>
      <c r="FB110" s="181"/>
      <c r="FC110" s="181">
        <f>IFERROR(VLOOKUP(I110,CEI_092018!$A$1:$U$489,12,FALSE),0)</f>
        <v>0</v>
      </c>
      <c r="FD110" s="181">
        <f t="shared" si="71"/>
        <v>0</v>
      </c>
      <c r="FE110" s="181">
        <f t="shared" si="72"/>
        <v>0</v>
      </c>
      <c r="FF110"/>
      <c r="FG110"/>
      <c r="FH110"/>
      <c r="FI110"/>
      <c r="FJ110"/>
      <c r="FK110"/>
      <c r="FL110"/>
      <c r="FM110"/>
      <c r="FN110"/>
      <c r="FO110"/>
      <c r="FP110"/>
      <c r="FQ110"/>
      <c r="FR110"/>
      <c r="FS110"/>
      <c r="FT110"/>
      <c r="FU110"/>
      <c r="FV110"/>
      <c r="FW110"/>
      <c r="FX110"/>
      <c r="FY110"/>
      <c r="FZ110"/>
      <c r="GA110"/>
      <c r="GB110"/>
      <c r="GC110"/>
    </row>
    <row r="111" spans="1:185" ht="12.95" customHeight="1" x14ac:dyDescent="0.25">
      <c r="A111" s="202"/>
      <c r="B111" s="22" t="s">
        <v>57</v>
      </c>
      <c r="C111" s="34" t="s">
        <v>41</v>
      </c>
      <c r="D111" s="22" t="s">
        <v>58</v>
      </c>
      <c r="E111" s="25" t="s">
        <v>292</v>
      </c>
      <c r="F111" s="25" t="s">
        <v>58</v>
      </c>
      <c r="G111" s="25" t="s">
        <v>292</v>
      </c>
      <c r="H111" s="22" t="s">
        <v>56</v>
      </c>
      <c r="I111" s="423" t="s">
        <v>1654</v>
      </c>
      <c r="J111" s="37" t="s">
        <v>1655</v>
      </c>
      <c r="K111" s="23" t="s">
        <v>647</v>
      </c>
      <c r="L111" s="23" t="s">
        <v>648</v>
      </c>
      <c r="M111" s="23" t="s">
        <v>649</v>
      </c>
      <c r="N111" s="23" t="s">
        <v>1771</v>
      </c>
      <c r="O111" s="2"/>
      <c r="P111" s="2"/>
      <c r="Q111" s="2"/>
      <c r="R111" s="2"/>
      <c r="S111" s="2">
        <v>1209</v>
      </c>
      <c r="T111" s="116">
        <f t="shared" si="44"/>
        <v>1209</v>
      </c>
      <c r="U111" s="324"/>
      <c r="V111" s="324"/>
      <c r="W111" s="324"/>
      <c r="X111" s="324"/>
      <c r="Y111" s="324"/>
      <c r="Z111" s="324"/>
      <c r="AA111" s="324"/>
      <c r="AB111" s="324"/>
      <c r="AC111" s="324"/>
      <c r="AD111" s="324"/>
      <c r="AE111" s="324"/>
      <c r="AF111" s="324"/>
      <c r="AG111" s="140">
        <f t="shared" si="45"/>
        <v>0</v>
      </c>
      <c r="AH111" s="324"/>
      <c r="AI111" s="324"/>
      <c r="AJ111" s="324"/>
      <c r="AK111" s="324"/>
      <c r="AL111" s="324"/>
      <c r="AM111" s="324"/>
      <c r="AN111" s="324"/>
      <c r="AO111" s="324"/>
      <c r="AP111" s="324">
        <f>76+120</f>
        <v>196</v>
      </c>
      <c r="AQ111" s="324"/>
      <c r="AR111" s="324"/>
      <c r="AS111" s="324"/>
      <c r="AT111" s="140">
        <f t="shared" si="46"/>
        <v>196</v>
      </c>
      <c r="AU111" s="324"/>
      <c r="AV111" s="324"/>
      <c r="AW111" s="324"/>
      <c r="AX111" s="324"/>
      <c r="AY111" s="324"/>
      <c r="AZ111" s="324"/>
      <c r="BA111" s="324"/>
      <c r="BB111" s="324"/>
      <c r="BC111" s="324">
        <v>0</v>
      </c>
      <c r="BD111" s="324"/>
      <c r="BE111" s="324"/>
      <c r="BF111" s="324"/>
      <c r="BG111" s="140">
        <f t="shared" si="47"/>
        <v>0</v>
      </c>
      <c r="BH111" s="324"/>
      <c r="BI111" s="324"/>
      <c r="BJ111" s="324"/>
      <c r="BK111" s="324"/>
      <c r="BL111" s="324"/>
      <c r="BM111" s="324"/>
      <c r="BN111" s="324"/>
      <c r="BO111" s="324"/>
      <c r="BP111" s="324"/>
      <c r="BQ111" s="324"/>
      <c r="BR111" s="324"/>
      <c r="BS111" s="324"/>
      <c r="BT111" s="140">
        <f t="shared" si="48"/>
        <v>0</v>
      </c>
      <c r="BU111" s="114">
        <f t="shared" si="49"/>
        <v>1405</v>
      </c>
      <c r="BV111" s="372">
        <v>1</v>
      </c>
      <c r="BW111" s="372">
        <v>1</v>
      </c>
      <c r="BX111" s="372">
        <v>1</v>
      </c>
      <c r="BY111" s="372">
        <v>-1</v>
      </c>
      <c r="BZ111" s="436">
        <f>IFERROR((EX111/T111%),0)</f>
        <v>0</v>
      </c>
      <c r="CA111" s="436">
        <f>IFERROR((FD111/T111%),0)</f>
        <v>99.75186104218362</v>
      </c>
      <c r="CB111" s="7" t="s">
        <v>73</v>
      </c>
      <c r="CC111" s="3"/>
      <c r="CD111" s="3"/>
      <c r="CE111" s="3"/>
      <c r="CF111" s="3"/>
      <c r="CG111" s="3"/>
      <c r="CH111" s="3"/>
      <c r="CI111" s="3"/>
      <c r="CJ111" s="3"/>
      <c r="CK111" s="3"/>
      <c r="CL111" s="3"/>
      <c r="CM111" s="3"/>
      <c r="CN111" s="3">
        <v>1</v>
      </c>
      <c r="CO111" s="4">
        <f t="shared" si="65"/>
        <v>1</v>
      </c>
      <c r="CP111" s="3"/>
      <c r="CQ111" s="3"/>
      <c r="CR111" s="3"/>
      <c r="CS111" s="3"/>
      <c r="CT111" s="3"/>
      <c r="CU111" s="3"/>
      <c r="CV111" s="3"/>
      <c r="CW111" s="3">
        <v>3</v>
      </c>
      <c r="CX111" s="3"/>
      <c r="CY111" s="3"/>
      <c r="CZ111" s="3"/>
      <c r="DA111" s="3"/>
      <c r="DB111" s="4">
        <f t="shared" si="66"/>
        <v>3</v>
      </c>
      <c r="DC111" s="3"/>
      <c r="DD111" s="3"/>
      <c r="DE111" s="3"/>
      <c r="DF111" s="3"/>
      <c r="DG111" s="3"/>
      <c r="DH111" s="3"/>
      <c r="DI111" s="3"/>
      <c r="DJ111" s="3">
        <v>3</v>
      </c>
      <c r="DK111" s="3"/>
      <c r="DL111" s="3"/>
      <c r="DM111" s="3"/>
      <c r="DN111" s="3"/>
      <c r="DO111" s="4">
        <f t="shared" si="67"/>
        <v>3</v>
      </c>
      <c r="DP111" s="3"/>
      <c r="DQ111" s="3"/>
      <c r="DR111" s="3"/>
      <c r="DS111" s="3"/>
      <c r="DT111" s="3"/>
      <c r="DU111" s="3"/>
      <c r="DV111" s="3"/>
      <c r="DW111" s="3">
        <v>3</v>
      </c>
      <c r="DX111" s="3"/>
      <c r="DY111" s="3"/>
      <c r="DZ111" s="3"/>
      <c r="EA111" s="3"/>
      <c r="EB111" s="4">
        <f t="shared" si="68"/>
        <v>3</v>
      </c>
      <c r="EC111" s="3"/>
      <c r="ED111" s="3"/>
      <c r="EE111" s="3"/>
      <c r="EF111" s="3"/>
      <c r="EG111" s="3"/>
      <c r="EH111" s="3"/>
      <c r="EI111" s="3"/>
      <c r="EJ111" s="3">
        <v>0</v>
      </c>
      <c r="EK111" s="3"/>
      <c r="EL111" s="3"/>
      <c r="EM111" s="3"/>
      <c r="EN111" s="3"/>
      <c r="EO111" s="4">
        <f t="shared" si="69"/>
        <v>0</v>
      </c>
      <c r="EP111" s="8">
        <f t="shared" si="70"/>
        <v>10</v>
      </c>
      <c r="EQ111" s="181">
        <f>IFERROR(VLOOKUP(I111,CEI_012018!$A$1:$U$509,9,FALSE),0)</f>
        <v>0</v>
      </c>
      <c r="ER111" s="181">
        <f>IFERROR(VLOOKUP(I111,CEI_022018!$A$1:$U$509,9,FALSE),0)</f>
        <v>0</v>
      </c>
      <c r="ES111" s="181">
        <f>IFERROR(VLOOKUP(I111,CEI_032018!$A$1:$U$509,9,FALSE),0)</f>
        <v>0</v>
      </c>
      <c r="ET111" s="181">
        <f>IFERROR(VLOOKUP(I111,CEI_042018!$A$1:$U$491,9,FALSE),0)</f>
        <v>0</v>
      </c>
      <c r="EU111" s="181">
        <f>IFERROR(VLOOKUP(I111,CEI_052018!$A$1:$U$489,9,FALSE),0)</f>
        <v>0</v>
      </c>
      <c r="EV111" s="181">
        <f>IFERROR(VLOOKUP(I111,CEI_062018!$A$1:$U$489,9,FALSE),0)</f>
        <v>0</v>
      </c>
      <c r="EW111" s="181">
        <f>IFERROR(VLOOKUP(I111,CEI_072018!$A$1:$U$489,9,FALSE),0)</f>
        <v>0</v>
      </c>
      <c r="EX111" s="181">
        <f>IFERROR(VLOOKUP(I111,CEI_082018!$A$1:$U$489,9,FALSE),0)</f>
        <v>0</v>
      </c>
      <c r="EY111" s="181">
        <f>IFERROR(VLOOKUP(I111,CEI_092018!$A$1:$U$489,9,FALSE),0)</f>
        <v>0</v>
      </c>
      <c r="EZ111" s="181"/>
      <c r="FA111" s="181"/>
      <c r="FB111" s="181"/>
      <c r="FC111" s="181">
        <f>IFERROR(VLOOKUP(I111,CEI_092018!$A$1:$U$489,12,FALSE),0)</f>
        <v>1206</v>
      </c>
      <c r="FD111" s="181">
        <f t="shared" si="71"/>
        <v>1206</v>
      </c>
      <c r="FE111" s="181">
        <f t="shared" si="72"/>
        <v>3</v>
      </c>
      <c r="FF111"/>
      <c r="FG111"/>
      <c r="FH111"/>
      <c r="FI111"/>
      <c r="FJ111"/>
      <c r="FK111"/>
      <c r="FL111"/>
      <c r="FM111"/>
      <c r="FN111"/>
      <c r="FO111"/>
      <c r="FP111"/>
      <c r="FQ111"/>
      <c r="FR111"/>
      <c r="FS111"/>
      <c r="FT111"/>
      <c r="FU111"/>
      <c r="FV111"/>
      <c r="FW111"/>
      <c r="FX111"/>
      <c r="FY111"/>
      <c r="FZ111"/>
      <c r="GA111"/>
      <c r="GB111"/>
      <c r="GC111"/>
    </row>
    <row r="112" spans="1:185" ht="12.95" customHeight="1" x14ac:dyDescent="0.25">
      <c r="A112" s="202"/>
      <c r="B112" s="22" t="s">
        <v>57</v>
      </c>
      <c r="C112" s="34" t="s">
        <v>41</v>
      </c>
      <c r="D112" s="22" t="s">
        <v>55</v>
      </c>
      <c r="E112" s="25" t="s">
        <v>616</v>
      </c>
      <c r="F112" s="25" t="s">
        <v>55</v>
      </c>
      <c r="G112" s="25" t="s">
        <v>616</v>
      </c>
      <c r="H112" s="22" t="s">
        <v>56</v>
      </c>
      <c r="I112" s="423" t="s">
        <v>565</v>
      </c>
      <c r="J112" s="37"/>
      <c r="K112" s="23" t="s">
        <v>95</v>
      </c>
      <c r="L112" s="23" t="s">
        <v>96</v>
      </c>
      <c r="M112" s="23" t="s">
        <v>79</v>
      </c>
      <c r="N112" s="23"/>
      <c r="O112" s="2"/>
      <c r="P112" s="2"/>
      <c r="Q112" s="2"/>
      <c r="R112" s="2"/>
      <c r="S112" s="2"/>
      <c r="T112" s="116">
        <f t="shared" si="44"/>
        <v>0</v>
      </c>
      <c r="U112" s="324"/>
      <c r="V112" s="324">
        <v>39.462000000000003</v>
      </c>
      <c r="W112" s="324"/>
      <c r="X112" s="324">
        <v>92.078000000000003</v>
      </c>
      <c r="Y112" s="324"/>
      <c r="Z112" s="324"/>
      <c r="AA112" s="324"/>
      <c r="AB112" s="324"/>
      <c r="AC112" s="324"/>
      <c r="AD112" s="324">
        <v>87.144999999999996</v>
      </c>
      <c r="AE112" s="324">
        <v>91.435000000000002</v>
      </c>
      <c r="AF112" s="324">
        <v>94.289999999999992</v>
      </c>
      <c r="AG112" s="140">
        <f t="shared" si="45"/>
        <v>404.40999999999997</v>
      </c>
      <c r="AH112" s="324">
        <v>191.43600000000001</v>
      </c>
      <c r="AI112" s="324">
        <v>111.43600000000001</v>
      </c>
      <c r="AJ112" s="324">
        <v>111.43600000000001</v>
      </c>
      <c r="AK112" s="324">
        <v>124.29</v>
      </c>
      <c r="AL112" s="324">
        <v>139.29</v>
      </c>
      <c r="AM112" s="324">
        <v>87.144999999999996</v>
      </c>
      <c r="AN112" s="324">
        <v>90</v>
      </c>
      <c r="AO112" s="324">
        <f>80+0.128000000000611</f>
        <v>80.128000000000611</v>
      </c>
      <c r="AP112" s="324"/>
      <c r="AQ112" s="324"/>
      <c r="AR112" s="324"/>
      <c r="AS112" s="324"/>
      <c r="AT112" s="140">
        <f t="shared" si="46"/>
        <v>935.16100000000051</v>
      </c>
      <c r="AU112" s="324"/>
      <c r="AV112" s="324"/>
      <c r="AW112" s="324"/>
      <c r="AX112" s="324"/>
      <c r="AY112" s="324"/>
      <c r="AZ112" s="324"/>
      <c r="BA112" s="324"/>
      <c r="BB112" s="324"/>
      <c r="BC112" s="324"/>
      <c r="BD112" s="324"/>
      <c r="BE112" s="324"/>
      <c r="BF112" s="324"/>
      <c r="BG112" s="140">
        <f t="shared" si="47"/>
        <v>0</v>
      </c>
      <c r="BH112" s="324"/>
      <c r="BI112" s="324"/>
      <c r="BJ112" s="324"/>
      <c r="BK112" s="324"/>
      <c r="BL112" s="324"/>
      <c r="BM112" s="324"/>
      <c r="BN112" s="324"/>
      <c r="BO112" s="324"/>
      <c r="BP112" s="324"/>
      <c r="BQ112" s="324"/>
      <c r="BR112" s="324"/>
      <c r="BS112" s="324"/>
      <c r="BT112" s="140">
        <f t="shared" si="48"/>
        <v>0</v>
      </c>
      <c r="BU112" s="488">
        <f t="shared" si="49"/>
        <v>1339.5710000000004</v>
      </c>
      <c r="BV112" s="432"/>
      <c r="BW112" s="432"/>
      <c r="BX112" s="432"/>
      <c r="BY112" s="432"/>
      <c r="BZ112" s="433"/>
      <c r="CA112" s="434"/>
      <c r="CB112" s="7" t="s">
        <v>72</v>
      </c>
      <c r="CC112" s="83">
        <v>0</v>
      </c>
      <c r="CD112" s="83">
        <v>0</v>
      </c>
      <c r="CE112" s="83">
        <v>0</v>
      </c>
      <c r="CF112" s="83">
        <v>0</v>
      </c>
      <c r="CG112" s="84">
        <v>0</v>
      </c>
      <c r="CH112" s="84">
        <v>0</v>
      </c>
      <c r="CI112" s="84">
        <v>0</v>
      </c>
      <c r="CJ112" s="84">
        <v>0</v>
      </c>
      <c r="CK112" s="84">
        <v>0</v>
      </c>
      <c r="CL112" s="84">
        <v>0</v>
      </c>
      <c r="CM112" s="84">
        <v>0</v>
      </c>
      <c r="CN112" s="84">
        <v>0</v>
      </c>
      <c r="CO112" s="4">
        <f t="shared" si="65"/>
        <v>0</v>
      </c>
      <c r="CP112" s="84">
        <v>0</v>
      </c>
      <c r="CQ112" s="84">
        <v>5.5716951776122259E-3</v>
      </c>
      <c r="CR112" s="84">
        <v>0</v>
      </c>
      <c r="CS112" s="84">
        <v>1.3000622081095193E-2</v>
      </c>
      <c r="CT112" s="84">
        <v>0</v>
      </c>
      <c r="CU112" s="84">
        <v>0</v>
      </c>
      <c r="CV112" s="84">
        <v>0</v>
      </c>
      <c r="CW112" s="84">
        <v>0</v>
      </c>
      <c r="CX112" s="84">
        <v>1.2304124886042708E-2</v>
      </c>
      <c r="CY112" s="84">
        <v>1.2304124886042708E-2</v>
      </c>
      <c r="CZ112" s="84">
        <v>2.4608249772085415E-2</v>
      </c>
      <c r="DA112" s="84">
        <v>2.4608249772085415E-2</v>
      </c>
      <c r="DB112" s="4">
        <f t="shared" si="66"/>
        <v>9.239706657496366E-2</v>
      </c>
      <c r="DC112" s="84">
        <v>1.2700337750721716E-2</v>
      </c>
      <c r="DD112" s="84">
        <v>1.2700337750721716E-2</v>
      </c>
      <c r="DE112" s="84">
        <v>1.2700337750721716E-2</v>
      </c>
      <c r="DF112" s="84">
        <v>1.4165305458175115E-2</v>
      </c>
      <c r="DG112" s="84">
        <v>1.5874852339441723E-2</v>
      </c>
      <c r="DH112" s="84">
        <v>9.9318975311985698E-3</v>
      </c>
      <c r="DI112" s="84">
        <v>0</v>
      </c>
      <c r="DJ112" s="84">
        <v>0</v>
      </c>
      <c r="DK112" s="84">
        <v>0</v>
      </c>
      <c r="DL112" s="84">
        <v>0</v>
      </c>
      <c r="DM112" s="84">
        <v>0</v>
      </c>
      <c r="DN112" s="84">
        <v>0</v>
      </c>
      <c r="DO112" s="4">
        <f t="shared" si="67"/>
        <v>7.8073068580980551E-2</v>
      </c>
      <c r="DP112" s="84">
        <v>0</v>
      </c>
      <c r="DQ112" s="84">
        <v>0</v>
      </c>
      <c r="DR112" s="84">
        <v>0</v>
      </c>
      <c r="DS112" s="84">
        <v>0</v>
      </c>
      <c r="DT112" s="84">
        <v>0</v>
      </c>
      <c r="DU112" s="84">
        <v>0</v>
      </c>
      <c r="DV112" s="84">
        <v>0</v>
      </c>
      <c r="DW112" s="84">
        <v>0</v>
      </c>
      <c r="DX112" s="84">
        <v>0</v>
      </c>
      <c r="DY112" s="84">
        <v>0</v>
      </c>
      <c r="DZ112" s="84">
        <v>0</v>
      </c>
      <c r="EA112" s="84">
        <v>0</v>
      </c>
      <c r="EB112" s="4">
        <f t="shared" si="68"/>
        <v>0</v>
      </c>
      <c r="EC112" s="84">
        <v>0</v>
      </c>
      <c r="ED112" s="84">
        <v>0</v>
      </c>
      <c r="EE112" s="84">
        <v>0</v>
      </c>
      <c r="EF112" s="84">
        <v>0</v>
      </c>
      <c r="EG112" s="84">
        <v>0</v>
      </c>
      <c r="EH112" s="84">
        <v>0</v>
      </c>
      <c r="EI112" s="84">
        <v>0</v>
      </c>
      <c r="EJ112" s="84">
        <v>0</v>
      </c>
      <c r="EK112" s="84">
        <v>0</v>
      </c>
      <c r="EL112" s="84">
        <v>0</v>
      </c>
      <c r="EM112" s="84">
        <v>0</v>
      </c>
      <c r="EN112" s="84">
        <v>0</v>
      </c>
      <c r="EO112" s="4">
        <f t="shared" si="69"/>
        <v>0</v>
      </c>
      <c r="EP112" s="8">
        <f t="shared" si="70"/>
        <v>0.17047013515594422</v>
      </c>
      <c r="EQ112" s="181">
        <f>IFERROR(VLOOKUP(I112,CEI_012018!$A$1:$U$509,9,FALSE),0)</f>
        <v>0</v>
      </c>
      <c r="ER112" s="181">
        <f>IFERROR(VLOOKUP(I112,CEI_022018!$A$1:$U$509,9,FALSE),0)</f>
        <v>0</v>
      </c>
      <c r="ES112" s="181">
        <f>IFERROR(VLOOKUP(I112,CEI_032018!$A$1:$U$509,9,FALSE),0)</f>
        <v>0</v>
      </c>
      <c r="ET112" s="181">
        <f>IFERROR(VLOOKUP(I112,CEI_042018!$A$1:$U$491,9,FALSE),0)</f>
        <v>0</v>
      </c>
      <c r="EU112" s="181">
        <f>IFERROR(VLOOKUP(I112,CEI_052018!$A$1:$U$489,9,FALSE),0)</f>
        <v>0</v>
      </c>
      <c r="EV112" s="181">
        <f>IFERROR(VLOOKUP(I112,CEI_062018!$A$1:$U$489,9,FALSE),0)</f>
        <v>0</v>
      </c>
      <c r="EW112" s="181">
        <f>IFERROR(VLOOKUP(I112,CEI_072018!$A$1:$U$489,9,FALSE),0)</f>
        <v>0</v>
      </c>
      <c r="EX112" s="181">
        <f>IFERROR(VLOOKUP(I112,CEI_082018!$A$1:$U$489,9,FALSE),0)</f>
        <v>0</v>
      </c>
      <c r="EY112" s="181">
        <f>IFERROR(VLOOKUP(I112,CEI_092018!$A$1:$U$489,9,FALSE),0)</f>
        <v>0</v>
      </c>
      <c r="EZ112" s="181"/>
      <c r="FA112" s="181"/>
      <c r="FB112" s="181"/>
      <c r="FC112" s="181">
        <f>IFERROR(VLOOKUP(I112,CEI_092018!$A$1:$U$489,12,FALSE),0)</f>
        <v>0</v>
      </c>
      <c r="FD112" s="181">
        <f t="shared" si="71"/>
        <v>0</v>
      </c>
      <c r="FE112" s="181">
        <f t="shared" si="72"/>
        <v>0</v>
      </c>
      <c r="FF112"/>
      <c r="FG112"/>
      <c r="FH112"/>
      <c r="FI112"/>
      <c r="FJ112"/>
      <c r="FK112"/>
      <c r="FL112"/>
      <c r="FM112"/>
      <c r="FN112"/>
      <c r="FO112"/>
      <c r="FP112"/>
      <c r="FQ112"/>
      <c r="FR112"/>
      <c r="FS112"/>
      <c r="FT112"/>
      <c r="FU112"/>
      <c r="FV112"/>
      <c r="FW112"/>
      <c r="FX112"/>
      <c r="FY112"/>
      <c r="FZ112"/>
      <c r="GA112"/>
      <c r="GB112"/>
      <c r="GC112"/>
    </row>
    <row r="113" spans="1:185" ht="12.95" customHeight="1" x14ac:dyDescent="0.25">
      <c r="A113" s="202"/>
      <c r="B113" s="22" t="s">
        <v>57</v>
      </c>
      <c r="C113" s="34" t="s">
        <v>41</v>
      </c>
      <c r="D113" s="22" t="s">
        <v>58</v>
      </c>
      <c r="E113" s="25" t="s">
        <v>292</v>
      </c>
      <c r="F113" s="25" t="s">
        <v>58</v>
      </c>
      <c r="G113" s="25" t="s">
        <v>292</v>
      </c>
      <c r="H113" s="22" t="s">
        <v>56</v>
      </c>
      <c r="I113" s="423" t="s">
        <v>565</v>
      </c>
      <c r="J113" s="37"/>
      <c r="K113" s="23" t="s">
        <v>579</v>
      </c>
      <c r="L113" s="23" t="s">
        <v>578</v>
      </c>
      <c r="M113" s="23" t="s">
        <v>482</v>
      </c>
      <c r="N113" s="94" t="s">
        <v>1775</v>
      </c>
      <c r="O113" s="2"/>
      <c r="P113" s="2"/>
      <c r="Q113" s="2"/>
      <c r="R113" s="2"/>
      <c r="S113" s="2"/>
      <c r="T113" s="116">
        <f t="shared" si="44"/>
        <v>0</v>
      </c>
      <c r="U113" s="324"/>
      <c r="V113" s="324"/>
      <c r="W113" s="324"/>
      <c r="X113" s="324"/>
      <c r="Y113" s="324">
        <v>30</v>
      </c>
      <c r="Z113" s="324">
        <v>30</v>
      </c>
      <c r="AA113" s="324">
        <v>25</v>
      </c>
      <c r="AB113" s="324">
        <v>30</v>
      </c>
      <c r="AC113" s="324">
        <v>30</v>
      </c>
      <c r="AD113" s="324">
        <v>38</v>
      </c>
      <c r="AE113" s="324">
        <v>40</v>
      </c>
      <c r="AF113" s="324">
        <v>45</v>
      </c>
      <c r="AG113" s="140">
        <f t="shared" si="45"/>
        <v>268</v>
      </c>
      <c r="AH113" s="324">
        <v>50</v>
      </c>
      <c r="AI113" s="324">
        <v>55</v>
      </c>
      <c r="AJ113" s="324">
        <v>60</v>
      </c>
      <c r="AK113" s="324">
        <v>65</v>
      </c>
      <c r="AL113" s="324">
        <v>70</v>
      </c>
      <c r="AM113" s="324">
        <v>80</v>
      </c>
      <c r="AN113" s="324">
        <v>80</v>
      </c>
      <c r="AO113" s="324">
        <v>80</v>
      </c>
      <c r="AP113" s="324">
        <v>75</v>
      </c>
      <c r="AQ113" s="324">
        <v>70</v>
      </c>
      <c r="AR113" s="324">
        <v>65</v>
      </c>
      <c r="AS113" s="324">
        <v>60</v>
      </c>
      <c r="AT113" s="140">
        <f t="shared" si="46"/>
        <v>810</v>
      </c>
      <c r="AU113" s="324">
        <v>55</v>
      </c>
      <c r="AV113" s="324">
        <v>45</v>
      </c>
      <c r="AW113" s="324">
        <v>40</v>
      </c>
      <c r="AX113" s="324">
        <v>35</v>
      </c>
      <c r="AY113" s="324">
        <v>35</v>
      </c>
      <c r="AZ113" s="324">
        <v>25</v>
      </c>
      <c r="BA113" s="324"/>
      <c r="BB113" s="324"/>
      <c r="BC113" s="324"/>
      <c r="BD113" s="324"/>
      <c r="BE113" s="324"/>
      <c r="BF113" s="324"/>
      <c r="BG113" s="140">
        <f t="shared" si="47"/>
        <v>235</v>
      </c>
      <c r="BH113" s="324"/>
      <c r="BI113" s="324"/>
      <c r="BJ113" s="324"/>
      <c r="BK113" s="324"/>
      <c r="BL113" s="324"/>
      <c r="BM113" s="324"/>
      <c r="BN113" s="324"/>
      <c r="BO113" s="324"/>
      <c r="BP113" s="324"/>
      <c r="BQ113" s="324"/>
      <c r="BR113" s="324"/>
      <c r="BS113" s="324"/>
      <c r="BT113" s="140">
        <f t="shared" si="48"/>
        <v>0</v>
      </c>
      <c r="BU113" s="114">
        <f t="shared" si="49"/>
        <v>1313</v>
      </c>
      <c r="BV113" s="432"/>
      <c r="BW113" s="432"/>
      <c r="BX113" s="432"/>
      <c r="BY113" s="432"/>
      <c r="BZ113" s="433"/>
      <c r="CA113" s="434"/>
      <c r="CB113" s="7" t="s">
        <v>72</v>
      </c>
      <c r="CC113" s="83">
        <v>0</v>
      </c>
      <c r="CD113" s="83">
        <v>0</v>
      </c>
      <c r="CE113" s="83">
        <v>0</v>
      </c>
      <c r="CF113" s="83">
        <v>0</v>
      </c>
      <c r="CG113" s="84">
        <v>0</v>
      </c>
      <c r="CH113" s="84">
        <v>0</v>
      </c>
      <c r="CI113" s="84">
        <v>0</v>
      </c>
      <c r="CJ113" s="84">
        <v>0</v>
      </c>
      <c r="CK113" s="84">
        <v>0</v>
      </c>
      <c r="CL113" s="84">
        <v>0</v>
      </c>
      <c r="CM113" s="84">
        <v>0</v>
      </c>
      <c r="CN113" s="84">
        <v>0</v>
      </c>
      <c r="CO113" s="4">
        <f t="shared" si="65"/>
        <v>0</v>
      </c>
      <c r="CP113" s="84">
        <v>0</v>
      </c>
      <c r="CQ113" s="84">
        <v>0</v>
      </c>
      <c r="CR113" s="84">
        <v>0</v>
      </c>
      <c r="CS113" s="84">
        <v>0</v>
      </c>
      <c r="CT113" s="84">
        <v>4.2357421146512276E-3</v>
      </c>
      <c r="CU113" s="84">
        <v>4.2357421146512276E-3</v>
      </c>
      <c r="CV113" s="84">
        <v>3.5297850955426898E-3</v>
      </c>
      <c r="CW113" s="84">
        <v>4.2357421146512276E-3</v>
      </c>
      <c r="CX113" s="84">
        <v>4.2357421146512276E-3</v>
      </c>
      <c r="CY113" s="84">
        <v>5.3652733452248889E-3</v>
      </c>
      <c r="CZ113" s="84">
        <v>5.647656152868304E-3</v>
      </c>
      <c r="DA113" s="84">
        <v>6.3536131719768418E-3</v>
      </c>
      <c r="DB113" s="4">
        <f t="shared" si="66"/>
        <v>3.7839296224217632E-2</v>
      </c>
      <c r="DC113" s="84">
        <v>5.6984896042220267E-3</v>
      </c>
      <c r="DD113" s="84">
        <v>6.2683385646442298E-3</v>
      </c>
      <c r="DE113" s="84">
        <v>6.8381875250664321E-3</v>
      </c>
      <c r="DF113" s="84">
        <v>7.4080364854886352E-3</v>
      </c>
      <c r="DG113" s="84">
        <v>7.9778854459108383E-3</v>
      </c>
      <c r="DH113" s="84">
        <v>9.1175833667552428E-3</v>
      </c>
      <c r="DI113" s="84">
        <v>9.1175833667552428E-3</v>
      </c>
      <c r="DJ113" s="84">
        <v>9.1175833667552428E-3</v>
      </c>
      <c r="DK113" s="84">
        <v>8.5477344063330397E-3</v>
      </c>
      <c r="DL113" s="84">
        <v>7.9778854459108383E-3</v>
      </c>
      <c r="DM113" s="84">
        <v>7.4080364854886352E-3</v>
      </c>
      <c r="DN113" s="84">
        <v>6.8381875250664321E-3</v>
      </c>
      <c r="DO113" s="4">
        <f t="shared" si="67"/>
        <v>9.2315531588396837E-2</v>
      </c>
      <c r="DP113" s="84">
        <v>6.5465949731196805E-3</v>
      </c>
      <c r="DQ113" s="84">
        <v>5.3563049780070114E-3</v>
      </c>
      <c r="DR113" s="84">
        <v>4.7611599804506773E-3</v>
      </c>
      <c r="DS113" s="84">
        <v>4.1660149828943423E-3</v>
      </c>
      <c r="DT113" s="84">
        <v>4.1660149828943423E-3</v>
      </c>
      <c r="DU113" s="84">
        <v>2.9757249877816732E-3</v>
      </c>
      <c r="DV113" s="84">
        <v>0</v>
      </c>
      <c r="DW113" s="84">
        <v>0</v>
      </c>
      <c r="DX113" s="84">
        <v>0</v>
      </c>
      <c r="DY113" s="84">
        <v>0</v>
      </c>
      <c r="DZ113" s="84">
        <v>0</v>
      </c>
      <c r="EA113" s="84">
        <v>0</v>
      </c>
      <c r="EB113" s="4">
        <f t="shared" si="68"/>
        <v>2.7971814885147724E-2</v>
      </c>
      <c r="EC113" s="84">
        <v>0</v>
      </c>
      <c r="ED113" s="84">
        <v>0</v>
      </c>
      <c r="EE113" s="84">
        <v>0</v>
      </c>
      <c r="EF113" s="84">
        <v>0</v>
      </c>
      <c r="EG113" s="84">
        <v>0</v>
      </c>
      <c r="EH113" s="84">
        <v>0</v>
      </c>
      <c r="EI113" s="84">
        <v>0</v>
      </c>
      <c r="EJ113" s="84">
        <v>0</v>
      </c>
      <c r="EK113" s="84">
        <v>0</v>
      </c>
      <c r="EL113" s="84">
        <v>0</v>
      </c>
      <c r="EM113" s="84">
        <v>0</v>
      </c>
      <c r="EN113" s="84">
        <v>0</v>
      </c>
      <c r="EO113" s="4">
        <f t="shared" si="69"/>
        <v>0</v>
      </c>
      <c r="EP113" s="8">
        <f t="shared" si="70"/>
        <v>0.15812664269776219</v>
      </c>
      <c r="EQ113" s="181">
        <f>IFERROR(VLOOKUP(I113,CEI_012018!$A$1:$U$509,9,FALSE),0)</f>
        <v>0</v>
      </c>
      <c r="ER113" s="181">
        <f>IFERROR(VLOOKUP(I113,CEI_022018!$A$1:$U$509,9,FALSE),0)</f>
        <v>0</v>
      </c>
      <c r="ES113" s="181">
        <f>IFERROR(VLOOKUP(I113,CEI_032018!$A$1:$U$509,9,FALSE),0)</f>
        <v>0</v>
      </c>
      <c r="ET113" s="181">
        <f>IFERROR(VLOOKUP(I113,CEI_042018!$A$1:$U$491,9,FALSE),0)</f>
        <v>0</v>
      </c>
      <c r="EU113" s="181">
        <f>IFERROR(VLOOKUP(I113,CEI_052018!$A$1:$U$489,9,FALSE),0)</f>
        <v>0</v>
      </c>
      <c r="EV113" s="181">
        <f>IFERROR(VLOOKUP(I113,CEI_062018!$A$1:$U$489,9,FALSE),0)</f>
        <v>0</v>
      </c>
      <c r="EW113" s="181">
        <f>IFERROR(VLOOKUP(I113,CEI_072018!$A$1:$U$489,9,FALSE),0)</f>
        <v>0</v>
      </c>
      <c r="EX113" s="181">
        <f>IFERROR(VLOOKUP(I113,CEI_082018!$A$1:$U$489,9,FALSE),0)</f>
        <v>0</v>
      </c>
      <c r="EY113" s="181">
        <f>IFERROR(VLOOKUP(I113,CEI_092018!$A$1:$U$489,9,FALSE),0)</f>
        <v>0</v>
      </c>
      <c r="EZ113" s="181"/>
      <c r="FA113" s="181"/>
      <c r="FB113" s="181"/>
      <c r="FC113" s="181">
        <f>IFERROR(VLOOKUP(I113,CEI_092018!$A$1:$U$489,12,FALSE),0)</f>
        <v>0</v>
      </c>
      <c r="FD113" s="181">
        <f t="shared" si="71"/>
        <v>0</v>
      </c>
      <c r="FE113" s="181">
        <f t="shared" si="72"/>
        <v>0</v>
      </c>
      <c r="FF113"/>
      <c r="FG113"/>
      <c r="FH113"/>
      <c r="FI113"/>
      <c r="FJ113"/>
      <c r="FK113"/>
      <c r="FL113"/>
      <c r="FM113"/>
      <c r="FN113"/>
      <c r="FO113"/>
      <c r="FP113"/>
      <c r="FQ113"/>
      <c r="FR113"/>
      <c r="FS113"/>
      <c r="FT113"/>
      <c r="FU113"/>
      <c r="FV113"/>
      <c r="FW113"/>
      <c r="FX113"/>
      <c r="FY113"/>
      <c r="FZ113"/>
      <c r="GA113"/>
      <c r="GB113"/>
      <c r="GC113"/>
    </row>
    <row r="114" spans="1:185" ht="12.95" customHeight="1" x14ac:dyDescent="0.25">
      <c r="A114" s="202"/>
      <c r="B114" s="22" t="s">
        <v>57</v>
      </c>
      <c r="C114" s="34" t="s">
        <v>41</v>
      </c>
      <c r="D114" s="22" t="s">
        <v>55</v>
      </c>
      <c r="E114" s="25" t="s">
        <v>613</v>
      </c>
      <c r="F114" s="25" t="s">
        <v>55</v>
      </c>
      <c r="G114" s="25" t="s">
        <v>613</v>
      </c>
      <c r="H114" s="22" t="s">
        <v>56</v>
      </c>
      <c r="I114" s="423" t="s">
        <v>565</v>
      </c>
      <c r="J114" s="37"/>
      <c r="K114" s="23" t="s">
        <v>83</v>
      </c>
      <c r="L114" s="23" t="s">
        <v>84</v>
      </c>
      <c r="M114" s="23" t="s">
        <v>79</v>
      </c>
      <c r="N114" s="23"/>
      <c r="O114" s="2"/>
      <c r="P114" s="2"/>
      <c r="Q114" s="2"/>
      <c r="R114" s="2"/>
      <c r="S114" s="2"/>
      <c r="T114" s="116">
        <f t="shared" si="44"/>
        <v>0</v>
      </c>
      <c r="U114" s="324"/>
      <c r="V114" s="324"/>
      <c r="W114" s="324"/>
      <c r="X114" s="324"/>
      <c r="Y114" s="324"/>
      <c r="Z114" s="324"/>
      <c r="AA114" s="324">
        <v>5</v>
      </c>
      <c r="AB114" s="324">
        <v>6</v>
      </c>
      <c r="AC114" s="324">
        <v>10</v>
      </c>
      <c r="AD114" s="324">
        <v>10</v>
      </c>
      <c r="AE114" s="324">
        <v>10</v>
      </c>
      <c r="AF114" s="324">
        <v>10</v>
      </c>
      <c r="AG114" s="140">
        <f t="shared" si="45"/>
        <v>51</v>
      </c>
      <c r="AH114" s="324"/>
      <c r="AI114" s="324"/>
      <c r="AJ114" s="324"/>
      <c r="AK114" s="324"/>
      <c r="AL114" s="324"/>
      <c r="AM114" s="324">
        <v>190</v>
      </c>
      <c r="AN114" s="324">
        <v>190</v>
      </c>
      <c r="AO114" s="324">
        <v>190</v>
      </c>
      <c r="AP114" s="324">
        <v>190</v>
      </c>
      <c r="AQ114" s="324">
        <v>190</v>
      </c>
      <c r="AR114" s="324">
        <f>186-0.107158338999852</f>
        <v>185.89284166100015</v>
      </c>
      <c r="AS114" s="324"/>
      <c r="AT114" s="140">
        <f t="shared" si="46"/>
        <v>1135.8928416610001</v>
      </c>
      <c r="AU114" s="324"/>
      <c r="AV114" s="324"/>
      <c r="AW114" s="324"/>
      <c r="AX114" s="324"/>
      <c r="AY114" s="324"/>
      <c r="AZ114" s="324"/>
      <c r="BA114" s="324"/>
      <c r="BB114" s="324"/>
      <c r="BC114" s="324"/>
      <c r="BD114" s="324"/>
      <c r="BE114" s="324"/>
      <c r="BF114" s="324"/>
      <c r="BG114" s="140">
        <f t="shared" si="47"/>
        <v>0</v>
      </c>
      <c r="BH114" s="324"/>
      <c r="BI114" s="324"/>
      <c r="BJ114" s="324"/>
      <c r="BK114" s="324"/>
      <c r="BL114" s="324"/>
      <c r="BM114" s="324"/>
      <c r="BN114" s="324"/>
      <c r="BO114" s="324"/>
      <c r="BP114" s="324"/>
      <c r="BQ114" s="324"/>
      <c r="BR114" s="324"/>
      <c r="BS114" s="324"/>
      <c r="BT114" s="140">
        <f t="shared" si="48"/>
        <v>0</v>
      </c>
      <c r="BU114" s="488">
        <f t="shared" si="49"/>
        <v>1186.8928416610001</v>
      </c>
      <c r="BV114" s="372">
        <v>-1</v>
      </c>
      <c r="BW114" s="372">
        <v>-1</v>
      </c>
      <c r="BX114" s="372">
        <v>-1</v>
      </c>
      <c r="BY114" s="372">
        <v>-1</v>
      </c>
      <c r="BZ114" s="436">
        <f>IFERROR((EX114/T114%),0)</f>
        <v>0</v>
      </c>
      <c r="CA114" s="428">
        <f>IFERROR((FD114/T114%),0)</f>
        <v>0</v>
      </c>
      <c r="CB114" s="7" t="s">
        <v>72</v>
      </c>
      <c r="CC114" s="84">
        <v>0</v>
      </c>
      <c r="CD114" s="84">
        <v>0</v>
      </c>
      <c r="CE114" s="84">
        <v>0</v>
      </c>
      <c r="CF114" s="84">
        <v>0</v>
      </c>
      <c r="CG114" s="84">
        <v>0</v>
      </c>
      <c r="CH114" s="84">
        <v>0</v>
      </c>
      <c r="CI114" s="84">
        <v>0</v>
      </c>
      <c r="CJ114" s="84">
        <v>0</v>
      </c>
      <c r="CK114" s="84">
        <v>0</v>
      </c>
      <c r="CL114" s="84">
        <v>0</v>
      </c>
      <c r="CM114" s="84">
        <v>0</v>
      </c>
      <c r="CN114" s="84">
        <v>4.1232416307214487E-3</v>
      </c>
      <c r="CO114" s="4">
        <f t="shared" si="65"/>
        <v>4.1232416307214487E-3</v>
      </c>
      <c r="CP114" s="84">
        <v>0</v>
      </c>
      <c r="CQ114" s="84">
        <v>9.3708734716467339E-3</v>
      </c>
      <c r="CR114" s="84">
        <v>0</v>
      </c>
      <c r="CS114" s="84">
        <v>0</v>
      </c>
      <c r="CT114" s="84">
        <v>0</v>
      </c>
      <c r="CU114" s="84">
        <v>0</v>
      </c>
      <c r="CV114" s="84">
        <v>0</v>
      </c>
      <c r="CW114" s="84">
        <v>0</v>
      </c>
      <c r="CX114" s="84">
        <v>0</v>
      </c>
      <c r="CY114" s="84">
        <v>1.4543115811741659E-2</v>
      </c>
      <c r="CZ114" s="84">
        <v>1.7675751844439574E-2</v>
      </c>
      <c r="DA114" s="84">
        <v>3.2054283191536484E-2</v>
      </c>
      <c r="DB114" s="4">
        <f t="shared" si="66"/>
        <v>7.3644024319364454E-2</v>
      </c>
      <c r="DC114" s="84">
        <v>1.6929396779736157E-2</v>
      </c>
      <c r="DD114" s="84">
        <v>2.8535756542102223E-2</v>
      </c>
      <c r="DE114" s="84">
        <v>1.4267878271051112E-2</v>
      </c>
      <c r="DF114" s="84">
        <v>1.4267878271051112E-2</v>
      </c>
      <c r="DG114" s="84">
        <v>0</v>
      </c>
      <c r="DH114" s="84">
        <v>0</v>
      </c>
      <c r="DI114" s="84">
        <v>0</v>
      </c>
      <c r="DJ114" s="84">
        <v>0</v>
      </c>
      <c r="DK114" s="84">
        <v>0</v>
      </c>
      <c r="DL114" s="84">
        <v>0</v>
      </c>
      <c r="DM114" s="84">
        <v>0</v>
      </c>
      <c r="DN114" s="84">
        <v>0</v>
      </c>
      <c r="DO114" s="4">
        <f t="shared" si="67"/>
        <v>7.4000909863940603E-2</v>
      </c>
      <c r="DP114" s="84">
        <v>0</v>
      </c>
      <c r="DQ114" s="84">
        <v>0</v>
      </c>
      <c r="DR114" s="84">
        <v>0</v>
      </c>
      <c r="DS114" s="84">
        <v>0</v>
      </c>
      <c r="DT114" s="84">
        <v>0</v>
      </c>
      <c r="DU114" s="84">
        <v>0</v>
      </c>
      <c r="DV114" s="84">
        <v>0</v>
      </c>
      <c r="DW114" s="84">
        <v>0</v>
      </c>
      <c r="DX114" s="84">
        <v>0</v>
      </c>
      <c r="DY114" s="84">
        <v>0</v>
      </c>
      <c r="DZ114" s="84">
        <v>0</v>
      </c>
      <c r="EA114" s="84">
        <v>0</v>
      </c>
      <c r="EB114" s="4">
        <f t="shared" si="68"/>
        <v>0</v>
      </c>
      <c r="EC114" s="84">
        <v>0</v>
      </c>
      <c r="ED114" s="84">
        <v>0</v>
      </c>
      <c r="EE114" s="84">
        <v>0</v>
      </c>
      <c r="EF114" s="84">
        <v>0</v>
      </c>
      <c r="EG114" s="84">
        <v>0</v>
      </c>
      <c r="EH114" s="84">
        <v>0</v>
      </c>
      <c r="EI114" s="84">
        <v>0</v>
      </c>
      <c r="EJ114" s="84">
        <v>0</v>
      </c>
      <c r="EK114" s="84">
        <v>0</v>
      </c>
      <c r="EL114" s="84">
        <v>0</v>
      </c>
      <c r="EM114" s="84">
        <v>0</v>
      </c>
      <c r="EN114" s="84">
        <v>0</v>
      </c>
      <c r="EO114" s="4">
        <f t="shared" si="69"/>
        <v>0</v>
      </c>
      <c r="EP114" s="8">
        <f t="shared" si="70"/>
        <v>0.15176817581402649</v>
      </c>
      <c r="EQ114" s="181">
        <f>IFERROR(VLOOKUP(I114,CEI_012018!$A$1:$U$509,9,FALSE),0)</f>
        <v>0</v>
      </c>
      <c r="ER114" s="181">
        <f>IFERROR(VLOOKUP(I114,CEI_022018!$A$1:$U$509,9,FALSE),0)</f>
        <v>0</v>
      </c>
      <c r="ES114" s="181">
        <f>IFERROR(VLOOKUP(I114,CEI_032018!$A$1:$U$509,9,FALSE),0)</f>
        <v>0</v>
      </c>
      <c r="ET114" s="181">
        <f>IFERROR(VLOOKUP(I114,CEI_042018!$A$1:$U$491,9,FALSE),0)</f>
        <v>0</v>
      </c>
      <c r="EU114" s="181">
        <f>IFERROR(VLOOKUP(I114,CEI_052018!$A$1:$U$489,9,FALSE),0)</f>
        <v>0</v>
      </c>
      <c r="EV114" s="181">
        <f>IFERROR(VLOOKUP(I114,CEI_062018!$A$1:$U$489,9,FALSE),0)</f>
        <v>0</v>
      </c>
      <c r="EW114" s="181">
        <f>IFERROR(VLOOKUP(I114,CEI_072018!$A$1:$U$489,9,FALSE),0)</f>
        <v>0</v>
      </c>
      <c r="EX114" s="181">
        <f>IFERROR(VLOOKUP(I114,CEI_082018!$A$1:$U$489,9,FALSE),0)</f>
        <v>0</v>
      </c>
      <c r="EY114" s="181">
        <f>IFERROR(VLOOKUP(I114,CEI_092018!$A$1:$U$489,9,FALSE),0)</f>
        <v>0</v>
      </c>
      <c r="EZ114" s="181"/>
      <c r="FA114" s="181"/>
      <c r="FB114" s="181"/>
      <c r="FC114" s="181">
        <f>IFERROR(VLOOKUP(I114,CEI_092018!$A$1:$U$489,12,FALSE),0)</f>
        <v>0</v>
      </c>
      <c r="FD114" s="181">
        <f t="shared" si="71"/>
        <v>0</v>
      </c>
      <c r="FE114" s="181">
        <f t="shared" si="72"/>
        <v>0</v>
      </c>
      <c r="FF114"/>
      <c r="FG114"/>
      <c r="FH114"/>
      <c r="FI114"/>
      <c r="FJ114"/>
      <c r="FK114"/>
      <c r="FL114"/>
      <c r="FM114"/>
      <c r="FN114"/>
      <c r="FO114"/>
      <c r="FP114"/>
      <c r="FQ114"/>
      <c r="FR114"/>
      <c r="FS114"/>
      <c r="FT114"/>
      <c r="FU114"/>
      <c r="FV114"/>
      <c r="FW114"/>
      <c r="FX114"/>
      <c r="FY114"/>
      <c r="FZ114"/>
      <c r="GA114"/>
      <c r="GB114"/>
      <c r="GC114"/>
    </row>
    <row r="115" spans="1:185" ht="12.95" customHeight="1" x14ac:dyDescent="0.25">
      <c r="A115" s="202"/>
      <c r="B115" s="22" t="s">
        <v>57</v>
      </c>
      <c r="C115" s="34" t="s">
        <v>41</v>
      </c>
      <c r="D115" s="22" t="s">
        <v>55</v>
      </c>
      <c r="E115" s="25" t="s">
        <v>616</v>
      </c>
      <c r="F115" s="25" t="s">
        <v>55</v>
      </c>
      <c r="G115" s="25" t="s">
        <v>616</v>
      </c>
      <c r="H115" s="22" t="s">
        <v>56</v>
      </c>
      <c r="I115" s="423" t="s">
        <v>565</v>
      </c>
      <c r="J115" s="37"/>
      <c r="K115" s="23" t="s">
        <v>87</v>
      </c>
      <c r="L115" s="23" t="s">
        <v>88</v>
      </c>
      <c r="M115" s="23" t="s">
        <v>79</v>
      </c>
      <c r="N115" s="23"/>
      <c r="O115" s="2"/>
      <c r="P115" s="2"/>
      <c r="Q115" s="2"/>
      <c r="R115" s="2"/>
      <c r="S115" s="2"/>
      <c r="T115" s="116">
        <f t="shared" si="44"/>
        <v>0</v>
      </c>
      <c r="U115" s="324"/>
      <c r="V115" s="324"/>
      <c r="W115" s="324"/>
      <c r="X115" s="324"/>
      <c r="Y115" s="324"/>
      <c r="Z115" s="324">
        <v>28</v>
      </c>
      <c r="AA115" s="324">
        <v>29</v>
      </c>
      <c r="AB115" s="324"/>
      <c r="AC115" s="324"/>
      <c r="AD115" s="324"/>
      <c r="AE115" s="324">
        <v>154</v>
      </c>
      <c r="AF115" s="324">
        <v>100</v>
      </c>
      <c r="AG115" s="140">
        <f t="shared" si="45"/>
        <v>311</v>
      </c>
      <c r="AH115" s="324">
        <v>126</v>
      </c>
      <c r="AI115" s="324">
        <v>197</v>
      </c>
      <c r="AJ115" s="324">
        <v>185</v>
      </c>
      <c r="AK115" s="324">
        <v>130</v>
      </c>
      <c r="AL115" s="324">
        <v>140</v>
      </c>
      <c r="AM115" s="324"/>
      <c r="AN115" s="324"/>
      <c r="AO115" s="324"/>
      <c r="AP115" s="324"/>
      <c r="AQ115" s="324"/>
      <c r="AR115" s="324"/>
      <c r="AS115" s="324"/>
      <c r="AT115" s="140">
        <f t="shared" si="46"/>
        <v>778</v>
      </c>
      <c r="AU115" s="324"/>
      <c r="AV115" s="324"/>
      <c r="AW115" s="324"/>
      <c r="AX115" s="324"/>
      <c r="AY115" s="324"/>
      <c r="AZ115" s="324"/>
      <c r="BA115" s="324"/>
      <c r="BB115" s="324"/>
      <c r="BC115" s="324"/>
      <c r="BD115" s="324"/>
      <c r="BE115" s="324"/>
      <c r="BF115" s="324"/>
      <c r="BG115" s="140">
        <f t="shared" si="47"/>
        <v>0</v>
      </c>
      <c r="BH115" s="324"/>
      <c r="BI115" s="324"/>
      <c r="BJ115" s="324"/>
      <c r="BK115" s="324"/>
      <c r="BL115" s="324"/>
      <c r="BM115" s="324"/>
      <c r="BN115" s="324"/>
      <c r="BO115" s="324"/>
      <c r="BP115" s="324"/>
      <c r="BQ115" s="324"/>
      <c r="BR115" s="324"/>
      <c r="BS115" s="324"/>
      <c r="BT115" s="140">
        <f t="shared" si="48"/>
        <v>0</v>
      </c>
      <c r="BU115" s="488">
        <f t="shared" si="49"/>
        <v>1089</v>
      </c>
      <c r="BV115" s="372">
        <v>-1</v>
      </c>
      <c r="BW115" s="372">
        <v>-1</v>
      </c>
      <c r="BX115" s="372">
        <v>-1</v>
      </c>
      <c r="BY115" s="372">
        <v>-1</v>
      </c>
      <c r="BZ115" s="436">
        <f>IFERROR((EX115/T115%),0)</f>
        <v>0</v>
      </c>
      <c r="CA115" s="428">
        <f>IFERROR((FD115/T115%),0)</f>
        <v>0</v>
      </c>
      <c r="CB115" s="7" t="s">
        <v>72</v>
      </c>
      <c r="CC115" s="84">
        <v>0</v>
      </c>
      <c r="CD115" s="84">
        <v>0</v>
      </c>
      <c r="CE115" s="84">
        <v>0</v>
      </c>
      <c r="CF115" s="84">
        <v>0</v>
      </c>
      <c r="CG115" s="84">
        <v>0</v>
      </c>
      <c r="CH115" s="84">
        <v>0</v>
      </c>
      <c r="CI115" s="84">
        <v>0</v>
      </c>
      <c r="CJ115" s="84">
        <v>0</v>
      </c>
      <c r="CK115" s="84">
        <v>0</v>
      </c>
      <c r="CL115" s="84">
        <v>0</v>
      </c>
      <c r="CM115" s="84">
        <v>0</v>
      </c>
      <c r="CN115" s="84">
        <v>1.7266074328646068E-2</v>
      </c>
      <c r="CO115" s="4">
        <f t="shared" si="65"/>
        <v>1.7266074328646068E-2</v>
      </c>
      <c r="CP115" s="84">
        <v>0</v>
      </c>
      <c r="CQ115" s="84">
        <v>0</v>
      </c>
      <c r="CR115" s="84">
        <v>0</v>
      </c>
      <c r="CS115" s="84">
        <v>0</v>
      </c>
      <c r="CT115" s="84">
        <v>0</v>
      </c>
      <c r="CU115" s="84">
        <v>0</v>
      </c>
      <c r="CV115" s="84">
        <v>0</v>
      </c>
      <c r="CW115" s="84">
        <v>1.4430326236193803E-2</v>
      </c>
      <c r="CX115" s="84">
        <v>1.4430326236193803E-2</v>
      </c>
      <c r="CY115" s="84">
        <v>1.4430326236193803E-2</v>
      </c>
      <c r="CZ115" s="84">
        <v>1.4430326236193803E-2</v>
      </c>
      <c r="DA115" s="84">
        <v>2.8860652472387605E-2</v>
      </c>
      <c r="DB115" s="4">
        <f t="shared" si="66"/>
        <v>8.6581957417162819E-2</v>
      </c>
      <c r="DC115" s="444">
        <v>2.3296337260396319E-2</v>
      </c>
      <c r="DD115" s="444">
        <v>1.1636771650989718E-2</v>
      </c>
      <c r="DE115" s="444">
        <v>1.164816863019816E-2</v>
      </c>
      <c r="DF115" s="444">
        <v>0</v>
      </c>
      <c r="DG115" s="444">
        <v>0</v>
      </c>
      <c r="DH115" s="444">
        <v>0</v>
      </c>
      <c r="DI115" s="444">
        <v>0</v>
      </c>
      <c r="DJ115" s="444">
        <v>0</v>
      </c>
      <c r="DK115" s="444">
        <v>0</v>
      </c>
      <c r="DL115" s="444">
        <v>0</v>
      </c>
      <c r="DM115" s="444">
        <v>0</v>
      </c>
      <c r="DN115" s="444">
        <v>0</v>
      </c>
      <c r="DO115" s="4">
        <f t="shared" si="67"/>
        <v>4.6581277541584198E-2</v>
      </c>
      <c r="DP115" s="84">
        <v>0</v>
      </c>
      <c r="DQ115" s="84">
        <v>0</v>
      </c>
      <c r="DR115" s="84">
        <v>0</v>
      </c>
      <c r="DS115" s="84">
        <v>0</v>
      </c>
      <c r="DT115" s="84">
        <v>0</v>
      </c>
      <c r="DU115" s="84">
        <v>0</v>
      </c>
      <c r="DV115" s="84">
        <v>0</v>
      </c>
      <c r="DW115" s="84">
        <v>0</v>
      </c>
      <c r="DX115" s="84">
        <v>0</v>
      </c>
      <c r="DY115" s="84">
        <v>0</v>
      </c>
      <c r="DZ115" s="84">
        <v>0</v>
      </c>
      <c r="EA115" s="84">
        <v>0</v>
      </c>
      <c r="EB115" s="4">
        <f t="shared" si="68"/>
        <v>0</v>
      </c>
      <c r="EC115" s="84">
        <v>0</v>
      </c>
      <c r="ED115" s="84">
        <v>0</v>
      </c>
      <c r="EE115" s="84">
        <v>0</v>
      </c>
      <c r="EF115" s="84">
        <v>0</v>
      </c>
      <c r="EG115" s="84">
        <v>0</v>
      </c>
      <c r="EH115" s="84">
        <v>0</v>
      </c>
      <c r="EI115" s="84">
        <v>0</v>
      </c>
      <c r="EJ115" s="84">
        <v>0</v>
      </c>
      <c r="EK115" s="84">
        <v>0</v>
      </c>
      <c r="EL115" s="84">
        <v>0</v>
      </c>
      <c r="EM115" s="84">
        <v>0</v>
      </c>
      <c r="EN115" s="84">
        <v>0</v>
      </c>
      <c r="EO115" s="4">
        <f t="shared" si="69"/>
        <v>0</v>
      </c>
      <c r="EP115" s="8">
        <f t="shared" si="70"/>
        <v>0.15042930928739309</v>
      </c>
      <c r="EQ115" s="181">
        <f>IFERROR(VLOOKUP(I115,CEI_012018!$A$1:$U$509,9,FALSE),0)</f>
        <v>0</v>
      </c>
      <c r="ER115" s="181">
        <f>IFERROR(VLOOKUP(I115,CEI_022018!$A$1:$U$509,9,FALSE),0)</f>
        <v>0</v>
      </c>
      <c r="ES115" s="181">
        <f>IFERROR(VLOOKUP(I115,CEI_032018!$A$1:$U$509,9,FALSE),0)</f>
        <v>0</v>
      </c>
      <c r="ET115" s="181">
        <f>IFERROR(VLOOKUP(I115,CEI_042018!$A$1:$U$491,9,FALSE),0)</f>
        <v>0</v>
      </c>
      <c r="EU115" s="181">
        <f>IFERROR(VLOOKUP(I115,CEI_052018!$A$1:$U$489,9,FALSE),0)</f>
        <v>0</v>
      </c>
      <c r="EV115" s="181">
        <f>IFERROR(VLOOKUP(I115,CEI_062018!$A$1:$U$489,9,FALSE),0)</f>
        <v>0</v>
      </c>
      <c r="EW115" s="181">
        <f>IFERROR(VLOOKUP(I115,CEI_072018!$A$1:$U$489,9,FALSE),0)</f>
        <v>0</v>
      </c>
      <c r="EX115" s="181">
        <f>IFERROR(VLOOKUP(I115,CEI_082018!$A$1:$U$489,9,FALSE),0)</f>
        <v>0</v>
      </c>
      <c r="EY115" s="181">
        <f>IFERROR(VLOOKUP(I115,CEI_092018!$A$1:$U$489,9,FALSE),0)</f>
        <v>0</v>
      </c>
      <c r="EZ115" s="181"/>
      <c r="FA115" s="181"/>
      <c r="FB115" s="181"/>
      <c r="FC115" s="181">
        <f>IFERROR(VLOOKUP(I115,CEI_092018!$A$1:$U$489,12,FALSE),0)</f>
        <v>0</v>
      </c>
      <c r="FD115" s="181">
        <f t="shared" si="71"/>
        <v>0</v>
      </c>
      <c r="FE115" s="181">
        <f t="shared" si="72"/>
        <v>0</v>
      </c>
      <c r="FF115"/>
      <c r="FG115"/>
      <c r="FH115"/>
      <c r="FI115"/>
      <c r="FJ115"/>
      <c r="FK115"/>
      <c r="FL115"/>
      <c r="FM115"/>
      <c r="FN115"/>
      <c r="FO115"/>
      <c r="FP115"/>
      <c r="FQ115"/>
      <c r="FR115"/>
      <c r="FS115"/>
      <c r="FT115"/>
      <c r="FU115"/>
      <c r="FV115"/>
      <c r="FW115"/>
      <c r="FX115"/>
      <c r="FY115"/>
      <c r="FZ115"/>
      <c r="GA115"/>
      <c r="GB115"/>
      <c r="GC115"/>
    </row>
    <row r="116" spans="1:185" ht="12.95" customHeight="1" x14ac:dyDescent="0.25">
      <c r="A116" s="202"/>
      <c r="B116" s="22" t="s">
        <v>57</v>
      </c>
      <c r="C116" s="34" t="s">
        <v>41</v>
      </c>
      <c r="D116" s="22" t="s">
        <v>58</v>
      </c>
      <c r="E116" s="25" t="s">
        <v>1532</v>
      </c>
      <c r="F116" s="25" t="s">
        <v>58</v>
      </c>
      <c r="G116" s="25" t="s">
        <v>1532</v>
      </c>
      <c r="H116" s="22" t="s">
        <v>56</v>
      </c>
      <c r="I116" s="423" t="s">
        <v>565</v>
      </c>
      <c r="J116" s="37"/>
      <c r="K116" s="23" t="s">
        <v>2008</v>
      </c>
      <c r="L116" s="23" t="s">
        <v>1536</v>
      </c>
      <c r="M116" s="23" t="s">
        <v>1537</v>
      </c>
      <c r="N116" s="23" t="s">
        <v>1769</v>
      </c>
      <c r="O116" s="2"/>
      <c r="P116" s="2"/>
      <c r="Q116" s="2"/>
      <c r="R116" s="2"/>
      <c r="S116" s="2"/>
      <c r="T116" s="116">
        <f t="shared" si="44"/>
        <v>0</v>
      </c>
      <c r="U116" s="324"/>
      <c r="V116" s="324"/>
      <c r="W116" s="324"/>
      <c r="X116" s="324"/>
      <c r="Y116" s="324"/>
      <c r="Z116" s="324"/>
      <c r="AA116" s="324"/>
      <c r="AB116" s="324">
        <v>200</v>
      </c>
      <c r="AC116" s="324"/>
      <c r="AD116" s="324"/>
      <c r="AE116" s="324"/>
      <c r="AF116" s="324"/>
      <c r="AG116" s="140">
        <f t="shared" si="45"/>
        <v>200</v>
      </c>
      <c r="AH116" s="324"/>
      <c r="AI116" s="324"/>
      <c r="AJ116" s="324"/>
      <c r="AK116" s="324"/>
      <c r="AL116" s="324"/>
      <c r="AM116" s="324"/>
      <c r="AN116" s="324"/>
      <c r="AO116" s="324">
        <v>200</v>
      </c>
      <c r="AP116" s="324"/>
      <c r="AQ116" s="324"/>
      <c r="AR116" s="324"/>
      <c r="AS116" s="324"/>
      <c r="AT116" s="140">
        <f t="shared" si="46"/>
        <v>200</v>
      </c>
      <c r="AU116" s="324"/>
      <c r="AV116" s="324"/>
      <c r="AW116" s="324"/>
      <c r="AX116" s="324"/>
      <c r="AY116" s="324"/>
      <c r="AZ116" s="324"/>
      <c r="BA116" s="324"/>
      <c r="BB116" s="324"/>
      <c r="BC116" s="324">
        <v>200</v>
      </c>
      <c r="BD116" s="324"/>
      <c r="BE116" s="324"/>
      <c r="BF116" s="324">
        <v>0</v>
      </c>
      <c r="BG116" s="140">
        <f t="shared" si="47"/>
        <v>200</v>
      </c>
      <c r="BH116" s="324"/>
      <c r="BI116" s="324"/>
      <c r="BJ116" s="324"/>
      <c r="BK116" s="324"/>
      <c r="BL116" s="324"/>
      <c r="BM116" s="324"/>
      <c r="BN116" s="324"/>
      <c r="BO116" s="324">
        <v>402</v>
      </c>
      <c r="BP116" s="324"/>
      <c r="BQ116" s="324"/>
      <c r="BR116" s="324"/>
      <c r="BS116" s="324"/>
      <c r="BT116" s="140">
        <f t="shared" si="48"/>
        <v>402</v>
      </c>
      <c r="BU116" s="114">
        <f t="shared" si="49"/>
        <v>1002</v>
      </c>
      <c r="BV116" s="432"/>
      <c r="BW116" s="432"/>
      <c r="BX116" s="432"/>
      <c r="BY116" s="432"/>
      <c r="BZ116" s="433"/>
      <c r="CA116" s="434"/>
      <c r="CB116" s="7" t="s">
        <v>73</v>
      </c>
      <c r="CC116" s="3"/>
      <c r="CD116" s="3"/>
      <c r="CE116" s="3"/>
      <c r="CF116" s="3"/>
      <c r="CG116" s="3"/>
      <c r="CH116" s="3"/>
      <c r="CI116" s="3"/>
      <c r="CJ116" s="3"/>
      <c r="CK116" s="3"/>
      <c r="CL116" s="3"/>
      <c r="CM116" s="3"/>
      <c r="CN116" s="3"/>
      <c r="CO116" s="4">
        <f t="shared" si="65"/>
        <v>0</v>
      </c>
      <c r="CP116" s="3"/>
      <c r="CQ116" s="3"/>
      <c r="CR116" s="3"/>
      <c r="CS116" s="3"/>
      <c r="CT116" s="3"/>
      <c r="CU116" s="3"/>
      <c r="CV116" s="3"/>
      <c r="CW116" s="3"/>
      <c r="CX116" s="3"/>
      <c r="CY116" s="3"/>
      <c r="CZ116" s="3"/>
      <c r="DA116" s="3">
        <v>79</v>
      </c>
      <c r="DB116" s="4">
        <f t="shared" si="66"/>
        <v>79</v>
      </c>
      <c r="DC116" s="3"/>
      <c r="DD116" s="3"/>
      <c r="DE116" s="3"/>
      <c r="DF116" s="3"/>
      <c r="DG116" s="3"/>
      <c r="DH116" s="3"/>
      <c r="DI116" s="3"/>
      <c r="DJ116" s="3"/>
      <c r="DK116" s="3"/>
      <c r="DL116" s="3"/>
      <c r="DM116" s="3"/>
      <c r="DN116" s="3">
        <v>75</v>
      </c>
      <c r="DO116" s="4">
        <f t="shared" si="67"/>
        <v>75</v>
      </c>
      <c r="DP116" s="3"/>
      <c r="DQ116" s="3"/>
      <c r="DR116" s="3"/>
      <c r="DS116" s="3"/>
      <c r="DT116" s="3"/>
      <c r="DU116" s="3"/>
      <c r="DV116" s="3"/>
      <c r="DW116" s="3"/>
      <c r="DX116" s="3"/>
      <c r="DY116" s="3"/>
      <c r="DZ116" s="3"/>
      <c r="EA116" s="3">
        <v>66</v>
      </c>
      <c r="EB116" s="4">
        <f t="shared" si="68"/>
        <v>66</v>
      </c>
      <c r="EC116" s="3"/>
      <c r="ED116" s="3"/>
      <c r="EE116" s="3"/>
      <c r="EF116" s="3"/>
      <c r="EG116" s="3"/>
      <c r="EH116" s="3"/>
      <c r="EI116" s="3"/>
      <c r="EJ116" s="3"/>
      <c r="EK116" s="3"/>
      <c r="EL116" s="3"/>
      <c r="EM116" s="3"/>
      <c r="EN116" s="3">
        <v>47</v>
      </c>
      <c r="EO116" s="4">
        <f t="shared" si="69"/>
        <v>47</v>
      </c>
      <c r="EP116" s="8">
        <f t="shared" si="70"/>
        <v>267</v>
      </c>
      <c r="EQ116" s="181">
        <f>IFERROR(VLOOKUP(I116,CEI_012018!$A$1:$U$509,9,FALSE),0)</f>
        <v>0</v>
      </c>
      <c r="ER116" s="181">
        <f>IFERROR(VLOOKUP(I116,CEI_022018!$A$1:$U$509,9,FALSE),0)</f>
        <v>0</v>
      </c>
      <c r="ES116" s="181">
        <f>IFERROR(VLOOKUP(I116,CEI_032018!$A$1:$U$509,9,FALSE),0)</f>
        <v>0</v>
      </c>
      <c r="ET116" s="181">
        <f>IFERROR(VLOOKUP(I116,CEI_042018!$A$1:$U$491,9,FALSE),0)</f>
        <v>0</v>
      </c>
      <c r="EU116" s="181">
        <f>IFERROR(VLOOKUP(I116,CEI_052018!$A$1:$U$489,9,FALSE),0)</f>
        <v>0</v>
      </c>
      <c r="EV116" s="181">
        <f>IFERROR(VLOOKUP(I116,CEI_062018!$A$1:$U$489,9,FALSE),0)</f>
        <v>0</v>
      </c>
      <c r="EW116" s="181">
        <f>IFERROR(VLOOKUP(I116,CEI_072018!$A$1:$U$489,9,FALSE),0)</f>
        <v>0</v>
      </c>
      <c r="EX116" s="181">
        <f>IFERROR(VLOOKUP(I116,CEI_082018!$A$1:$U$489,9,FALSE),0)</f>
        <v>0</v>
      </c>
      <c r="EY116" s="181">
        <f>IFERROR(VLOOKUP(I116,CEI_092018!$A$1:$U$489,9,FALSE),0)</f>
        <v>0</v>
      </c>
      <c r="EZ116" s="181"/>
      <c r="FA116" s="181"/>
      <c r="FB116" s="181"/>
      <c r="FC116" s="181">
        <f>IFERROR(VLOOKUP(I116,CEI_092018!$A$1:$U$489,12,FALSE),0)</f>
        <v>0</v>
      </c>
      <c r="FD116" s="181">
        <f t="shared" si="71"/>
        <v>0</v>
      </c>
      <c r="FE116" s="181">
        <f t="shared" si="72"/>
        <v>0</v>
      </c>
      <c r="FF116"/>
      <c r="FG116"/>
      <c r="FH116"/>
      <c r="FI116"/>
      <c r="FJ116"/>
      <c r="FK116"/>
      <c r="FL116"/>
      <c r="FM116"/>
      <c r="FN116"/>
      <c r="FO116"/>
      <c r="FP116"/>
      <c r="FQ116"/>
      <c r="FR116"/>
      <c r="FS116"/>
      <c r="FT116"/>
      <c r="FU116"/>
      <c r="FV116"/>
      <c r="FW116"/>
      <c r="FX116"/>
      <c r="FY116"/>
      <c r="FZ116"/>
      <c r="GA116"/>
      <c r="GB116"/>
      <c r="GC116"/>
    </row>
    <row r="117" spans="1:185" ht="12.95" customHeight="1" x14ac:dyDescent="0.25">
      <c r="A117" s="202"/>
      <c r="B117" s="22" t="s">
        <v>57</v>
      </c>
      <c r="C117" s="34" t="s">
        <v>41</v>
      </c>
      <c r="D117" s="22" t="s">
        <v>58</v>
      </c>
      <c r="E117" s="25" t="s">
        <v>292</v>
      </c>
      <c r="F117" s="25" t="s">
        <v>58</v>
      </c>
      <c r="G117" s="25" t="s">
        <v>292</v>
      </c>
      <c r="H117" s="22" t="s">
        <v>56</v>
      </c>
      <c r="I117" s="423" t="s">
        <v>565</v>
      </c>
      <c r="J117" s="327"/>
      <c r="K117" s="23" t="s">
        <v>301</v>
      </c>
      <c r="L117" s="23" t="s">
        <v>302</v>
      </c>
      <c r="M117" s="23" t="s">
        <v>303</v>
      </c>
      <c r="N117" s="23"/>
      <c r="O117" s="2"/>
      <c r="P117" s="2"/>
      <c r="Q117" s="2"/>
      <c r="R117" s="2"/>
      <c r="S117" s="2"/>
      <c r="T117" s="116">
        <f t="shared" si="44"/>
        <v>0</v>
      </c>
      <c r="U117" s="324"/>
      <c r="V117" s="324"/>
      <c r="W117" s="324"/>
      <c r="X117" s="324"/>
      <c r="Y117" s="324"/>
      <c r="Z117" s="324"/>
      <c r="AA117" s="324"/>
      <c r="AB117" s="324"/>
      <c r="AC117" s="324"/>
      <c r="AD117" s="324"/>
      <c r="AE117" s="324"/>
      <c r="AF117" s="324"/>
      <c r="AG117" s="140">
        <f t="shared" si="45"/>
        <v>0</v>
      </c>
      <c r="AH117" s="324"/>
      <c r="AI117" s="324"/>
      <c r="AJ117" s="324"/>
      <c r="AK117" s="324"/>
      <c r="AL117" s="324"/>
      <c r="AM117" s="324"/>
      <c r="AN117" s="324"/>
      <c r="AO117" s="324"/>
      <c r="AP117" s="324"/>
      <c r="AQ117" s="324"/>
      <c r="AR117" s="324"/>
      <c r="AS117" s="324"/>
      <c r="AT117" s="140">
        <f t="shared" si="46"/>
        <v>0</v>
      </c>
      <c r="AU117" s="324"/>
      <c r="AV117" s="324"/>
      <c r="AW117" s="324"/>
      <c r="AX117" s="324"/>
      <c r="AY117" s="324"/>
      <c r="AZ117" s="324"/>
      <c r="BA117" s="324"/>
      <c r="BB117" s="324"/>
      <c r="BC117" s="324">
        <v>200</v>
      </c>
      <c r="BD117" s="324"/>
      <c r="BE117" s="324"/>
      <c r="BF117" s="324"/>
      <c r="BG117" s="140">
        <f t="shared" si="47"/>
        <v>200</v>
      </c>
      <c r="BH117" s="324"/>
      <c r="BI117" s="324"/>
      <c r="BJ117" s="324"/>
      <c r="BK117" s="324"/>
      <c r="BL117" s="324"/>
      <c r="BM117" s="324"/>
      <c r="BN117" s="324"/>
      <c r="BO117" s="324"/>
      <c r="BP117" s="324">
        <v>600</v>
      </c>
      <c r="BQ117" s="324"/>
      <c r="BR117" s="324"/>
      <c r="BS117" s="324"/>
      <c r="BT117" s="140">
        <f t="shared" si="48"/>
        <v>600</v>
      </c>
      <c r="BU117" s="114">
        <f t="shared" si="49"/>
        <v>800</v>
      </c>
      <c r="BV117" s="432"/>
      <c r="BW117" s="432"/>
      <c r="BX117" s="432"/>
      <c r="BY117" s="432"/>
      <c r="BZ117" s="433"/>
      <c r="CA117" s="434"/>
      <c r="CB117" s="7" t="s">
        <v>73</v>
      </c>
      <c r="CC117" s="3"/>
      <c r="CD117" s="3"/>
      <c r="CE117" s="3"/>
      <c r="CF117" s="3"/>
      <c r="CG117" s="3"/>
      <c r="CH117" s="3"/>
      <c r="CI117" s="3"/>
      <c r="CJ117" s="3"/>
      <c r="CK117" s="3"/>
      <c r="CL117" s="3"/>
      <c r="CM117" s="3"/>
      <c r="CN117" s="3"/>
      <c r="CO117" s="4">
        <f t="shared" si="65"/>
        <v>0</v>
      </c>
      <c r="CP117" s="3"/>
      <c r="CQ117" s="3"/>
      <c r="CR117" s="3"/>
      <c r="CS117" s="3"/>
      <c r="CT117" s="3"/>
      <c r="CU117" s="3"/>
      <c r="CV117" s="3"/>
      <c r="CW117" s="3">
        <v>0</v>
      </c>
      <c r="CX117" s="3"/>
      <c r="CY117" s="3"/>
      <c r="CZ117" s="3"/>
      <c r="DA117" s="3"/>
      <c r="DB117" s="4">
        <f t="shared" si="66"/>
        <v>0</v>
      </c>
      <c r="DC117" s="3"/>
      <c r="DD117" s="3"/>
      <c r="DE117" s="3"/>
      <c r="DF117" s="3"/>
      <c r="DG117" s="3"/>
      <c r="DH117" s="3"/>
      <c r="DI117" s="3"/>
      <c r="DJ117" s="3">
        <v>0</v>
      </c>
      <c r="DK117" s="3"/>
      <c r="DL117" s="3"/>
      <c r="DM117" s="3"/>
      <c r="DN117" s="3"/>
      <c r="DO117" s="4">
        <f t="shared" si="67"/>
        <v>0</v>
      </c>
      <c r="DP117" s="3"/>
      <c r="DQ117" s="3"/>
      <c r="DR117" s="3"/>
      <c r="DS117" s="3"/>
      <c r="DT117" s="3"/>
      <c r="DU117" s="3"/>
      <c r="DV117" s="3"/>
      <c r="DW117" s="3">
        <v>75</v>
      </c>
      <c r="DX117" s="3"/>
      <c r="DY117" s="3"/>
      <c r="DZ117" s="3"/>
      <c r="EA117" s="3"/>
      <c r="EB117" s="4">
        <f t="shared" si="68"/>
        <v>75</v>
      </c>
      <c r="EC117" s="3"/>
      <c r="ED117" s="3"/>
      <c r="EE117" s="3"/>
      <c r="EF117" s="3"/>
      <c r="EG117" s="3"/>
      <c r="EH117" s="3"/>
      <c r="EI117" s="3"/>
      <c r="EJ117" s="3">
        <v>225</v>
      </c>
      <c r="EK117" s="3"/>
      <c r="EL117" s="3"/>
      <c r="EM117" s="3"/>
      <c r="EN117" s="3"/>
      <c r="EO117" s="4">
        <f t="shared" si="69"/>
        <v>225</v>
      </c>
      <c r="EP117" s="8">
        <f t="shared" si="70"/>
        <v>300</v>
      </c>
      <c r="EQ117" s="181">
        <f>IFERROR(VLOOKUP(I117,CEI_012018!$A$1:$U$509,9,FALSE),0)</f>
        <v>0</v>
      </c>
      <c r="ER117" s="181">
        <f>IFERROR(VLOOKUP(I117,CEI_022018!$A$1:$U$509,9,FALSE),0)</f>
        <v>0</v>
      </c>
      <c r="ES117" s="181">
        <f>IFERROR(VLOOKUP(I117,CEI_032018!$A$1:$U$509,9,FALSE),0)</f>
        <v>0</v>
      </c>
      <c r="ET117" s="181">
        <f>IFERROR(VLOOKUP(I117,CEI_042018!$A$1:$U$491,9,FALSE),0)</f>
        <v>0</v>
      </c>
      <c r="EU117" s="181">
        <f>IFERROR(VLOOKUP(I117,CEI_052018!$A$1:$U$489,9,FALSE),0)</f>
        <v>0</v>
      </c>
      <c r="EV117" s="181">
        <f>IFERROR(VLOOKUP(I117,CEI_062018!$A$1:$U$489,9,FALSE),0)</f>
        <v>0</v>
      </c>
      <c r="EW117" s="181">
        <f>IFERROR(VLOOKUP(I117,CEI_072018!$A$1:$U$489,9,FALSE),0)</f>
        <v>0</v>
      </c>
      <c r="EX117" s="181">
        <f>IFERROR(VLOOKUP(I117,CEI_082018!$A$1:$U$489,9,FALSE),0)</f>
        <v>0</v>
      </c>
      <c r="EY117" s="181">
        <f>IFERROR(VLOOKUP(I117,CEI_092018!$A$1:$U$489,9,FALSE),0)</f>
        <v>0</v>
      </c>
      <c r="EZ117" s="181"/>
      <c r="FA117" s="181"/>
      <c r="FB117" s="181"/>
      <c r="FC117" s="181">
        <f>IFERROR(VLOOKUP(I117,CEI_092018!$A$1:$U$489,12,FALSE),0)</f>
        <v>0</v>
      </c>
      <c r="FD117" s="181">
        <f t="shared" si="71"/>
        <v>0</v>
      </c>
      <c r="FE117" s="181">
        <f t="shared" si="72"/>
        <v>0</v>
      </c>
      <c r="FF117"/>
      <c r="FG117"/>
      <c r="FH117"/>
      <c r="FI117"/>
      <c r="FJ117"/>
      <c r="FK117"/>
      <c r="FL117"/>
      <c r="FM117"/>
      <c r="FN117"/>
      <c r="FO117"/>
      <c r="FP117"/>
      <c r="FQ117"/>
      <c r="FR117"/>
      <c r="FS117"/>
      <c r="FT117"/>
      <c r="FU117"/>
      <c r="FV117"/>
      <c r="FW117"/>
      <c r="FX117"/>
      <c r="FY117"/>
      <c r="FZ117"/>
      <c r="GA117"/>
      <c r="GB117"/>
      <c r="GC117"/>
    </row>
    <row r="118" spans="1:185" ht="12.75" customHeight="1" x14ac:dyDescent="0.25">
      <c r="A118" s="202"/>
      <c r="B118" s="22" t="s">
        <v>57</v>
      </c>
      <c r="C118" s="34" t="s">
        <v>41</v>
      </c>
      <c r="D118" s="22" t="s">
        <v>55</v>
      </c>
      <c r="E118" s="25" t="s">
        <v>611</v>
      </c>
      <c r="F118" s="25" t="s">
        <v>55</v>
      </c>
      <c r="G118" s="25" t="s">
        <v>611</v>
      </c>
      <c r="H118" s="22" t="s">
        <v>56</v>
      </c>
      <c r="I118" s="423" t="s">
        <v>1672</v>
      </c>
      <c r="J118" s="491" t="s">
        <v>2051</v>
      </c>
      <c r="K118" s="495" t="s">
        <v>610</v>
      </c>
      <c r="L118" s="373" t="s">
        <v>78</v>
      </c>
      <c r="M118" s="23" t="s">
        <v>612</v>
      </c>
      <c r="N118" s="23"/>
      <c r="O118" s="2"/>
      <c r="P118" s="2"/>
      <c r="Q118" s="2"/>
      <c r="R118" s="2">
        <v>25</v>
      </c>
      <c r="S118" s="2">
        <v>10</v>
      </c>
      <c r="T118" s="116">
        <f t="shared" si="44"/>
        <v>35</v>
      </c>
      <c r="U118" s="324">
        <v>13</v>
      </c>
      <c r="V118" s="324">
        <v>13</v>
      </c>
      <c r="W118" s="324">
        <v>13</v>
      </c>
      <c r="X118" s="324"/>
      <c r="Y118" s="324"/>
      <c r="Z118" s="324"/>
      <c r="AA118" s="324"/>
      <c r="AB118" s="324">
        <v>142</v>
      </c>
      <c r="AC118" s="324">
        <v>142</v>
      </c>
      <c r="AD118" s="324">
        <v>142</v>
      </c>
      <c r="AE118" s="324">
        <v>142</v>
      </c>
      <c r="AF118" s="324">
        <v>145</v>
      </c>
      <c r="AG118" s="140">
        <f t="shared" si="45"/>
        <v>752</v>
      </c>
      <c r="AH118" s="324"/>
      <c r="AI118" s="324"/>
      <c r="AJ118" s="324"/>
      <c r="AK118" s="324"/>
      <c r="AL118" s="324"/>
      <c r="AM118" s="324"/>
      <c r="AN118" s="324"/>
      <c r="AO118" s="324"/>
      <c r="AP118" s="324"/>
      <c r="AQ118" s="324"/>
      <c r="AR118" s="324"/>
      <c r="AS118" s="324"/>
      <c r="AT118" s="140">
        <f t="shared" si="46"/>
        <v>0</v>
      </c>
      <c r="AU118" s="324"/>
      <c r="AV118" s="324"/>
      <c r="AW118" s="324"/>
      <c r="AX118" s="324"/>
      <c r="AY118" s="324"/>
      <c r="AZ118" s="324"/>
      <c r="BA118" s="324"/>
      <c r="BB118" s="324"/>
      <c r="BC118" s="324"/>
      <c r="BD118" s="324"/>
      <c r="BE118" s="324"/>
      <c r="BF118" s="324"/>
      <c r="BG118" s="140">
        <f t="shared" si="47"/>
        <v>0</v>
      </c>
      <c r="BH118" s="324"/>
      <c r="BI118" s="324"/>
      <c r="BJ118" s="324"/>
      <c r="BK118" s="324"/>
      <c r="BL118" s="324"/>
      <c r="BM118" s="324"/>
      <c r="BN118" s="324"/>
      <c r="BO118" s="324"/>
      <c r="BP118" s="324"/>
      <c r="BQ118" s="324"/>
      <c r="BR118" s="324"/>
      <c r="BS118" s="324"/>
      <c r="BT118" s="140">
        <f t="shared" si="48"/>
        <v>0</v>
      </c>
      <c r="BU118" s="488">
        <f t="shared" si="49"/>
        <v>787</v>
      </c>
      <c r="BV118" s="372">
        <v>1</v>
      </c>
      <c r="BW118" s="372">
        <v>1</v>
      </c>
      <c r="BX118" s="372">
        <v>1</v>
      </c>
      <c r="BY118" s="372">
        <v>-1</v>
      </c>
      <c r="BZ118" s="436">
        <f>IFERROR((EX118/T118%),0)</f>
        <v>0</v>
      </c>
      <c r="CA118" s="428">
        <f>IFERROR((FD118/T118%),0)</f>
        <v>182.13934762137279</v>
      </c>
      <c r="CB118" s="7" t="s">
        <v>72</v>
      </c>
      <c r="CC118" s="83">
        <v>0</v>
      </c>
      <c r="CD118" s="83">
        <v>0</v>
      </c>
      <c r="CE118" s="83">
        <v>0</v>
      </c>
      <c r="CF118" s="83">
        <v>0</v>
      </c>
      <c r="CG118" s="83">
        <v>0</v>
      </c>
      <c r="CH118" s="83">
        <v>0</v>
      </c>
      <c r="CI118" s="83">
        <v>0</v>
      </c>
      <c r="CJ118" s="83">
        <v>0</v>
      </c>
      <c r="CK118" s="83">
        <v>0</v>
      </c>
      <c r="CL118" s="83">
        <v>0.10386603220677927</v>
      </c>
      <c r="CM118" s="83">
        <v>0.13848804294237235</v>
      </c>
      <c r="CN118" s="83">
        <v>0.31852249876745642</v>
      </c>
      <c r="CO118" s="4">
        <f t="shared" si="65"/>
        <v>0.56087657391660806</v>
      </c>
      <c r="CP118" s="83">
        <v>0</v>
      </c>
      <c r="CQ118" s="83">
        <v>0</v>
      </c>
      <c r="CR118" s="83">
        <v>0</v>
      </c>
      <c r="CS118" s="83">
        <v>0</v>
      </c>
      <c r="CT118" s="83">
        <v>0</v>
      </c>
      <c r="CU118" s="83">
        <v>0</v>
      </c>
      <c r="CV118" s="83">
        <v>0.18406782334384858</v>
      </c>
      <c r="CW118" s="83">
        <v>0.17144952681388012</v>
      </c>
      <c r="CX118" s="83">
        <v>0.21671451104100944</v>
      </c>
      <c r="CY118" s="83">
        <v>0.3250725552050473</v>
      </c>
      <c r="CZ118" s="83">
        <v>0.21671451104100944</v>
      </c>
      <c r="DA118" s="83">
        <v>0</v>
      </c>
      <c r="DB118" s="4">
        <f t="shared" si="66"/>
        <v>1.1140189274447949</v>
      </c>
      <c r="DC118" s="83">
        <v>0</v>
      </c>
      <c r="DD118" s="83">
        <v>0</v>
      </c>
      <c r="DE118" s="83">
        <v>0</v>
      </c>
      <c r="DF118" s="83">
        <v>0</v>
      </c>
      <c r="DG118" s="83">
        <v>0</v>
      </c>
      <c r="DH118" s="83">
        <v>0</v>
      </c>
      <c r="DI118" s="83">
        <v>0</v>
      </c>
      <c r="DJ118" s="83">
        <v>0</v>
      </c>
      <c r="DK118" s="83">
        <v>0</v>
      </c>
      <c r="DL118" s="83">
        <v>0</v>
      </c>
      <c r="DM118" s="83">
        <v>0</v>
      </c>
      <c r="DN118" s="83">
        <v>0</v>
      </c>
      <c r="DO118" s="4">
        <f t="shared" si="67"/>
        <v>0</v>
      </c>
      <c r="DP118" s="135">
        <v>0</v>
      </c>
      <c r="DQ118" s="135">
        <v>0</v>
      </c>
      <c r="DR118" s="135">
        <v>0</v>
      </c>
      <c r="DS118" s="135">
        <v>0</v>
      </c>
      <c r="DT118" s="135">
        <v>0</v>
      </c>
      <c r="DU118" s="135">
        <v>0</v>
      </c>
      <c r="DV118" s="135">
        <v>0</v>
      </c>
      <c r="DW118" s="135">
        <v>0</v>
      </c>
      <c r="DX118" s="135">
        <v>0</v>
      </c>
      <c r="DY118" s="135">
        <v>0</v>
      </c>
      <c r="DZ118" s="135">
        <v>0</v>
      </c>
      <c r="EA118" s="135">
        <v>0</v>
      </c>
      <c r="EB118" s="4">
        <f t="shared" si="68"/>
        <v>0</v>
      </c>
      <c r="EC118" s="83">
        <v>0</v>
      </c>
      <c r="ED118" s="83">
        <v>0</v>
      </c>
      <c r="EE118" s="83">
        <v>0</v>
      </c>
      <c r="EF118" s="83">
        <v>0</v>
      </c>
      <c r="EG118" s="83">
        <v>0</v>
      </c>
      <c r="EH118" s="83">
        <v>0</v>
      </c>
      <c r="EI118" s="83">
        <v>0</v>
      </c>
      <c r="EJ118" s="83">
        <v>0</v>
      </c>
      <c r="EK118" s="83">
        <v>0</v>
      </c>
      <c r="EL118" s="83">
        <v>0</v>
      </c>
      <c r="EM118" s="83">
        <v>0</v>
      </c>
      <c r="EN118" s="83">
        <v>0</v>
      </c>
      <c r="EO118" s="4">
        <f t="shared" si="69"/>
        <v>0</v>
      </c>
      <c r="EP118" s="8">
        <f t="shared" si="70"/>
        <v>1.6748955013614029</v>
      </c>
      <c r="EQ118" s="181">
        <f>IFERROR(VLOOKUP(I118,CEI_012018!$A$1:$U$509,9,FALSE),0)</f>
        <v>0</v>
      </c>
      <c r="ER118" s="181">
        <f>IFERROR(VLOOKUP(I118,CEI_022018!$A$1:$U$509,9,FALSE),0)</f>
        <v>0</v>
      </c>
      <c r="ES118" s="181">
        <f>IFERROR(VLOOKUP(I118,CEI_032018!$A$1:$U$509,9,FALSE),0)</f>
        <v>0</v>
      </c>
      <c r="ET118" s="181">
        <f>IFERROR(VLOOKUP(I118,CEI_042018!$A$1:$U$491,9,FALSE),0)</f>
        <v>0</v>
      </c>
      <c r="EU118" s="181">
        <f>IFERROR(VLOOKUP(I118,CEI_052018!$A$1:$U$489,9,FALSE),0)</f>
        <v>0</v>
      </c>
      <c r="EV118" s="181">
        <f>IFERROR(VLOOKUP(I118,CEI_062018!$A$1:$U$489,9,FALSE),0)</f>
        <v>0</v>
      </c>
      <c r="EW118" s="181">
        <f>IFERROR(VLOOKUP(I118,CEI_072018!$A$1:$U$489,9,FALSE),0)</f>
        <v>0</v>
      </c>
      <c r="EX118" s="181">
        <f>IFERROR(VLOOKUP(I118,CEI_082018!$A$1:$U$489,9,FALSE),0)</f>
        <v>0</v>
      </c>
      <c r="EY118" s="181">
        <f>IFERROR(VLOOKUP(I118,CEI_092018!$A$1:$U$489,9,FALSE),0)</f>
        <v>0</v>
      </c>
      <c r="EZ118" s="181"/>
      <c r="FA118" s="181"/>
      <c r="FB118" s="181"/>
      <c r="FC118" s="181">
        <f>IFERROR(VLOOKUP(I118,CEI_092018!$A$1:$U$489,12,FALSE),0)</f>
        <v>63.748771667480469</v>
      </c>
      <c r="FD118" s="181">
        <f t="shared" si="71"/>
        <v>63.748771667480469</v>
      </c>
      <c r="FE118" s="181">
        <f t="shared" si="72"/>
        <v>-28.748771667480469</v>
      </c>
      <c r="FF118"/>
      <c r="FG118"/>
      <c r="FH118"/>
      <c r="FI118"/>
      <c r="FJ118"/>
      <c r="FK118"/>
      <c r="FL118"/>
      <c r="FM118"/>
      <c r="FN118"/>
      <c r="FO118"/>
      <c r="FP118"/>
      <c r="FQ118"/>
      <c r="FR118"/>
      <c r="FS118"/>
      <c r="FT118"/>
      <c r="FU118"/>
      <c r="FV118"/>
      <c r="FW118"/>
      <c r="FX118"/>
      <c r="FY118"/>
      <c r="FZ118"/>
      <c r="GA118"/>
      <c r="GB118"/>
      <c r="GC118"/>
    </row>
    <row r="119" spans="1:185" ht="12.95" customHeight="1" x14ac:dyDescent="0.25">
      <c r="A119" s="202"/>
      <c r="B119" s="22" t="s">
        <v>57</v>
      </c>
      <c r="C119" s="34" t="s">
        <v>41</v>
      </c>
      <c r="D119" s="22" t="s">
        <v>55</v>
      </c>
      <c r="E119" s="25" t="s">
        <v>613</v>
      </c>
      <c r="F119" s="25" t="s">
        <v>55</v>
      </c>
      <c r="G119" s="25" t="s">
        <v>613</v>
      </c>
      <c r="H119" s="22" t="s">
        <v>56</v>
      </c>
      <c r="I119" s="423" t="s">
        <v>565</v>
      </c>
      <c r="J119" s="37"/>
      <c r="K119" s="23" t="s">
        <v>589</v>
      </c>
      <c r="L119" s="23" t="s">
        <v>592</v>
      </c>
      <c r="M119" s="23" t="s">
        <v>79</v>
      </c>
      <c r="N119" s="23"/>
      <c r="O119" s="2"/>
      <c r="P119" s="2"/>
      <c r="Q119" s="2"/>
      <c r="R119" s="2"/>
      <c r="S119" s="2">
        <v>50</v>
      </c>
      <c r="T119" s="116">
        <f t="shared" si="44"/>
        <v>50</v>
      </c>
      <c r="U119" s="324"/>
      <c r="V119" s="324"/>
      <c r="W119" s="324"/>
      <c r="X119" s="324"/>
      <c r="Y119" s="324"/>
      <c r="Z119" s="324"/>
      <c r="AA119" s="324"/>
      <c r="AB119" s="324">
        <v>35</v>
      </c>
      <c r="AC119" s="324">
        <v>35</v>
      </c>
      <c r="AD119" s="324">
        <v>70</v>
      </c>
      <c r="AE119" s="324">
        <v>70</v>
      </c>
      <c r="AF119" s="324">
        <v>49</v>
      </c>
      <c r="AG119" s="140">
        <f t="shared" si="45"/>
        <v>259</v>
      </c>
      <c r="AH119" s="324">
        <v>126</v>
      </c>
      <c r="AI119" s="324">
        <v>105</v>
      </c>
      <c r="AJ119" s="324">
        <v>70</v>
      </c>
      <c r="AK119" s="324">
        <v>70</v>
      </c>
      <c r="AL119" s="324">
        <v>70</v>
      </c>
      <c r="AM119" s="324"/>
      <c r="AN119" s="324"/>
      <c r="AO119" s="324"/>
      <c r="AP119" s="324"/>
      <c r="AQ119" s="324"/>
      <c r="AR119" s="324"/>
      <c r="AS119" s="324"/>
      <c r="AT119" s="140">
        <f t="shared" si="46"/>
        <v>441</v>
      </c>
      <c r="AU119" s="324"/>
      <c r="AV119" s="324"/>
      <c r="AW119" s="324"/>
      <c r="AX119" s="324"/>
      <c r="AY119" s="324"/>
      <c r="AZ119" s="324"/>
      <c r="BA119" s="324"/>
      <c r="BB119" s="324"/>
      <c r="BC119" s="324"/>
      <c r="BD119" s="324"/>
      <c r="BE119" s="324"/>
      <c r="BF119" s="324"/>
      <c r="BG119" s="140">
        <f t="shared" si="47"/>
        <v>0</v>
      </c>
      <c r="BH119" s="324"/>
      <c r="BI119" s="324"/>
      <c r="BJ119" s="324"/>
      <c r="BK119" s="324"/>
      <c r="BL119" s="324"/>
      <c r="BM119" s="324"/>
      <c r="BN119" s="324"/>
      <c r="BO119" s="324"/>
      <c r="BP119" s="324"/>
      <c r="BQ119" s="324"/>
      <c r="BR119" s="324"/>
      <c r="BS119" s="324"/>
      <c r="BT119" s="140">
        <f t="shared" si="48"/>
        <v>0</v>
      </c>
      <c r="BU119" s="488">
        <f t="shared" si="49"/>
        <v>750</v>
      </c>
      <c r="BV119" s="372">
        <v>-1</v>
      </c>
      <c r="BW119" s="372">
        <v>-1</v>
      </c>
      <c r="BX119" s="372">
        <v>-1</v>
      </c>
      <c r="BY119" s="372">
        <v>-1</v>
      </c>
      <c r="BZ119" s="436">
        <f>IFERROR((EX119/T119%),0)</f>
        <v>0</v>
      </c>
      <c r="CA119" s="428">
        <f>IFERROR((FD119/T119%),0)</f>
        <v>0</v>
      </c>
      <c r="CB119" s="7" t="s">
        <v>72</v>
      </c>
      <c r="CC119" s="84">
        <v>0</v>
      </c>
      <c r="CD119" s="84">
        <v>0</v>
      </c>
      <c r="CE119" s="84">
        <v>0</v>
      </c>
      <c r="CF119" s="84">
        <v>0</v>
      </c>
      <c r="CG119" s="84">
        <v>0</v>
      </c>
      <c r="CH119" s="84">
        <v>0</v>
      </c>
      <c r="CI119" s="84">
        <v>0</v>
      </c>
      <c r="CJ119" s="84">
        <v>0</v>
      </c>
      <c r="CK119" s="84">
        <v>0</v>
      </c>
      <c r="CL119" s="84">
        <v>0</v>
      </c>
      <c r="CM119" s="84">
        <v>0</v>
      </c>
      <c r="CN119" s="84">
        <v>1.2885130096004527E-2</v>
      </c>
      <c r="CO119" s="4">
        <f t="shared" si="65"/>
        <v>1.2885130096004527E-2</v>
      </c>
      <c r="CP119" s="84">
        <v>0</v>
      </c>
      <c r="CQ119" s="84">
        <v>0</v>
      </c>
      <c r="CR119" s="84">
        <v>0</v>
      </c>
      <c r="CS119" s="84">
        <v>0</v>
      </c>
      <c r="CT119" s="84">
        <v>0</v>
      </c>
      <c r="CU119" s="84">
        <v>0</v>
      </c>
      <c r="CV119" s="84">
        <v>0</v>
      </c>
      <c r="CW119" s="84">
        <v>4.9416991337597662E-3</v>
      </c>
      <c r="CX119" s="84">
        <v>4.9416991337597662E-3</v>
      </c>
      <c r="CY119" s="84">
        <v>9.8833982675195324E-3</v>
      </c>
      <c r="CZ119" s="84">
        <v>9.8833982675195324E-3</v>
      </c>
      <c r="DA119" s="84">
        <v>1.4825097401279297E-2</v>
      </c>
      <c r="DB119" s="4">
        <f t="shared" si="66"/>
        <v>4.4475292203837891E-2</v>
      </c>
      <c r="DC119" s="84">
        <v>1.1966828168866257E-2</v>
      </c>
      <c r="DD119" s="84">
        <v>1.1966828168866257E-2</v>
      </c>
      <c r="DE119" s="84">
        <v>7.9778854459108383E-3</v>
      </c>
      <c r="DF119" s="84">
        <v>7.9778854459108383E-3</v>
      </c>
      <c r="DG119" s="84">
        <v>3.9889427229554191E-3</v>
      </c>
      <c r="DH119" s="84">
        <v>0</v>
      </c>
      <c r="DI119" s="84">
        <v>0</v>
      </c>
      <c r="DJ119" s="84">
        <v>0</v>
      </c>
      <c r="DK119" s="84">
        <v>0</v>
      </c>
      <c r="DL119" s="84">
        <v>0</v>
      </c>
      <c r="DM119" s="84">
        <v>0</v>
      </c>
      <c r="DN119" s="84">
        <v>0</v>
      </c>
      <c r="DO119" s="4">
        <f t="shared" si="67"/>
        <v>4.3878369952509613E-2</v>
      </c>
      <c r="DP119" s="84">
        <v>0</v>
      </c>
      <c r="DQ119" s="84">
        <v>0</v>
      </c>
      <c r="DR119" s="84">
        <v>0</v>
      </c>
      <c r="DS119" s="84">
        <v>0</v>
      </c>
      <c r="DT119" s="84">
        <v>0</v>
      </c>
      <c r="DU119" s="84">
        <v>0</v>
      </c>
      <c r="DV119" s="84">
        <v>0</v>
      </c>
      <c r="DW119" s="84">
        <v>0</v>
      </c>
      <c r="DX119" s="84">
        <v>0</v>
      </c>
      <c r="DY119" s="84">
        <v>0</v>
      </c>
      <c r="DZ119" s="84">
        <v>0</v>
      </c>
      <c r="EA119" s="84">
        <v>0</v>
      </c>
      <c r="EB119" s="4">
        <f t="shared" si="68"/>
        <v>0</v>
      </c>
      <c r="EC119" s="84">
        <v>0</v>
      </c>
      <c r="ED119" s="84">
        <v>0</v>
      </c>
      <c r="EE119" s="84">
        <v>0</v>
      </c>
      <c r="EF119" s="84">
        <v>0</v>
      </c>
      <c r="EG119" s="84">
        <v>0</v>
      </c>
      <c r="EH119" s="84">
        <v>0</v>
      </c>
      <c r="EI119" s="84">
        <v>0</v>
      </c>
      <c r="EJ119" s="84">
        <v>0</v>
      </c>
      <c r="EK119" s="84">
        <v>0</v>
      </c>
      <c r="EL119" s="84">
        <v>0</v>
      </c>
      <c r="EM119" s="84">
        <v>0</v>
      </c>
      <c r="EN119" s="84">
        <v>0</v>
      </c>
      <c r="EO119" s="4">
        <f t="shared" si="69"/>
        <v>0</v>
      </c>
      <c r="EP119" s="8">
        <f t="shared" si="70"/>
        <v>0.10123879225235204</v>
      </c>
      <c r="EQ119" s="181">
        <f>IFERROR(VLOOKUP(I119,CEI_012018!$A$1:$U$509,9,FALSE),0)</f>
        <v>0</v>
      </c>
      <c r="ER119" s="181">
        <f>IFERROR(VLOOKUP(I119,CEI_022018!$A$1:$U$509,9,FALSE),0)</f>
        <v>0</v>
      </c>
      <c r="ES119" s="181">
        <f>IFERROR(VLOOKUP(I119,CEI_032018!$A$1:$U$509,9,FALSE),0)</f>
        <v>0</v>
      </c>
      <c r="ET119" s="181">
        <f>IFERROR(VLOOKUP(I119,CEI_042018!$A$1:$U$491,9,FALSE),0)</f>
        <v>0</v>
      </c>
      <c r="EU119" s="181">
        <f>IFERROR(VLOOKUP(I119,CEI_052018!$A$1:$U$489,9,FALSE),0)</f>
        <v>0</v>
      </c>
      <c r="EV119" s="181">
        <f>IFERROR(VLOOKUP(I119,CEI_062018!$A$1:$U$489,9,FALSE),0)</f>
        <v>0</v>
      </c>
      <c r="EW119" s="181">
        <f>IFERROR(VLOOKUP(I119,CEI_072018!$A$1:$U$489,9,FALSE),0)</f>
        <v>0</v>
      </c>
      <c r="EX119" s="181">
        <f>IFERROR(VLOOKUP(I119,CEI_082018!$A$1:$U$489,9,FALSE),0)</f>
        <v>0</v>
      </c>
      <c r="EY119" s="181">
        <f>IFERROR(VLOOKUP(I119,CEI_092018!$A$1:$U$489,9,FALSE),0)</f>
        <v>0</v>
      </c>
      <c r="EZ119" s="181"/>
      <c r="FA119" s="181"/>
      <c r="FB119" s="181"/>
      <c r="FC119" s="181">
        <f>IFERROR(VLOOKUP(I119,CEI_092018!$A$1:$U$489,12,FALSE),0)</f>
        <v>0</v>
      </c>
      <c r="FD119" s="181">
        <f t="shared" si="71"/>
        <v>0</v>
      </c>
      <c r="FE119" s="181">
        <f t="shared" si="72"/>
        <v>50</v>
      </c>
      <c r="FF119"/>
      <c r="FG119"/>
      <c r="FH119"/>
      <c r="FI119"/>
      <c r="FJ119"/>
      <c r="FK119"/>
      <c r="FL119"/>
      <c r="FM119"/>
      <c r="FN119"/>
      <c r="FO119"/>
      <c r="FP119"/>
      <c r="FQ119"/>
      <c r="FR119"/>
      <c r="FS119"/>
      <c r="FT119"/>
      <c r="FU119"/>
      <c r="FV119"/>
      <c r="FW119"/>
      <c r="FX119"/>
      <c r="FY119"/>
      <c r="FZ119"/>
      <c r="GA119"/>
      <c r="GB119"/>
      <c r="GC119"/>
    </row>
    <row r="120" spans="1:185" ht="12.95" customHeight="1" x14ac:dyDescent="0.25">
      <c r="A120" s="202"/>
      <c r="B120" s="22" t="s">
        <v>57</v>
      </c>
      <c r="C120" s="34" t="s">
        <v>41</v>
      </c>
      <c r="D120" s="22" t="s">
        <v>55</v>
      </c>
      <c r="E120" s="25" t="s">
        <v>611</v>
      </c>
      <c r="F120" s="25" t="s">
        <v>55</v>
      </c>
      <c r="G120" s="25" t="s">
        <v>611</v>
      </c>
      <c r="H120" s="22" t="s">
        <v>56</v>
      </c>
      <c r="I120" s="423" t="s">
        <v>2045</v>
      </c>
      <c r="J120" s="487" t="s">
        <v>2053</v>
      </c>
      <c r="K120" s="23" t="s">
        <v>2047</v>
      </c>
      <c r="L120" s="23" t="s">
        <v>2050</v>
      </c>
      <c r="M120" s="23"/>
      <c r="N120" s="23"/>
      <c r="O120" s="2"/>
      <c r="P120" s="2"/>
      <c r="Q120" s="2"/>
      <c r="R120" s="2"/>
      <c r="S120" s="2">
        <v>57</v>
      </c>
      <c r="T120" s="116">
        <f t="shared" si="44"/>
        <v>57</v>
      </c>
      <c r="U120" s="324"/>
      <c r="V120" s="324"/>
      <c r="W120" s="324"/>
      <c r="X120" s="324"/>
      <c r="Y120" s="324"/>
      <c r="Z120" s="324"/>
      <c r="AA120" s="324"/>
      <c r="AB120" s="324"/>
      <c r="AC120" s="324"/>
      <c r="AD120" s="324"/>
      <c r="AE120" s="324"/>
      <c r="AF120" s="324"/>
      <c r="AG120" s="140">
        <f t="shared" si="45"/>
        <v>0</v>
      </c>
      <c r="AH120" s="324"/>
      <c r="AI120" s="324"/>
      <c r="AJ120" s="324"/>
      <c r="AK120" s="324"/>
      <c r="AL120" s="324"/>
      <c r="AM120" s="324"/>
      <c r="AN120" s="324"/>
      <c r="AO120" s="324"/>
      <c r="AP120" s="324"/>
      <c r="AQ120" s="324"/>
      <c r="AR120" s="324"/>
      <c r="AS120" s="324"/>
      <c r="AT120" s="140">
        <f t="shared" si="46"/>
        <v>0</v>
      </c>
      <c r="AU120" s="324"/>
      <c r="AV120" s="324"/>
      <c r="AW120" s="324"/>
      <c r="AX120" s="324"/>
      <c r="AY120" s="324"/>
      <c r="AZ120" s="324"/>
      <c r="BA120" s="324"/>
      <c r="BB120" s="324"/>
      <c r="BC120" s="324"/>
      <c r="BD120" s="324"/>
      <c r="BE120" s="324"/>
      <c r="BF120" s="324"/>
      <c r="BG120" s="140">
        <f t="shared" si="47"/>
        <v>0</v>
      </c>
      <c r="BH120" s="324"/>
      <c r="BI120" s="324"/>
      <c r="BJ120" s="324"/>
      <c r="BK120" s="324"/>
      <c r="BL120" s="324"/>
      <c r="BM120" s="324"/>
      <c r="BN120" s="324"/>
      <c r="BO120" s="324"/>
      <c r="BP120" s="324"/>
      <c r="BQ120" s="324"/>
      <c r="BR120" s="324"/>
      <c r="BS120" s="324"/>
      <c r="BT120" s="140">
        <f t="shared" si="48"/>
        <v>0</v>
      </c>
      <c r="BU120" s="488">
        <f t="shared" si="49"/>
        <v>57</v>
      </c>
      <c r="BV120" s="372">
        <v>1</v>
      </c>
      <c r="BW120" s="372">
        <v>1</v>
      </c>
      <c r="BX120" s="372">
        <v>-1</v>
      </c>
      <c r="BY120" s="372">
        <v>-1</v>
      </c>
      <c r="BZ120" s="436">
        <f>IFERROR((EX120/T120%),0)</f>
        <v>0</v>
      </c>
      <c r="CA120" s="428">
        <f>IFERROR((FD120/T120%),0)</f>
        <v>0</v>
      </c>
      <c r="CB120" s="7" t="s">
        <v>72</v>
      </c>
      <c r="CC120" s="84"/>
      <c r="CD120" s="84"/>
      <c r="CE120" s="84"/>
      <c r="CF120" s="84"/>
      <c r="CG120" s="84"/>
      <c r="CH120" s="84"/>
      <c r="CI120" s="84"/>
      <c r="CJ120" s="84"/>
      <c r="CK120" s="84"/>
      <c r="CL120" s="84"/>
      <c r="CM120" s="84"/>
      <c r="CN120" s="84"/>
      <c r="CO120" s="4">
        <f t="shared" si="65"/>
        <v>0</v>
      </c>
      <c r="CP120" s="84"/>
      <c r="CQ120" s="84"/>
      <c r="CR120" s="84"/>
      <c r="CS120" s="84"/>
      <c r="CT120" s="84"/>
      <c r="CU120" s="84"/>
      <c r="CV120" s="84"/>
      <c r="CW120" s="84"/>
      <c r="CX120" s="84"/>
      <c r="CY120" s="84"/>
      <c r="CZ120" s="84"/>
      <c r="DA120" s="84"/>
      <c r="DB120" s="4">
        <f t="shared" si="66"/>
        <v>0</v>
      </c>
      <c r="DC120" s="84"/>
      <c r="DD120" s="84"/>
      <c r="DE120" s="84"/>
      <c r="DF120" s="84"/>
      <c r="DG120" s="84"/>
      <c r="DH120" s="84"/>
      <c r="DI120" s="84"/>
      <c r="DJ120" s="84"/>
      <c r="DK120" s="84"/>
      <c r="DL120" s="84"/>
      <c r="DM120" s="84"/>
      <c r="DN120" s="84"/>
      <c r="DO120" s="4">
        <f t="shared" si="67"/>
        <v>0</v>
      </c>
      <c r="DP120" s="84"/>
      <c r="DQ120" s="84"/>
      <c r="DR120" s="84"/>
      <c r="DS120" s="84"/>
      <c r="DT120" s="84"/>
      <c r="DU120" s="84"/>
      <c r="DV120" s="84"/>
      <c r="DW120" s="84"/>
      <c r="DX120" s="84"/>
      <c r="DY120" s="84"/>
      <c r="DZ120" s="84"/>
      <c r="EA120" s="84"/>
      <c r="EB120" s="4">
        <f t="shared" si="68"/>
        <v>0</v>
      </c>
      <c r="EC120" s="84"/>
      <c r="ED120" s="84"/>
      <c r="EE120" s="84"/>
      <c r="EF120" s="84"/>
      <c r="EG120" s="84"/>
      <c r="EH120" s="84"/>
      <c r="EI120" s="84"/>
      <c r="EJ120" s="84"/>
      <c r="EK120" s="84"/>
      <c r="EL120" s="84"/>
      <c r="EM120" s="84"/>
      <c r="EN120" s="84"/>
      <c r="EO120" s="4">
        <f t="shared" si="69"/>
        <v>0</v>
      </c>
      <c r="EP120" s="8">
        <f t="shared" si="70"/>
        <v>0</v>
      </c>
      <c r="EQ120" s="181">
        <f>IFERROR(VLOOKUP(I120,CEI_012018!$A$1:$U$509,9,FALSE),0)</f>
        <v>0</v>
      </c>
      <c r="ER120" s="181">
        <f>IFERROR(VLOOKUP(I120,CEI_022018!$A$1:$U$509,9,FALSE),0)</f>
        <v>0</v>
      </c>
      <c r="ES120" s="181">
        <f>IFERROR(VLOOKUP(I120,CEI_032018!$A$1:$U$509,9,FALSE),0)</f>
        <v>0</v>
      </c>
      <c r="ET120" s="181">
        <f>IFERROR(VLOOKUP(I120,CEI_042018!$A$1:$U$491,9,FALSE),0)</f>
        <v>0</v>
      </c>
      <c r="EU120" s="181">
        <f>IFERROR(VLOOKUP(I120,CEI_052018!$A$1:$U$489,9,FALSE),0)</f>
        <v>0</v>
      </c>
      <c r="EV120" s="181">
        <f>IFERROR(VLOOKUP(I120,CEI_062018!$A$1:$U$489,9,FALSE),0)</f>
        <v>0</v>
      </c>
      <c r="EW120" s="181">
        <f>IFERROR(VLOOKUP(I120,CEI_072018!$A$1:$U$489,9,FALSE),0)</f>
        <v>0</v>
      </c>
      <c r="EX120" s="181">
        <f>IFERROR(VLOOKUP(I120,CEI_082018!$A$1:$U$489,9,FALSE),0)</f>
        <v>0</v>
      </c>
      <c r="EY120" s="181">
        <f>IFERROR(VLOOKUP(I120,CEI_092018!$A$1:$U$489,9,FALSE),0)</f>
        <v>0</v>
      </c>
      <c r="EZ120" s="181"/>
      <c r="FA120" s="181"/>
      <c r="FB120" s="181"/>
      <c r="FC120" s="181">
        <f>IFERROR(VLOOKUP(I120,CEI_092018!$A$1:$U$489,12,FALSE),0)</f>
        <v>0</v>
      </c>
      <c r="FD120" s="181">
        <f t="shared" si="71"/>
        <v>0</v>
      </c>
      <c r="FE120" s="181">
        <f t="shared" si="72"/>
        <v>57</v>
      </c>
      <c r="FF120"/>
      <c r="FG120"/>
      <c r="FH120"/>
      <c r="FI120"/>
      <c r="FJ120"/>
      <c r="FK120"/>
      <c r="FL120"/>
      <c r="FM120"/>
      <c r="FN120"/>
      <c r="FO120"/>
      <c r="FP120"/>
      <c r="FQ120"/>
      <c r="FR120"/>
      <c r="FS120"/>
      <c r="FT120"/>
      <c r="FU120"/>
      <c r="FV120"/>
      <c r="FW120"/>
      <c r="FX120"/>
      <c r="FY120"/>
      <c r="FZ120"/>
      <c r="GA120"/>
      <c r="GB120"/>
      <c r="GC120"/>
    </row>
    <row r="121" spans="1:185" ht="12.95" customHeight="1" x14ac:dyDescent="0.25">
      <c r="A121" s="202"/>
      <c r="B121" s="22" t="s">
        <v>57</v>
      </c>
      <c r="C121" s="34" t="s">
        <v>41</v>
      </c>
      <c r="D121" s="22" t="s">
        <v>55</v>
      </c>
      <c r="E121" s="25" t="s">
        <v>611</v>
      </c>
      <c r="F121" s="25" t="s">
        <v>55</v>
      </c>
      <c r="G121" s="25" t="s">
        <v>611</v>
      </c>
      <c r="H121" s="22" t="s">
        <v>56</v>
      </c>
      <c r="I121" s="423" t="s">
        <v>2046</v>
      </c>
      <c r="J121" s="37" t="s">
        <v>2048</v>
      </c>
      <c r="K121" s="23" t="s">
        <v>1792</v>
      </c>
      <c r="L121" s="23" t="s">
        <v>2049</v>
      </c>
      <c r="M121" s="23"/>
      <c r="N121" s="23"/>
      <c r="O121" s="2"/>
      <c r="P121" s="2"/>
      <c r="Q121" s="2"/>
      <c r="R121" s="2">
        <v>20</v>
      </c>
      <c r="S121" s="2"/>
      <c r="T121" s="116">
        <f t="shared" si="44"/>
        <v>20</v>
      </c>
      <c r="U121" s="324">
        <v>30</v>
      </c>
      <c r="V121" s="324">
        <v>10</v>
      </c>
      <c r="W121" s="324"/>
      <c r="X121" s="324"/>
      <c r="Y121" s="324"/>
      <c r="Z121" s="324"/>
      <c r="AA121" s="324">
        <v>93</v>
      </c>
      <c r="AB121" s="324">
        <v>93</v>
      </c>
      <c r="AC121" s="324">
        <v>93</v>
      </c>
      <c r="AD121" s="324">
        <v>93</v>
      </c>
      <c r="AE121" s="324">
        <v>93</v>
      </c>
      <c r="AF121" s="324">
        <v>97</v>
      </c>
      <c r="AG121" s="140">
        <f t="shared" si="45"/>
        <v>602</v>
      </c>
      <c r="AH121" s="324"/>
      <c r="AI121" s="324"/>
      <c r="AJ121" s="324"/>
      <c r="AK121" s="324"/>
      <c r="AL121" s="324"/>
      <c r="AM121" s="324"/>
      <c r="AN121" s="324"/>
      <c r="AO121" s="324"/>
      <c r="AP121" s="324"/>
      <c r="AQ121" s="324"/>
      <c r="AR121" s="324"/>
      <c r="AS121" s="324"/>
      <c r="AT121" s="140">
        <f t="shared" si="46"/>
        <v>0</v>
      </c>
      <c r="AU121" s="324"/>
      <c r="AV121" s="324"/>
      <c r="AW121" s="324"/>
      <c r="AX121" s="324"/>
      <c r="AY121" s="324"/>
      <c r="AZ121" s="324"/>
      <c r="BA121" s="324"/>
      <c r="BB121" s="324"/>
      <c r="BC121" s="324"/>
      <c r="BD121" s="324"/>
      <c r="BE121" s="324"/>
      <c r="BF121" s="324"/>
      <c r="BG121" s="140">
        <f t="shared" si="47"/>
        <v>0</v>
      </c>
      <c r="BH121" s="324"/>
      <c r="BI121" s="324"/>
      <c r="BJ121" s="324"/>
      <c r="BK121" s="324"/>
      <c r="BL121" s="324"/>
      <c r="BM121" s="324"/>
      <c r="BN121" s="324"/>
      <c r="BO121" s="324"/>
      <c r="BP121" s="324"/>
      <c r="BQ121" s="324"/>
      <c r="BR121" s="324"/>
      <c r="BS121" s="324"/>
      <c r="BT121" s="140">
        <f t="shared" si="48"/>
        <v>0</v>
      </c>
      <c r="BU121" s="488">
        <f t="shared" si="49"/>
        <v>622</v>
      </c>
      <c r="BV121" s="372">
        <v>1</v>
      </c>
      <c r="BW121" s="372">
        <v>1</v>
      </c>
      <c r="BX121" s="372">
        <v>-1</v>
      </c>
      <c r="BY121" s="372">
        <v>-1</v>
      </c>
      <c r="BZ121" s="436">
        <f>IFERROR((EX121/T121%),0)</f>
        <v>0</v>
      </c>
      <c r="CA121" s="428">
        <f>IFERROR((FD121/T121%),0)</f>
        <v>0</v>
      </c>
      <c r="CB121" s="7" t="s">
        <v>72</v>
      </c>
      <c r="CC121" s="84"/>
      <c r="CD121" s="84"/>
      <c r="CE121" s="84"/>
      <c r="CF121" s="84"/>
      <c r="CG121" s="84"/>
      <c r="CH121" s="84"/>
      <c r="CI121" s="84"/>
      <c r="CJ121" s="84"/>
      <c r="CK121" s="84"/>
      <c r="CL121" s="84"/>
      <c r="CM121" s="84"/>
      <c r="CN121" s="84"/>
      <c r="CO121" s="4">
        <f t="shared" si="65"/>
        <v>0</v>
      </c>
      <c r="CP121" s="84"/>
      <c r="CQ121" s="84"/>
      <c r="CR121" s="84"/>
      <c r="CS121" s="84"/>
      <c r="CT121" s="84"/>
      <c r="CU121" s="84"/>
      <c r="CV121" s="84"/>
      <c r="CW121" s="84"/>
      <c r="CX121" s="84"/>
      <c r="CY121" s="84"/>
      <c r="CZ121" s="84"/>
      <c r="DA121" s="84"/>
      <c r="DB121" s="4">
        <f t="shared" si="66"/>
        <v>0</v>
      </c>
      <c r="DC121" s="84"/>
      <c r="DD121" s="84"/>
      <c r="DE121" s="84"/>
      <c r="DF121" s="84"/>
      <c r="DG121" s="84"/>
      <c r="DH121" s="84"/>
      <c r="DI121" s="84"/>
      <c r="DJ121" s="84"/>
      <c r="DK121" s="84"/>
      <c r="DL121" s="84"/>
      <c r="DM121" s="84"/>
      <c r="DN121" s="84"/>
      <c r="DO121" s="4">
        <f t="shared" si="67"/>
        <v>0</v>
      </c>
      <c r="DP121" s="84"/>
      <c r="DQ121" s="84"/>
      <c r="DR121" s="84"/>
      <c r="DS121" s="84"/>
      <c r="DT121" s="84"/>
      <c r="DU121" s="84"/>
      <c r="DV121" s="84"/>
      <c r="DW121" s="84"/>
      <c r="DX121" s="84"/>
      <c r="DY121" s="84"/>
      <c r="DZ121" s="84"/>
      <c r="EA121" s="84"/>
      <c r="EB121" s="4">
        <f t="shared" si="68"/>
        <v>0</v>
      </c>
      <c r="EC121" s="84"/>
      <c r="ED121" s="84"/>
      <c r="EE121" s="84"/>
      <c r="EF121" s="84"/>
      <c r="EG121" s="84"/>
      <c r="EH121" s="84"/>
      <c r="EI121" s="84"/>
      <c r="EJ121" s="84"/>
      <c r="EK121" s="84"/>
      <c r="EL121" s="84"/>
      <c r="EM121" s="84"/>
      <c r="EN121" s="84"/>
      <c r="EO121" s="4">
        <f t="shared" si="69"/>
        <v>0</v>
      </c>
      <c r="EP121" s="8">
        <f t="shared" si="70"/>
        <v>0</v>
      </c>
      <c r="EQ121" s="181">
        <f>IFERROR(VLOOKUP(I121,CEI_012018!$A$1:$U$509,9,FALSE),0)</f>
        <v>0</v>
      </c>
      <c r="ER121" s="181">
        <f>IFERROR(VLOOKUP(I121,CEI_022018!$A$1:$U$509,9,FALSE),0)</f>
        <v>0</v>
      </c>
      <c r="ES121" s="181">
        <f>IFERROR(VLOOKUP(I121,CEI_032018!$A$1:$U$509,9,FALSE),0)</f>
        <v>0</v>
      </c>
      <c r="ET121" s="181">
        <f>IFERROR(VLOOKUP(I121,CEI_042018!$A$1:$U$491,9,FALSE),0)</f>
        <v>0</v>
      </c>
      <c r="EU121" s="181">
        <f>IFERROR(VLOOKUP(I121,CEI_052018!$A$1:$U$489,9,FALSE),0)</f>
        <v>0</v>
      </c>
      <c r="EV121" s="181">
        <f>IFERROR(VLOOKUP(I121,CEI_062018!$A$1:$U$489,9,FALSE),0)</f>
        <v>0</v>
      </c>
      <c r="EW121" s="181">
        <f>IFERROR(VLOOKUP(I121,CEI_072018!$A$1:$U$489,9,FALSE),0)</f>
        <v>0</v>
      </c>
      <c r="EX121" s="181">
        <f>IFERROR(VLOOKUP(I121,CEI_082018!$A$1:$U$489,9,FALSE),0)</f>
        <v>0</v>
      </c>
      <c r="EY121" s="181">
        <f>IFERROR(VLOOKUP(I121,CEI_092018!$A$1:$U$489,9,FALSE),0)</f>
        <v>0</v>
      </c>
      <c r="EZ121" s="181"/>
      <c r="FA121" s="181"/>
      <c r="FB121" s="181"/>
      <c r="FC121" s="181">
        <f>IFERROR(VLOOKUP(I121,CEI_092018!$A$1:$U$489,12,FALSE),0)</f>
        <v>0</v>
      </c>
      <c r="FD121" s="181">
        <f t="shared" ref="FD121" si="73">EW121+FC121</f>
        <v>0</v>
      </c>
      <c r="FE121" s="181">
        <f t="shared" ref="FE121" si="74">SUM(T121-FD121)</f>
        <v>20</v>
      </c>
      <c r="FF121"/>
      <c r="FG121"/>
      <c r="FH121"/>
      <c r="FI121"/>
      <c r="FJ121"/>
      <c r="FK121"/>
      <c r="FL121"/>
      <c r="FM121"/>
      <c r="FN121"/>
      <c r="FO121"/>
      <c r="FP121"/>
      <c r="FQ121"/>
      <c r="FR121"/>
      <c r="FS121"/>
      <c r="FT121"/>
      <c r="FU121"/>
      <c r="FV121"/>
      <c r="FW121"/>
      <c r="FX121"/>
      <c r="FY121"/>
      <c r="FZ121"/>
      <c r="GA121"/>
      <c r="GB121"/>
      <c r="GC121"/>
    </row>
    <row r="122" spans="1:185" ht="12.95" customHeight="1" x14ac:dyDescent="0.25">
      <c r="A122" s="202"/>
      <c r="B122" s="22" t="s">
        <v>57</v>
      </c>
      <c r="C122" s="34" t="s">
        <v>41</v>
      </c>
      <c r="D122" s="22" t="s">
        <v>58</v>
      </c>
      <c r="E122" s="25" t="s">
        <v>292</v>
      </c>
      <c r="F122" s="25" t="s">
        <v>58</v>
      </c>
      <c r="G122" s="25" t="s">
        <v>292</v>
      </c>
      <c r="H122" s="22" t="s">
        <v>56</v>
      </c>
      <c r="I122" s="423" t="s">
        <v>565</v>
      </c>
      <c r="J122" s="37"/>
      <c r="K122" s="23" t="s">
        <v>996</v>
      </c>
      <c r="L122" s="23" t="s">
        <v>997</v>
      </c>
      <c r="M122" s="23" t="s">
        <v>644</v>
      </c>
      <c r="N122" s="23"/>
      <c r="O122" s="2"/>
      <c r="P122" s="2"/>
      <c r="Q122" s="2"/>
      <c r="R122" s="2"/>
      <c r="S122" s="2"/>
      <c r="T122" s="116">
        <f t="shared" si="44"/>
        <v>0</v>
      </c>
      <c r="U122" s="324">
        <v>10</v>
      </c>
      <c r="V122" s="324">
        <v>10</v>
      </c>
      <c r="W122" s="324">
        <v>10</v>
      </c>
      <c r="X122" s="324"/>
      <c r="Y122" s="324"/>
      <c r="Z122" s="324"/>
      <c r="AA122" s="324"/>
      <c r="AB122" s="324"/>
      <c r="AC122" s="324"/>
      <c r="AD122" s="324"/>
      <c r="AE122" s="324"/>
      <c r="AF122" s="324"/>
      <c r="AG122" s="140">
        <f t="shared" si="45"/>
        <v>30</v>
      </c>
      <c r="AH122" s="324"/>
      <c r="AI122" s="324"/>
      <c r="AJ122" s="324">
        <v>50</v>
      </c>
      <c r="AK122" s="324">
        <v>110</v>
      </c>
      <c r="AL122" s="324">
        <v>155</v>
      </c>
      <c r="AM122" s="324">
        <v>175</v>
      </c>
      <c r="AN122" s="324">
        <v>100</v>
      </c>
      <c r="AO122" s="324">
        <v>50</v>
      </c>
      <c r="AP122" s="324"/>
      <c r="AQ122" s="324"/>
      <c r="AR122" s="324"/>
      <c r="AS122" s="324"/>
      <c r="AT122" s="140">
        <f t="shared" si="46"/>
        <v>640</v>
      </c>
      <c r="AU122" s="324"/>
      <c r="AV122" s="324"/>
      <c r="AW122" s="324"/>
      <c r="AX122" s="324"/>
      <c r="AY122" s="324"/>
      <c r="AZ122" s="324"/>
      <c r="BA122" s="324"/>
      <c r="BB122" s="324"/>
      <c r="BC122" s="324"/>
      <c r="BD122" s="324"/>
      <c r="BE122" s="324"/>
      <c r="BF122" s="324"/>
      <c r="BG122" s="140">
        <f t="shared" si="47"/>
        <v>0</v>
      </c>
      <c r="BH122" s="324"/>
      <c r="BI122" s="324"/>
      <c r="BJ122" s="324"/>
      <c r="BK122" s="324"/>
      <c r="BL122" s="324"/>
      <c r="BM122" s="324"/>
      <c r="BN122" s="324"/>
      <c r="BO122" s="324"/>
      <c r="BP122" s="324"/>
      <c r="BQ122" s="324"/>
      <c r="BR122" s="324"/>
      <c r="BS122" s="324"/>
      <c r="BT122" s="140">
        <f t="shared" si="48"/>
        <v>0</v>
      </c>
      <c r="BU122" s="114">
        <f t="shared" si="49"/>
        <v>670</v>
      </c>
      <c r="BV122" s="432"/>
      <c r="BW122" s="432"/>
      <c r="BX122" s="432"/>
      <c r="BY122" s="432"/>
      <c r="BZ122" s="433"/>
      <c r="CA122" s="434"/>
      <c r="CB122" s="7" t="s">
        <v>72</v>
      </c>
      <c r="CC122" s="83">
        <v>0</v>
      </c>
      <c r="CD122" s="83">
        <v>0</v>
      </c>
      <c r="CE122" s="83">
        <v>0</v>
      </c>
      <c r="CF122" s="83">
        <v>0</v>
      </c>
      <c r="CG122" s="84">
        <v>0</v>
      </c>
      <c r="CH122" s="84">
        <v>0</v>
      </c>
      <c r="CI122" s="84">
        <v>0</v>
      </c>
      <c r="CJ122" s="84">
        <v>0</v>
      </c>
      <c r="CK122" s="84">
        <v>0</v>
      </c>
      <c r="CL122" s="84">
        <v>0</v>
      </c>
      <c r="CM122" s="84">
        <v>0</v>
      </c>
      <c r="CN122" s="84">
        <v>0</v>
      </c>
      <c r="CO122" s="4">
        <f>SUM(CC122:CN122)</f>
        <v>0</v>
      </c>
      <c r="CP122" s="84">
        <v>1.411914038217076E-3</v>
      </c>
      <c r="CQ122" s="84">
        <v>1.411914038217076E-3</v>
      </c>
      <c r="CR122" s="84">
        <v>0</v>
      </c>
      <c r="CS122" s="84">
        <v>0</v>
      </c>
      <c r="CT122" s="84">
        <v>0</v>
      </c>
      <c r="CU122" s="84">
        <v>0</v>
      </c>
      <c r="CV122" s="84">
        <v>0</v>
      </c>
      <c r="CW122" s="84">
        <v>0</v>
      </c>
      <c r="CX122" s="84">
        <v>0</v>
      </c>
      <c r="CY122" s="84">
        <v>0</v>
      </c>
      <c r="CZ122" s="84">
        <v>0</v>
      </c>
      <c r="DA122" s="84">
        <v>0</v>
      </c>
      <c r="DB122" s="4">
        <f>SUM(CP122:DA122)</f>
        <v>2.823828076434152E-3</v>
      </c>
      <c r="DC122" s="84">
        <v>0</v>
      </c>
      <c r="DD122" s="84">
        <v>0</v>
      </c>
      <c r="DE122" s="84">
        <v>6.8381875250664321E-3</v>
      </c>
      <c r="DF122" s="84">
        <v>1.253667712928846E-2</v>
      </c>
      <c r="DG122" s="84">
        <v>1.7665317773088284E-2</v>
      </c>
      <c r="DH122" s="84">
        <v>1.9944713614777093E-2</v>
      </c>
      <c r="DI122" s="84">
        <v>1.1396979208444053E-2</v>
      </c>
      <c r="DJ122" s="84">
        <v>5.6984896042220267E-3</v>
      </c>
      <c r="DK122" s="84">
        <v>0</v>
      </c>
      <c r="DL122" s="84">
        <v>0</v>
      </c>
      <c r="DM122" s="84">
        <v>0</v>
      </c>
      <c r="DN122" s="84">
        <v>0</v>
      </c>
      <c r="DO122" s="4">
        <f>SUM(DC122:DN122)</f>
        <v>7.4080364854886338E-2</v>
      </c>
      <c r="DP122" s="84">
        <v>0</v>
      </c>
      <c r="DQ122" s="84">
        <v>0</v>
      </c>
      <c r="DR122" s="84">
        <v>0</v>
      </c>
      <c r="DS122" s="84">
        <v>0</v>
      </c>
      <c r="DT122" s="84">
        <v>0</v>
      </c>
      <c r="DU122" s="84">
        <v>0</v>
      </c>
      <c r="DV122" s="84">
        <v>0</v>
      </c>
      <c r="DW122" s="84">
        <v>0</v>
      </c>
      <c r="DX122" s="84">
        <v>0</v>
      </c>
      <c r="DY122" s="84">
        <v>0</v>
      </c>
      <c r="DZ122" s="84">
        <v>0</v>
      </c>
      <c r="EA122" s="84">
        <v>0</v>
      </c>
      <c r="EB122" s="4">
        <f>SUM(DP122:EA122)</f>
        <v>0</v>
      </c>
      <c r="EC122" s="84">
        <v>0</v>
      </c>
      <c r="ED122" s="84">
        <v>0</v>
      </c>
      <c r="EE122" s="84">
        <v>0</v>
      </c>
      <c r="EF122" s="84">
        <v>0</v>
      </c>
      <c r="EG122" s="84">
        <v>0</v>
      </c>
      <c r="EH122" s="84">
        <v>0</v>
      </c>
      <c r="EI122" s="84">
        <v>0</v>
      </c>
      <c r="EJ122" s="84">
        <v>0</v>
      </c>
      <c r="EK122" s="84">
        <v>0</v>
      </c>
      <c r="EL122" s="84">
        <v>0</v>
      </c>
      <c r="EM122" s="84">
        <v>0</v>
      </c>
      <c r="EN122" s="84">
        <v>0</v>
      </c>
      <c r="EO122" s="4">
        <f>SUM(EC122:EN122)</f>
        <v>0</v>
      </c>
      <c r="EP122" s="8">
        <f>SUM(EO122,EB122,DO122,DB122,CO122)</f>
        <v>7.6904192931320489E-2</v>
      </c>
      <c r="EQ122" s="181">
        <f>IFERROR(VLOOKUP(I122,CEI_012018!$A$1:$U$509,9,FALSE),0)</f>
        <v>0</v>
      </c>
      <c r="ER122" s="181">
        <f>IFERROR(VLOOKUP(I122,CEI_022018!$A$1:$U$509,9,FALSE),0)</f>
        <v>0</v>
      </c>
      <c r="ES122" s="181">
        <f>IFERROR(VLOOKUP(I122,CEI_032018!$A$1:$U$509,9,FALSE),0)</f>
        <v>0</v>
      </c>
      <c r="ET122" s="181">
        <f>IFERROR(VLOOKUP(I122,CEI_042018!$A$1:$U$491,9,FALSE),0)</f>
        <v>0</v>
      </c>
      <c r="EU122" s="181">
        <f>IFERROR(VLOOKUP(I122,CEI_052018!$A$1:$U$489,9,FALSE),0)</f>
        <v>0</v>
      </c>
      <c r="EV122" s="181">
        <f>IFERROR(VLOOKUP(I122,CEI_062018!$A$1:$U$489,9,FALSE),0)</f>
        <v>0</v>
      </c>
      <c r="EW122" s="181">
        <f>IFERROR(VLOOKUP(I122,CEI_072018!$A$1:$U$489,9,FALSE),0)</f>
        <v>0</v>
      </c>
      <c r="EX122" s="181">
        <f>IFERROR(VLOOKUP(I122,CEI_082018!$A$1:$U$489,9,FALSE),0)</f>
        <v>0</v>
      </c>
      <c r="EY122" s="181">
        <f>IFERROR(VLOOKUP(I122,CEI_092018!$A$1:$U$489,9,FALSE),0)</f>
        <v>0</v>
      </c>
      <c r="EZ122" s="181"/>
      <c r="FA122" s="181"/>
      <c r="FB122" s="181"/>
      <c r="FC122" s="181">
        <f>IFERROR(VLOOKUP(I122,CEI_092018!$A$1:$U$489,12,FALSE),0)</f>
        <v>0</v>
      </c>
      <c r="FD122" s="181">
        <f t="shared" si="71"/>
        <v>0</v>
      </c>
      <c r="FE122" s="181">
        <f t="shared" si="72"/>
        <v>0</v>
      </c>
      <c r="FF122"/>
      <c r="FG122"/>
      <c r="FH122"/>
      <c r="FI122"/>
      <c r="FJ122"/>
      <c r="FK122"/>
      <c r="FL122"/>
      <c r="FM122"/>
      <c r="FN122"/>
      <c r="FO122"/>
      <c r="FP122"/>
      <c r="FQ122"/>
      <c r="FR122"/>
      <c r="FS122"/>
      <c r="FT122"/>
      <c r="FU122"/>
      <c r="FV122"/>
      <c r="FW122"/>
      <c r="FX122"/>
      <c r="FY122"/>
      <c r="FZ122"/>
      <c r="GA122"/>
      <c r="GB122"/>
      <c r="GC122"/>
    </row>
    <row r="123" spans="1:185" ht="12.95" customHeight="1" x14ac:dyDescent="0.25">
      <c r="A123" s="202"/>
      <c r="B123" s="22" t="s">
        <v>57</v>
      </c>
      <c r="C123" s="34" t="s">
        <v>41</v>
      </c>
      <c r="D123" s="22" t="s">
        <v>55</v>
      </c>
      <c r="E123" s="25" t="s">
        <v>1827</v>
      </c>
      <c r="F123" s="25" t="s">
        <v>55</v>
      </c>
      <c r="G123" s="25" t="s">
        <v>1827</v>
      </c>
      <c r="H123" s="22" t="s">
        <v>56</v>
      </c>
      <c r="I123" s="423" t="s">
        <v>2043</v>
      </c>
      <c r="J123" s="37" t="s">
        <v>2044</v>
      </c>
      <c r="K123" s="23" t="s">
        <v>1828</v>
      </c>
      <c r="L123" s="23"/>
      <c r="M123" s="23"/>
      <c r="N123" s="23"/>
      <c r="O123" s="2"/>
      <c r="P123" s="2"/>
      <c r="Q123" s="2"/>
      <c r="R123" s="2"/>
      <c r="S123" s="2">
        <v>585</v>
      </c>
      <c r="T123" s="116">
        <f t="shared" si="44"/>
        <v>585</v>
      </c>
      <c r="U123" s="324"/>
      <c r="V123" s="324"/>
      <c r="W123" s="324"/>
      <c r="X123" s="324"/>
      <c r="Y123" s="324"/>
      <c r="Z123" s="324"/>
      <c r="AA123" s="324"/>
      <c r="AB123" s="324"/>
      <c r="AC123" s="324"/>
      <c r="AD123" s="324"/>
      <c r="AE123" s="324"/>
      <c r="AF123" s="324"/>
      <c r="AG123" s="140">
        <f t="shared" si="45"/>
        <v>0</v>
      </c>
      <c r="AH123" s="324"/>
      <c r="AI123" s="324"/>
      <c r="AJ123" s="324"/>
      <c r="AK123" s="324"/>
      <c r="AL123" s="324"/>
      <c r="AM123" s="324"/>
      <c r="AN123" s="324"/>
      <c r="AO123" s="324"/>
      <c r="AP123" s="324"/>
      <c r="AQ123" s="324"/>
      <c r="AR123" s="324"/>
      <c r="AS123" s="324"/>
      <c r="AT123" s="140">
        <f t="shared" si="46"/>
        <v>0</v>
      </c>
      <c r="AU123" s="324"/>
      <c r="AV123" s="324"/>
      <c r="AW123" s="324"/>
      <c r="AX123" s="324"/>
      <c r="AY123" s="324"/>
      <c r="AZ123" s="324"/>
      <c r="BA123" s="324"/>
      <c r="BB123" s="324"/>
      <c r="BC123" s="324"/>
      <c r="BD123" s="324"/>
      <c r="BE123" s="324"/>
      <c r="BF123" s="324"/>
      <c r="BG123" s="140">
        <f t="shared" si="47"/>
        <v>0</v>
      </c>
      <c r="BH123" s="324"/>
      <c r="BI123" s="324"/>
      <c r="BJ123" s="324"/>
      <c r="BK123" s="324"/>
      <c r="BL123" s="324"/>
      <c r="BM123" s="324"/>
      <c r="BN123" s="324"/>
      <c r="BO123" s="324"/>
      <c r="BP123" s="324"/>
      <c r="BQ123" s="324"/>
      <c r="BR123" s="324"/>
      <c r="BS123" s="324"/>
      <c r="BT123" s="140">
        <f t="shared" si="48"/>
        <v>0</v>
      </c>
      <c r="BU123" s="114">
        <f t="shared" si="49"/>
        <v>585</v>
      </c>
      <c r="BV123" s="372">
        <v>-1</v>
      </c>
      <c r="BW123" s="372">
        <v>-1</v>
      </c>
      <c r="BX123" s="372">
        <v>-1</v>
      </c>
      <c r="BY123" s="372">
        <v>-1</v>
      </c>
      <c r="BZ123" s="436">
        <f>IFERROR((EX123/T123%),0)</f>
        <v>0</v>
      </c>
      <c r="CA123" s="428">
        <f>IFERROR((FD123/T123%),0)</f>
        <v>0</v>
      </c>
      <c r="CB123" s="7"/>
      <c r="CC123" s="3"/>
      <c r="CD123" s="3"/>
      <c r="CE123" s="3"/>
      <c r="CF123" s="3"/>
      <c r="CG123" s="3"/>
      <c r="CH123" s="3"/>
      <c r="CI123" s="3"/>
      <c r="CJ123" s="3"/>
      <c r="CK123" s="3"/>
      <c r="CL123" s="3"/>
      <c r="CM123" s="3"/>
      <c r="CN123" s="3"/>
      <c r="CO123" s="4"/>
      <c r="CP123" s="3"/>
      <c r="CQ123" s="3"/>
      <c r="CR123" s="3"/>
      <c r="CS123" s="3"/>
      <c r="CT123" s="3"/>
      <c r="CU123" s="3"/>
      <c r="CV123" s="3"/>
      <c r="CW123" s="3"/>
      <c r="CX123" s="3"/>
      <c r="CY123" s="3"/>
      <c r="CZ123" s="3"/>
      <c r="DA123" s="3"/>
      <c r="DB123" s="4"/>
      <c r="DC123" s="3"/>
      <c r="DD123" s="3"/>
      <c r="DE123" s="3"/>
      <c r="DF123" s="3"/>
      <c r="DG123" s="3"/>
      <c r="DH123" s="3"/>
      <c r="DI123" s="3"/>
      <c r="DJ123" s="3"/>
      <c r="DK123" s="3"/>
      <c r="DL123" s="3"/>
      <c r="DM123" s="3"/>
      <c r="DN123" s="3"/>
      <c r="DO123" s="4"/>
      <c r="DP123" s="3"/>
      <c r="DQ123" s="3"/>
      <c r="DR123" s="3"/>
      <c r="DS123" s="3"/>
      <c r="DT123" s="3"/>
      <c r="DU123" s="3"/>
      <c r="DV123" s="3"/>
      <c r="DW123" s="3"/>
      <c r="DX123" s="3"/>
      <c r="DY123" s="3"/>
      <c r="DZ123" s="3"/>
      <c r="EA123" s="3"/>
      <c r="EB123" s="4"/>
      <c r="EC123" s="3"/>
      <c r="ED123" s="3"/>
      <c r="EE123" s="3"/>
      <c r="EF123" s="3"/>
      <c r="EG123" s="3"/>
      <c r="EH123" s="3"/>
      <c r="EI123" s="3"/>
      <c r="EJ123" s="3"/>
      <c r="EK123" s="3"/>
      <c r="EL123" s="3"/>
      <c r="EM123" s="3"/>
      <c r="EN123" s="3"/>
      <c r="EO123" s="4"/>
      <c r="EP123" s="8"/>
      <c r="EQ123" s="181">
        <f>IFERROR(VLOOKUP(I123,CEI_012018!$A$1:$U$509,9,FALSE),0)</f>
        <v>0</v>
      </c>
      <c r="ER123" s="181">
        <f>IFERROR(VLOOKUP(I123,CEI_022018!$A$1:$U$509,9,FALSE),0)</f>
        <v>0</v>
      </c>
      <c r="ES123" s="181">
        <f>IFERROR(VLOOKUP(I123,CEI_032018!$A$1:$U$509,9,FALSE),0)</f>
        <v>0</v>
      </c>
      <c r="ET123" s="181">
        <f>IFERROR(VLOOKUP(I123,CEI_042018!$A$1:$U$491,9,FALSE),0)</f>
        <v>0</v>
      </c>
      <c r="EU123" s="181">
        <f>IFERROR(VLOOKUP(I123,CEI_052018!$A$1:$U$489,9,FALSE),0)</f>
        <v>0</v>
      </c>
      <c r="EV123" s="181">
        <f>IFERROR(VLOOKUP(I123,CEI_062018!$A$1:$U$489,9,FALSE),0)</f>
        <v>0</v>
      </c>
      <c r="EW123" s="181">
        <f>IFERROR(VLOOKUP(I123,CEI_072018!$A$1:$U$489,9,FALSE),0)</f>
        <v>0</v>
      </c>
      <c r="EX123" s="181">
        <f>IFERROR(VLOOKUP(I123,CEI_082018!$A$1:$U$489,9,FALSE),0)</f>
        <v>0</v>
      </c>
      <c r="EY123" s="181">
        <f>IFERROR(VLOOKUP(I123,CEI_092018!$A$1:$U$489,9,FALSE),0)</f>
        <v>0</v>
      </c>
      <c r="EZ123" s="181"/>
      <c r="FA123" s="181"/>
      <c r="FB123" s="181"/>
      <c r="FC123" s="181">
        <f>IFERROR(VLOOKUP(I123,CEI_092018!$A$1:$U$489,12,FALSE),0)</f>
        <v>0</v>
      </c>
      <c r="FD123" s="181">
        <f t="shared" si="71"/>
        <v>0</v>
      </c>
      <c r="FE123" s="181">
        <f t="shared" si="72"/>
        <v>585</v>
      </c>
      <c r="FF123"/>
      <c r="FG123"/>
      <c r="FH123"/>
      <c r="FI123"/>
      <c r="FJ123"/>
      <c r="FK123"/>
      <c r="FL123"/>
      <c r="FM123"/>
      <c r="FN123"/>
      <c r="FO123"/>
      <c r="FP123"/>
      <c r="FQ123"/>
      <c r="FR123"/>
      <c r="FS123"/>
      <c r="FT123"/>
      <c r="FU123"/>
      <c r="FV123"/>
      <c r="FW123"/>
      <c r="FX123"/>
      <c r="FY123"/>
      <c r="FZ123"/>
      <c r="GA123"/>
      <c r="GB123"/>
      <c r="GC123"/>
    </row>
    <row r="124" spans="1:185" ht="12.95" customHeight="1" x14ac:dyDescent="0.25">
      <c r="A124" s="202"/>
      <c r="B124" s="22" t="s">
        <v>57</v>
      </c>
      <c r="C124" s="34" t="s">
        <v>41</v>
      </c>
      <c r="D124" s="22" t="s">
        <v>58</v>
      </c>
      <c r="E124" s="25" t="s">
        <v>1040</v>
      </c>
      <c r="F124" s="25" t="s">
        <v>58</v>
      </c>
      <c r="G124" s="25" t="s">
        <v>1040</v>
      </c>
      <c r="H124" s="22" t="s">
        <v>56</v>
      </c>
      <c r="I124" s="423" t="s">
        <v>565</v>
      </c>
      <c r="J124" s="37"/>
      <c r="K124" s="23" t="s">
        <v>314</v>
      </c>
      <c r="L124" s="23" t="s">
        <v>620</v>
      </c>
      <c r="M124" s="23" t="s">
        <v>621</v>
      </c>
      <c r="N124" s="23" t="s">
        <v>1774</v>
      </c>
      <c r="O124" s="2"/>
      <c r="P124" s="2"/>
      <c r="Q124" s="2"/>
      <c r="R124" s="2"/>
      <c r="S124" s="2"/>
      <c r="T124" s="116">
        <f t="shared" si="44"/>
        <v>0</v>
      </c>
      <c r="U124" s="324"/>
      <c r="V124" s="324"/>
      <c r="W124" s="324"/>
      <c r="X124" s="324"/>
      <c r="Y124" s="324"/>
      <c r="Z124" s="324"/>
      <c r="AA124" s="324"/>
      <c r="AB124" s="324"/>
      <c r="AC124" s="324"/>
      <c r="AD124" s="324"/>
      <c r="AE124" s="324"/>
      <c r="AF124" s="324"/>
      <c r="AG124" s="140">
        <f t="shared" si="45"/>
        <v>0</v>
      </c>
      <c r="AH124" s="324"/>
      <c r="AI124" s="324"/>
      <c r="AJ124" s="324"/>
      <c r="AK124" s="324"/>
      <c r="AL124" s="324"/>
      <c r="AM124" s="324"/>
      <c r="AN124" s="324"/>
      <c r="AO124" s="324">
        <v>60</v>
      </c>
      <c r="AP124" s="324">
        <v>60</v>
      </c>
      <c r="AQ124" s="324">
        <v>60</v>
      </c>
      <c r="AR124" s="324"/>
      <c r="AS124" s="324"/>
      <c r="AT124" s="140">
        <f t="shared" si="46"/>
        <v>180</v>
      </c>
      <c r="AU124" s="324"/>
      <c r="AV124" s="324"/>
      <c r="AW124" s="324"/>
      <c r="AX124" s="324"/>
      <c r="AY124" s="324"/>
      <c r="AZ124" s="324"/>
      <c r="BA124" s="324"/>
      <c r="BB124" s="324">
        <v>60</v>
      </c>
      <c r="BC124" s="324">
        <v>60</v>
      </c>
      <c r="BD124" s="324">
        <v>60</v>
      </c>
      <c r="BE124" s="324"/>
      <c r="BF124" s="324"/>
      <c r="BG124" s="140">
        <f t="shared" si="47"/>
        <v>180</v>
      </c>
      <c r="BH124" s="324"/>
      <c r="BI124" s="324"/>
      <c r="BJ124" s="324"/>
      <c r="BK124" s="324"/>
      <c r="BL124" s="324"/>
      <c r="BM124" s="324"/>
      <c r="BN124" s="324"/>
      <c r="BO124" s="324">
        <v>60</v>
      </c>
      <c r="BP124" s="324">
        <v>60</v>
      </c>
      <c r="BQ124" s="324">
        <v>60</v>
      </c>
      <c r="BR124" s="324"/>
      <c r="BS124" s="324"/>
      <c r="BT124" s="140">
        <f t="shared" si="48"/>
        <v>180</v>
      </c>
      <c r="BU124" s="114">
        <f t="shared" si="49"/>
        <v>540</v>
      </c>
      <c r="BV124" s="432"/>
      <c r="BW124" s="432"/>
      <c r="BX124" s="432"/>
      <c r="BY124" s="432"/>
      <c r="BZ124" s="433"/>
      <c r="CA124" s="434"/>
      <c r="CB124" s="7" t="s">
        <v>72</v>
      </c>
      <c r="CC124" s="83">
        <v>0</v>
      </c>
      <c r="CD124" s="83">
        <v>0</v>
      </c>
      <c r="CE124" s="83">
        <v>0</v>
      </c>
      <c r="CF124" s="83">
        <v>0</v>
      </c>
      <c r="CG124" s="84">
        <v>0</v>
      </c>
      <c r="CH124" s="84">
        <v>0</v>
      </c>
      <c r="CI124" s="84">
        <v>0</v>
      </c>
      <c r="CJ124" s="84">
        <v>0</v>
      </c>
      <c r="CK124" s="84">
        <v>0</v>
      </c>
      <c r="CL124" s="84">
        <v>0</v>
      </c>
      <c r="CM124" s="84">
        <v>0</v>
      </c>
      <c r="CN124" s="84">
        <v>0</v>
      </c>
      <c r="CO124" s="4">
        <f>SUM(CC124:CN124)</f>
        <v>0</v>
      </c>
      <c r="CP124" s="84">
        <v>0</v>
      </c>
      <c r="CQ124" s="84">
        <v>0</v>
      </c>
      <c r="CR124" s="84">
        <v>0</v>
      </c>
      <c r="CS124" s="84">
        <v>0</v>
      </c>
      <c r="CT124" s="84">
        <v>0</v>
      </c>
      <c r="CU124" s="84">
        <v>0</v>
      </c>
      <c r="CV124" s="84">
        <v>0</v>
      </c>
      <c r="CW124" s="84">
        <v>0</v>
      </c>
      <c r="CX124" s="84">
        <v>0</v>
      </c>
      <c r="CY124" s="84">
        <v>0</v>
      </c>
      <c r="CZ124" s="84">
        <v>0</v>
      </c>
      <c r="DA124" s="84">
        <v>0</v>
      </c>
      <c r="DB124" s="4">
        <f>SUM(CP124:DA124)</f>
        <v>0</v>
      </c>
      <c r="DC124" s="84">
        <v>0</v>
      </c>
      <c r="DD124" s="84">
        <v>0</v>
      </c>
      <c r="DE124" s="84">
        <v>0</v>
      </c>
      <c r="DF124" s="84">
        <v>0</v>
      </c>
      <c r="DG124" s="84">
        <v>0</v>
      </c>
      <c r="DH124" s="84">
        <v>0</v>
      </c>
      <c r="DI124" s="84">
        <v>0</v>
      </c>
      <c r="DJ124" s="84">
        <v>6.8381875250664321E-3</v>
      </c>
      <c r="DK124" s="84">
        <v>6.8381875250664321E-3</v>
      </c>
      <c r="DL124" s="84">
        <v>6.8381875250664321E-3</v>
      </c>
      <c r="DM124" s="84">
        <v>0</v>
      </c>
      <c r="DN124" s="84">
        <v>0</v>
      </c>
      <c r="DO124" s="4">
        <f>SUM(DC124:DN124)</f>
        <v>2.0514562575199298E-2</v>
      </c>
      <c r="DP124" s="84">
        <v>0</v>
      </c>
      <c r="DQ124" s="84">
        <v>0</v>
      </c>
      <c r="DR124" s="84">
        <v>0</v>
      </c>
      <c r="DS124" s="84">
        <v>0</v>
      </c>
      <c r="DT124" s="84">
        <v>0</v>
      </c>
      <c r="DU124" s="84">
        <v>0</v>
      </c>
      <c r="DV124" s="84">
        <v>0</v>
      </c>
      <c r="DW124" s="84">
        <v>7.1417399706760155E-3</v>
      </c>
      <c r="DX124" s="84">
        <v>7.1417399706760155E-3</v>
      </c>
      <c r="DY124" s="84">
        <v>7.1417399706760155E-3</v>
      </c>
      <c r="DZ124" s="84">
        <v>0</v>
      </c>
      <c r="EA124" s="84">
        <v>0</v>
      </c>
      <c r="EB124" s="4">
        <f>SUM(DP124:EA124)</f>
        <v>2.1425219912028046E-2</v>
      </c>
      <c r="EC124" s="84">
        <v>0</v>
      </c>
      <c r="ED124" s="84">
        <v>0</v>
      </c>
      <c r="EE124" s="84">
        <v>0</v>
      </c>
      <c r="EF124" s="84">
        <v>0</v>
      </c>
      <c r="EG124" s="84">
        <v>0</v>
      </c>
      <c r="EH124" s="84">
        <v>0</v>
      </c>
      <c r="EI124" s="84">
        <v>0</v>
      </c>
      <c r="EJ124" s="84">
        <v>1.2481797378822551E-2</v>
      </c>
      <c r="EK124" s="84">
        <v>1.2481797378822551E-2</v>
      </c>
      <c r="EL124" s="84">
        <v>1.2481797378822551E-2</v>
      </c>
      <c r="EM124" s="84">
        <v>0</v>
      </c>
      <c r="EN124" s="84">
        <v>0</v>
      </c>
      <c r="EO124" s="4">
        <f>SUM(EC124:EN124)</f>
        <v>3.7445392136467651E-2</v>
      </c>
      <c r="EP124" s="8">
        <f>SUM(EO124,EB124,DO124,DB124,CO124)</f>
        <v>7.9385174623694987E-2</v>
      </c>
      <c r="EQ124" s="181">
        <f>IFERROR(VLOOKUP(I124,CEI_012018!$A$1:$U$509,9,FALSE),0)</f>
        <v>0</v>
      </c>
      <c r="ER124" s="181">
        <f>IFERROR(VLOOKUP(I124,CEI_022018!$A$1:$U$509,9,FALSE),0)</f>
        <v>0</v>
      </c>
      <c r="ES124" s="181">
        <f>IFERROR(VLOOKUP(I124,CEI_032018!$A$1:$U$509,9,FALSE),0)</f>
        <v>0</v>
      </c>
      <c r="ET124" s="181">
        <f>IFERROR(VLOOKUP(I124,CEI_042018!$A$1:$U$491,9,FALSE),0)</f>
        <v>0</v>
      </c>
      <c r="EU124" s="181">
        <f>IFERROR(VLOOKUP(I124,CEI_052018!$A$1:$U$489,9,FALSE),0)</f>
        <v>0</v>
      </c>
      <c r="EV124" s="181">
        <f>IFERROR(VLOOKUP(I124,CEI_062018!$A$1:$U$489,9,FALSE),0)</f>
        <v>0</v>
      </c>
      <c r="EW124" s="181">
        <f>IFERROR(VLOOKUP(I124,CEI_072018!$A$1:$U$489,9,FALSE),0)</f>
        <v>0</v>
      </c>
      <c r="EX124" s="181">
        <f>IFERROR(VLOOKUP(I124,CEI_082018!$A$1:$U$489,9,FALSE),0)</f>
        <v>0</v>
      </c>
      <c r="EY124" s="181">
        <f>IFERROR(VLOOKUP(I124,CEI_092018!$A$1:$U$489,9,FALSE),0)</f>
        <v>0</v>
      </c>
      <c r="EZ124" s="181"/>
      <c r="FA124" s="181"/>
      <c r="FB124" s="181"/>
      <c r="FC124" s="181">
        <f>IFERROR(VLOOKUP(I124,CEI_092018!$A$1:$U$489,12,FALSE),0)</f>
        <v>0</v>
      </c>
      <c r="FD124" s="181">
        <f t="shared" si="71"/>
        <v>0</v>
      </c>
      <c r="FE124" s="181">
        <f t="shared" si="72"/>
        <v>0</v>
      </c>
      <c r="FF124"/>
      <c r="FG124"/>
      <c r="FH124"/>
      <c r="FI124"/>
      <c r="FJ124"/>
      <c r="FK124"/>
      <c r="FL124"/>
      <c r="FM124"/>
      <c r="FN124"/>
      <c r="FO124"/>
      <c r="FP124"/>
      <c r="FQ124"/>
      <c r="FR124"/>
      <c r="FS124"/>
      <c r="FT124"/>
      <c r="FU124"/>
      <c r="FV124"/>
      <c r="FW124"/>
      <c r="FX124"/>
      <c r="FY124"/>
      <c r="FZ124"/>
      <c r="GA124"/>
      <c r="GB124"/>
      <c r="GC124"/>
    </row>
    <row r="125" spans="1:185" ht="12.95" customHeight="1" x14ac:dyDescent="0.25">
      <c r="A125" s="202"/>
      <c r="B125" s="22" t="s">
        <v>57</v>
      </c>
      <c r="C125" s="34" t="s">
        <v>41</v>
      </c>
      <c r="D125" s="22" t="s">
        <v>61</v>
      </c>
      <c r="E125" s="25" t="s">
        <v>1542</v>
      </c>
      <c r="F125" s="25" t="s">
        <v>61</v>
      </c>
      <c r="G125" s="25" t="s">
        <v>1542</v>
      </c>
      <c r="H125" s="22" t="s">
        <v>226</v>
      </c>
      <c r="I125" s="423" t="s">
        <v>1518</v>
      </c>
      <c r="J125" s="37" t="s">
        <v>1520</v>
      </c>
      <c r="K125" s="23" t="s">
        <v>1543</v>
      </c>
      <c r="L125" s="23" t="s">
        <v>1544</v>
      </c>
      <c r="M125" s="23" t="s">
        <v>230</v>
      </c>
      <c r="N125" s="23"/>
      <c r="O125" s="2"/>
      <c r="P125" s="2"/>
      <c r="Q125" s="2">
        <v>103.2</v>
      </c>
      <c r="R125" s="2"/>
      <c r="S125" s="2">
        <v>20.845002937315996</v>
      </c>
      <c r="T125" s="116">
        <f t="shared" si="44"/>
        <v>124.045002937316</v>
      </c>
      <c r="U125" s="324"/>
      <c r="V125" s="324"/>
      <c r="W125" s="324">
        <f>161-24</f>
        <v>137</v>
      </c>
      <c r="X125" s="324">
        <v>200</v>
      </c>
      <c r="Y125" s="324"/>
      <c r="Z125" s="324"/>
      <c r="AA125" s="324"/>
      <c r="AB125" s="324">
        <f>27.9549970626831+24</f>
        <v>51.954997062683098</v>
      </c>
      <c r="AC125" s="324"/>
      <c r="AD125" s="324"/>
      <c r="AE125" s="324"/>
      <c r="AF125" s="324"/>
      <c r="AG125" s="140">
        <f t="shared" si="45"/>
        <v>388.95499706268311</v>
      </c>
      <c r="AH125" s="324"/>
      <c r="AI125" s="324"/>
      <c r="AJ125" s="324"/>
      <c r="AK125" s="324"/>
      <c r="AL125" s="324"/>
      <c r="AM125" s="324"/>
      <c r="AN125" s="324"/>
      <c r="AO125" s="324"/>
      <c r="AP125" s="324"/>
      <c r="AQ125" s="324"/>
      <c r="AR125" s="324"/>
      <c r="AS125" s="324"/>
      <c r="AT125" s="140">
        <f t="shared" si="46"/>
        <v>0</v>
      </c>
      <c r="AU125" s="324"/>
      <c r="AV125" s="324"/>
      <c r="AW125" s="324"/>
      <c r="AX125" s="324"/>
      <c r="AY125" s="324"/>
      <c r="AZ125" s="324"/>
      <c r="BA125" s="324"/>
      <c r="BB125" s="324"/>
      <c r="BC125" s="324"/>
      <c r="BD125" s="324"/>
      <c r="BE125" s="324"/>
      <c r="BF125" s="324"/>
      <c r="BG125" s="140">
        <f t="shared" si="47"/>
        <v>0</v>
      </c>
      <c r="BH125" s="324"/>
      <c r="BI125" s="324"/>
      <c r="BJ125" s="324"/>
      <c r="BK125" s="324"/>
      <c r="BL125" s="324"/>
      <c r="BM125" s="324"/>
      <c r="BN125" s="324"/>
      <c r="BO125" s="324"/>
      <c r="BP125" s="324"/>
      <c r="BQ125" s="324"/>
      <c r="BR125" s="324"/>
      <c r="BS125" s="324"/>
      <c r="BT125" s="140">
        <f t="shared" si="48"/>
        <v>0</v>
      </c>
      <c r="BU125" s="114">
        <f t="shared" si="49"/>
        <v>512.99999999999909</v>
      </c>
      <c r="BV125" s="372">
        <v>1</v>
      </c>
      <c r="BW125" s="372">
        <v>1</v>
      </c>
      <c r="BX125" s="372">
        <v>1</v>
      </c>
      <c r="BY125" s="372">
        <v>-1</v>
      </c>
      <c r="BZ125" s="436">
        <f>IFERROR((EX125/T125%),0)</f>
        <v>0</v>
      </c>
      <c r="CA125" s="428">
        <f>IFERROR((FD125/T125%),0)</f>
        <v>83.188436268844825</v>
      </c>
      <c r="CB125" s="7" t="s">
        <v>73</v>
      </c>
      <c r="CC125" s="3"/>
      <c r="CD125" s="3"/>
      <c r="CE125" s="3"/>
      <c r="CF125" s="3"/>
      <c r="CG125" s="3"/>
      <c r="CH125" s="3"/>
      <c r="CI125" s="3"/>
      <c r="CJ125" s="3"/>
      <c r="CK125" s="3"/>
      <c r="CL125" s="3"/>
      <c r="CM125" s="3"/>
      <c r="CN125" s="3">
        <v>103</v>
      </c>
      <c r="CO125" s="4">
        <f>SUM(CC125:CN125)</f>
        <v>103</v>
      </c>
      <c r="CP125" s="3"/>
      <c r="CQ125" s="3"/>
      <c r="CR125" s="3"/>
      <c r="CS125" s="3"/>
      <c r="CT125" s="3"/>
      <c r="CU125" s="3"/>
      <c r="CV125" s="3"/>
      <c r="CW125" s="3"/>
      <c r="CX125" s="3"/>
      <c r="CY125" s="3"/>
      <c r="CZ125" s="3"/>
      <c r="DA125" s="3"/>
      <c r="DB125" s="4">
        <f>SUM(CP125:DA125)</f>
        <v>0</v>
      </c>
      <c r="DC125" s="3"/>
      <c r="DD125" s="3"/>
      <c r="DE125" s="3"/>
      <c r="DF125" s="3"/>
      <c r="DG125" s="3"/>
      <c r="DH125" s="3"/>
      <c r="DI125" s="3"/>
      <c r="DJ125" s="3"/>
      <c r="DK125" s="3"/>
      <c r="DL125" s="3"/>
      <c r="DM125" s="3"/>
      <c r="DN125" s="3"/>
      <c r="DO125" s="4">
        <f>SUM(DC125:DN125)</f>
        <v>0</v>
      </c>
      <c r="DP125" s="3"/>
      <c r="DQ125" s="3"/>
      <c r="DR125" s="3"/>
      <c r="DS125" s="3"/>
      <c r="DT125" s="3"/>
      <c r="DU125" s="3"/>
      <c r="DV125" s="3"/>
      <c r="DW125" s="3"/>
      <c r="DX125" s="3"/>
      <c r="DY125" s="3"/>
      <c r="DZ125" s="3"/>
      <c r="EA125" s="3"/>
      <c r="EB125" s="4">
        <f>SUM(DP125:EA125)</f>
        <v>0</v>
      </c>
      <c r="EC125" s="3"/>
      <c r="ED125" s="3"/>
      <c r="EE125" s="3"/>
      <c r="EF125" s="3"/>
      <c r="EG125" s="3"/>
      <c r="EH125" s="3"/>
      <c r="EI125" s="3"/>
      <c r="EJ125" s="3"/>
      <c r="EK125" s="3"/>
      <c r="EL125" s="3"/>
      <c r="EM125" s="3"/>
      <c r="EN125" s="3"/>
      <c r="EO125" s="4">
        <f>SUM(EC125:EN125)</f>
        <v>0</v>
      </c>
      <c r="EP125" s="8">
        <f>SUM(EO125,EB125,DO125,DB125,CO125)</f>
        <v>103</v>
      </c>
      <c r="EQ125" s="181">
        <f>IFERROR(VLOOKUP(I125,CEI_012018!$A$1:$U$509,9,FALSE),0)</f>
        <v>0</v>
      </c>
      <c r="ER125" s="181">
        <f>IFERROR(VLOOKUP(I125,CEI_022018!$A$1:$U$509,9,FALSE),0)</f>
        <v>0</v>
      </c>
      <c r="ES125" s="181">
        <f>IFERROR(VLOOKUP(I125,CEI_032018!$A$1:$U$509,9,FALSE),0)</f>
        <v>0</v>
      </c>
      <c r="ET125" s="181">
        <f>IFERROR(VLOOKUP(I125,CEI_042018!$A$1:$U$491,9,FALSE),0)</f>
        <v>0</v>
      </c>
      <c r="EU125" s="181">
        <f>IFERROR(VLOOKUP(I125,CEI_052018!$A$1:$U$489,9,FALSE),0)</f>
        <v>0</v>
      </c>
      <c r="EV125" s="181">
        <f>IFERROR(VLOOKUP(I125,CEI_062018!$A$1:$U$489,9,FALSE),0)</f>
        <v>0</v>
      </c>
      <c r="EW125" s="181">
        <f>IFERROR(VLOOKUP(I125,CEI_072018!$A$1:$U$489,9,FALSE),0)</f>
        <v>0</v>
      </c>
      <c r="EX125" s="181">
        <f>IFERROR(VLOOKUP(I125,CEI_082018!$A$1:$U$489,9,FALSE),0)</f>
        <v>0</v>
      </c>
      <c r="EY125" s="181">
        <f>IFERROR(VLOOKUP(I125,CEI_092018!$A$1:$U$489,9,FALSE),0)</f>
        <v>0</v>
      </c>
      <c r="EZ125" s="181"/>
      <c r="FA125" s="181"/>
      <c r="FB125" s="181"/>
      <c r="FC125" s="181">
        <f>IFERROR(VLOOKUP(I125,CEI_092018!$A$1:$U$489,12,FALSE),0)</f>
        <v>103.1910982131958</v>
      </c>
      <c r="FD125" s="181">
        <f t="shared" si="71"/>
        <v>103.1910982131958</v>
      </c>
      <c r="FE125" s="181">
        <f t="shared" si="72"/>
        <v>20.853904724120198</v>
      </c>
      <c r="FF125"/>
      <c r="FG125"/>
      <c r="FH125"/>
      <c r="FI125"/>
      <c r="FJ125"/>
      <c r="FK125"/>
      <c r="FL125"/>
      <c r="FM125"/>
      <c r="FN125"/>
      <c r="FO125"/>
      <c r="FP125"/>
      <c r="FQ125"/>
      <c r="FR125"/>
      <c r="FS125"/>
      <c r="FT125"/>
      <c r="FU125"/>
      <c r="FV125"/>
      <c r="FW125"/>
      <c r="FX125"/>
      <c r="FY125"/>
      <c r="FZ125"/>
      <c r="GA125"/>
      <c r="GB125"/>
      <c r="GC125"/>
    </row>
    <row r="126" spans="1:185" ht="12" customHeight="1" x14ac:dyDescent="0.25">
      <c r="A126" s="202"/>
      <c r="B126" s="22" t="s">
        <v>57</v>
      </c>
      <c r="C126" s="34" t="s">
        <v>41</v>
      </c>
      <c r="D126" s="22" t="s">
        <v>586</v>
      </c>
      <c r="E126" s="25" t="s">
        <v>1763</v>
      </c>
      <c r="F126" s="25" t="s">
        <v>586</v>
      </c>
      <c r="G126" s="25" t="s">
        <v>1763</v>
      </c>
      <c r="H126" s="22" t="s">
        <v>62</v>
      </c>
      <c r="I126" s="423" t="s">
        <v>565</v>
      </c>
      <c r="J126" s="37"/>
      <c r="K126" s="23" t="s">
        <v>1896</v>
      </c>
      <c r="L126" s="23"/>
      <c r="M126" s="23"/>
      <c r="N126" s="23"/>
      <c r="O126" s="2"/>
      <c r="P126" s="2"/>
      <c r="Q126" s="2"/>
      <c r="R126" s="2"/>
      <c r="S126" s="2"/>
      <c r="T126" s="116">
        <f t="shared" si="44"/>
        <v>0</v>
      </c>
      <c r="U126" s="324"/>
      <c r="V126" s="324"/>
      <c r="W126" s="324"/>
      <c r="X126" s="324"/>
      <c r="Y126" s="324"/>
      <c r="Z126" s="324"/>
      <c r="AA126" s="324">
        <v>500</v>
      </c>
      <c r="AB126" s="324"/>
      <c r="AC126" s="324"/>
      <c r="AD126" s="324"/>
      <c r="AE126" s="324"/>
      <c r="AF126" s="324"/>
      <c r="AG126" s="140">
        <f t="shared" si="45"/>
        <v>500</v>
      </c>
      <c r="AH126" s="324"/>
      <c r="AI126" s="324"/>
      <c r="AJ126" s="324"/>
      <c r="AK126" s="324"/>
      <c r="AL126" s="324"/>
      <c r="AM126" s="324"/>
      <c r="AN126" s="324"/>
      <c r="AO126" s="324"/>
      <c r="AP126" s="324"/>
      <c r="AQ126" s="324"/>
      <c r="AR126" s="324"/>
      <c r="AS126" s="324"/>
      <c r="AT126" s="140">
        <f t="shared" si="46"/>
        <v>0</v>
      </c>
      <c r="AU126" s="324"/>
      <c r="AV126" s="324"/>
      <c r="AW126" s="324"/>
      <c r="AX126" s="324"/>
      <c r="AY126" s="324"/>
      <c r="AZ126" s="324"/>
      <c r="BA126" s="324"/>
      <c r="BB126" s="324"/>
      <c r="BC126" s="324"/>
      <c r="BD126" s="324"/>
      <c r="BE126" s="324"/>
      <c r="BF126" s="324"/>
      <c r="BG126" s="140">
        <f t="shared" si="47"/>
        <v>0</v>
      </c>
      <c r="BH126" s="324"/>
      <c r="BI126" s="324"/>
      <c r="BJ126" s="324"/>
      <c r="BK126" s="324"/>
      <c r="BL126" s="324"/>
      <c r="BM126" s="324"/>
      <c r="BN126" s="324"/>
      <c r="BO126" s="324"/>
      <c r="BP126" s="324"/>
      <c r="BQ126" s="324"/>
      <c r="BR126" s="324"/>
      <c r="BS126" s="324"/>
      <c r="BT126" s="140">
        <f t="shared" si="48"/>
        <v>0</v>
      </c>
      <c r="BU126" s="114">
        <f t="shared" si="49"/>
        <v>500</v>
      </c>
      <c r="BV126" s="432"/>
      <c r="BW126" s="432"/>
      <c r="BX126" s="432"/>
      <c r="BY126" s="432"/>
      <c r="BZ126" s="433"/>
      <c r="CA126" s="434"/>
      <c r="CB126" s="7"/>
      <c r="CC126" s="3"/>
      <c r="CD126" s="3"/>
      <c r="CE126" s="3"/>
      <c r="CF126" s="3"/>
      <c r="CG126" s="3"/>
      <c r="CH126" s="3"/>
      <c r="CI126" s="3"/>
      <c r="CJ126" s="3"/>
      <c r="CK126" s="3"/>
      <c r="CL126" s="3"/>
      <c r="CM126" s="3"/>
      <c r="CN126" s="3"/>
      <c r="CO126" s="4"/>
      <c r="CP126" s="3"/>
      <c r="CQ126" s="3"/>
      <c r="CR126" s="3"/>
      <c r="CS126" s="3"/>
      <c r="CT126" s="3"/>
      <c r="CU126" s="3"/>
      <c r="CV126" s="3"/>
      <c r="CW126" s="3"/>
      <c r="CX126" s="3"/>
      <c r="CY126" s="3"/>
      <c r="CZ126" s="3"/>
      <c r="DA126" s="3"/>
      <c r="DB126" s="4"/>
      <c r="DC126" s="3"/>
      <c r="DD126" s="3"/>
      <c r="DE126" s="3"/>
      <c r="DF126" s="3"/>
      <c r="DG126" s="3"/>
      <c r="DH126" s="3"/>
      <c r="DI126" s="3"/>
      <c r="DJ126" s="3"/>
      <c r="DK126" s="3"/>
      <c r="DL126" s="3"/>
      <c r="DM126" s="3"/>
      <c r="DN126" s="3"/>
      <c r="DO126" s="4"/>
      <c r="DP126" s="3"/>
      <c r="DQ126" s="3"/>
      <c r="DR126" s="3"/>
      <c r="DS126" s="3"/>
      <c r="DT126" s="3"/>
      <c r="DU126" s="3"/>
      <c r="DV126" s="3"/>
      <c r="DW126" s="3"/>
      <c r="DX126" s="3"/>
      <c r="DY126" s="3"/>
      <c r="DZ126" s="3"/>
      <c r="EA126" s="3"/>
      <c r="EB126" s="4"/>
      <c r="EC126" s="3"/>
      <c r="ED126" s="3"/>
      <c r="EE126" s="3"/>
      <c r="EF126" s="3"/>
      <c r="EG126" s="3"/>
      <c r="EH126" s="3"/>
      <c r="EI126" s="3"/>
      <c r="EJ126" s="3"/>
      <c r="EK126" s="3"/>
      <c r="EL126" s="3"/>
      <c r="EM126" s="3"/>
      <c r="EN126" s="3"/>
      <c r="EO126" s="4"/>
      <c r="EP126" s="8"/>
      <c r="EQ126" s="181">
        <f>IFERROR(VLOOKUP(I126,CEI_012018!$A$1:$U$509,9,FALSE),0)</f>
        <v>0</v>
      </c>
      <c r="ER126" s="181">
        <f>IFERROR(VLOOKUP(I126,CEI_022018!$A$1:$U$509,9,FALSE),0)</f>
        <v>0</v>
      </c>
      <c r="ES126" s="181">
        <f>IFERROR(VLOOKUP(I126,CEI_032018!$A$1:$U$509,9,FALSE),0)</f>
        <v>0</v>
      </c>
      <c r="ET126" s="181">
        <f>IFERROR(VLOOKUP(I126,CEI_042018!$A$1:$U$491,9,FALSE),0)</f>
        <v>0</v>
      </c>
      <c r="EU126" s="181">
        <f>IFERROR(VLOOKUP(I126,CEI_052018!$A$1:$U$489,9,FALSE),0)</f>
        <v>0</v>
      </c>
      <c r="EV126" s="181">
        <f>IFERROR(VLOOKUP(I126,CEI_062018!$A$1:$U$489,9,FALSE),0)</f>
        <v>0</v>
      </c>
      <c r="EW126" s="181">
        <f>IFERROR(VLOOKUP(I126,CEI_072018!$A$1:$U$489,9,FALSE),0)</f>
        <v>0</v>
      </c>
      <c r="EX126" s="181">
        <f>IFERROR(VLOOKUP(I126,CEI_082018!$A$1:$U$489,9,FALSE),0)</f>
        <v>0</v>
      </c>
      <c r="EY126" s="181">
        <f>IFERROR(VLOOKUP(I126,CEI_092018!$A$1:$U$489,9,FALSE),0)</f>
        <v>0</v>
      </c>
      <c r="EZ126" s="181"/>
      <c r="FA126" s="181"/>
      <c r="FB126" s="181"/>
      <c r="FC126" s="181">
        <f>IFERROR(VLOOKUP(I126,CEI_092018!$A$1:$U$489,12,FALSE),0)</f>
        <v>0</v>
      </c>
      <c r="FD126" s="181">
        <f t="shared" si="71"/>
        <v>0</v>
      </c>
      <c r="FE126" s="181">
        <f t="shared" si="72"/>
        <v>0</v>
      </c>
      <c r="FF126"/>
      <c r="FG126"/>
      <c r="FH126"/>
      <c r="FI126"/>
      <c r="FJ126"/>
      <c r="FK126"/>
      <c r="FL126"/>
      <c r="FM126"/>
      <c r="FN126"/>
      <c r="FO126"/>
      <c r="FP126"/>
      <c r="FQ126"/>
      <c r="FR126"/>
      <c r="FS126"/>
      <c r="FT126"/>
      <c r="FU126"/>
      <c r="FV126"/>
      <c r="FW126"/>
      <c r="FX126"/>
      <c r="FY126"/>
      <c r="FZ126"/>
      <c r="GA126"/>
      <c r="GB126"/>
      <c r="GC126"/>
    </row>
    <row r="127" spans="1:185" ht="12.95" customHeight="1" x14ac:dyDescent="0.25">
      <c r="A127" s="202"/>
      <c r="B127" s="22" t="s">
        <v>57</v>
      </c>
      <c r="C127" s="34" t="s">
        <v>41</v>
      </c>
      <c r="D127" s="22" t="s">
        <v>58</v>
      </c>
      <c r="E127" s="25" t="s">
        <v>433</v>
      </c>
      <c r="F127" s="25" t="s">
        <v>58</v>
      </c>
      <c r="G127" s="25" t="s">
        <v>433</v>
      </c>
      <c r="H127" s="22" t="s">
        <v>56</v>
      </c>
      <c r="I127" s="423" t="s">
        <v>565</v>
      </c>
      <c r="J127" s="37"/>
      <c r="K127" s="23" t="s">
        <v>444</v>
      </c>
      <c r="L127" s="23" t="s">
        <v>445</v>
      </c>
      <c r="M127" s="23" t="s">
        <v>446</v>
      </c>
      <c r="N127" s="23" t="s">
        <v>1779</v>
      </c>
      <c r="O127" s="2"/>
      <c r="P127" s="2"/>
      <c r="Q127" s="2"/>
      <c r="R127" s="2"/>
      <c r="S127" s="2"/>
      <c r="T127" s="116">
        <f t="shared" si="44"/>
        <v>0</v>
      </c>
      <c r="U127" s="324"/>
      <c r="V127" s="324"/>
      <c r="W127" s="324"/>
      <c r="X127" s="324"/>
      <c r="Y127" s="324"/>
      <c r="Z127" s="324"/>
      <c r="AA127" s="324"/>
      <c r="AB127" s="324"/>
      <c r="AC127" s="324"/>
      <c r="AD127" s="324"/>
      <c r="AE127" s="324"/>
      <c r="AF127" s="324">
        <v>120</v>
      </c>
      <c r="AG127" s="140">
        <f t="shared" si="45"/>
        <v>120</v>
      </c>
      <c r="AH127" s="324"/>
      <c r="AI127" s="324"/>
      <c r="AJ127" s="324"/>
      <c r="AK127" s="324"/>
      <c r="AL127" s="324">
        <v>330</v>
      </c>
      <c r="AM127" s="324"/>
      <c r="AN127" s="324"/>
      <c r="AO127" s="324"/>
      <c r="AP127" s="324"/>
      <c r="AQ127" s="324"/>
      <c r="AR127" s="324"/>
      <c r="AS127" s="324"/>
      <c r="AT127" s="140">
        <f t="shared" si="46"/>
        <v>330</v>
      </c>
      <c r="AU127" s="324"/>
      <c r="AV127" s="324"/>
      <c r="AW127" s="324"/>
      <c r="AX127" s="324"/>
      <c r="AY127" s="324"/>
      <c r="AZ127" s="324"/>
      <c r="BA127" s="324"/>
      <c r="BB127" s="324"/>
      <c r="BC127" s="324"/>
      <c r="BD127" s="324"/>
      <c r="BE127" s="324"/>
      <c r="BF127" s="324"/>
      <c r="BG127" s="140">
        <f t="shared" si="47"/>
        <v>0</v>
      </c>
      <c r="BH127" s="324"/>
      <c r="BI127" s="324"/>
      <c r="BJ127" s="324"/>
      <c r="BK127" s="324"/>
      <c r="BL127" s="324"/>
      <c r="BM127" s="324"/>
      <c r="BN127" s="324"/>
      <c r="BO127" s="324"/>
      <c r="BP127" s="324"/>
      <c r="BQ127" s="324"/>
      <c r="BR127" s="324"/>
      <c r="BS127" s="324"/>
      <c r="BT127" s="140">
        <f t="shared" si="48"/>
        <v>0</v>
      </c>
      <c r="BU127" s="114">
        <f t="shared" si="49"/>
        <v>450</v>
      </c>
      <c r="BV127" s="432"/>
      <c r="BW127" s="432"/>
      <c r="BX127" s="432"/>
      <c r="BY127" s="432"/>
      <c r="BZ127" s="433"/>
      <c r="CA127" s="434"/>
      <c r="CB127" s="7" t="s">
        <v>483</v>
      </c>
      <c r="CC127" s="3"/>
      <c r="CD127" s="3"/>
      <c r="CE127" s="3"/>
      <c r="CF127" s="3"/>
      <c r="CG127" s="3"/>
      <c r="CH127" s="3"/>
      <c r="CI127" s="3"/>
      <c r="CJ127" s="3"/>
      <c r="CK127" s="3"/>
      <c r="CL127" s="3"/>
      <c r="CM127" s="3"/>
      <c r="CN127" s="3"/>
      <c r="CO127" s="4">
        <f t="shared" ref="CO127:CO142" si="75">SUM(CC127:CN127)</f>
        <v>0</v>
      </c>
      <c r="CP127" s="3"/>
      <c r="CQ127" s="3"/>
      <c r="CR127" s="3"/>
      <c r="CS127" s="3"/>
      <c r="CT127" s="3"/>
      <c r="CU127" s="3"/>
      <c r="CV127" s="3"/>
      <c r="CW127" s="3"/>
      <c r="CX127" s="3"/>
      <c r="CY127" s="3"/>
      <c r="CZ127" s="3"/>
      <c r="DA127" s="3">
        <v>1604</v>
      </c>
      <c r="DB127" s="4">
        <f t="shared" ref="DB127:DB142" si="76">SUM(CP127:DA127)</f>
        <v>1604</v>
      </c>
      <c r="DC127" s="3"/>
      <c r="DD127" s="3"/>
      <c r="DE127" s="3"/>
      <c r="DF127" s="3"/>
      <c r="DG127" s="3"/>
      <c r="DH127" s="3"/>
      <c r="DI127" s="3"/>
      <c r="DJ127" s="3"/>
      <c r="DK127" s="3"/>
      <c r="DL127" s="3"/>
      <c r="DM127" s="3"/>
      <c r="DN127" s="3"/>
      <c r="DO127" s="4">
        <f t="shared" ref="DO127:DO142" si="77">SUM(DC127:DN127)</f>
        <v>0</v>
      </c>
      <c r="DP127" s="3"/>
      <c r="DQ127" s="3"/>
      <c r="DR127" s="3"/>
      <c r="DS127" s="3"/>
      <c r="DT127" s="3"/>
      <c r="DU127" s="3"/>
      <c r="DV127" s="3"/>
      <c r="DW127" s="3"/>
      <c r="DX127" s="3"/>
      <c r="DY127" s="3"/>
      <c r="DZ127" s="3"/>
      <c r="EA127" s="3"/>
      <c r="EB127" s="4">
        <f t="shared" ref="EB127:EB142" si="78">SUM(DP127:EA127)</f>
        <v>0</v>
      </c>
      <c r="EC127" s="3"/>
      <c r="ED127" s="3"/>
      <c r="EE127" s="3"/>
      <c r="EF127" s="3"/>
      <c r="EG127" s="3"/>
      <c r="EH127" s="3"/>
      <c r="EI127" s="3"/>
      <c r="EJ127" s="3"/>
      <c r="EK127" s="3"/>
      <c r="EL127" s="3"/>
      <c r="EM127" s="3"/>
      <c r="EN127" s="3"/>
      <c r="EO127" s="4">
        <f t="shared" ref="EO127:EO142" si="79">SUM(EC127:EN127)</f>
        <v>0</v>
      </c>
      <c r="EP127" s="8">
        <f t="shared" ref="EP127:EP142" si="80">SUM(EO127,EB127,DO127,DB127,CO127)</f>
        <v>1604</v>
      </c>
      <c r="EQ127" s="181">
        <f>IFERROR(VLOOKUP(I127,CEI_012018!$A$1:$U$509,9,FALSE),0)</f>
        <v>0</v>
      </c>
      <c r="ER127" s="181">
        <f>IFERROR(VLOOKUP(I127,CEI_022018!$A$1:$U$509,9,FALSE),0)</f>
        <v>0</v>
      </c>
      <c r="ES127" s="181">
        <f>IFERROR(VLOOKUP(I127,CEI_032018!$A$1:$U$509,9,FALSE),0)</f>
        <v>0</v>
      </c>
      <c r="ET127" s="181">
        <f>IFERROR(VLOOKUP(I127,CEI_042018!$A$1:$U$491,9,FALSE),0)</f>
        <v>0</v>
      </c>
      <c r="EU127" s="181">
        <f>IFERROR(VLOOKUP(I127,CEI_052018!$A$1:$U$489,9,FALSE),0)</f>
        <v>0</v>
      </c>
      <c r="EV127" s="181">
        <f>IFERROR(VLOOKUP(I127,CEI_062018!$A$1:$U$489,9,FALSE),0)</f>
        <v>0</v>
      </c>
      <c r="EW127" s="181">
        <f>IFERROR(VLOOKUP(I127,CEI_072018!$A$1:$U$489,9,FALSE),0)</f>
        <v>0</v>
      </c>
      <c r="EX127" s="181">
        <f>IFERROR(VLOOKUP(I127,CEI_082018!$A$1:$U$489,9,FALSE),0)</f>
        <v>0</v>
      </c>
      <c r="EY127" s="181">
        <f>IFERROR(VLOOKUP(I127,CEI_092018!$A$1:$U$489,9,FALSE),0)</f>
        <v>0</v>
      </c>
      <c r="EZ127" s="181"/>
      <c r="FA127" s="181"/>
      <c r="FB127" s="181"/>
      <c r="FC127" s="181">
        <f>IFERROR(VLOOKUP(I127,CEI_092018!$A$1:$U$489,12,FALSE),0)</f>
        <v>0</v>
      </c>
      <c r="FD127" s="181">
        <f t="shared" si="71"/>
        <v>0</v>
      </c>
      <c r="FE127" s="181">
        <f t="shared" si="72"/>
        <v>0</v>
      </c>
      <c r="FF127"/>
      <c r="FG127"/>
      <c r="FH127"/>
      <c r="FI127"/>
      <c r="FJ127"/>
      <c r="FK127"/>
      <c r="FL127"/>
      <c r="FM127"/>
      <c r="FN127"/>
      <c r="FO127"/>
      <c r="FP127"/>
      <c r="FQ127"/>
      <c r="FR127"/>
      <c r="FS127"/>
      <c r="FT127"/>
      <c r="FU127"/>
      <c r="FV127"/>
      <c r="FW127"/>
      <c r="FX127"/>
      <c r="FY127"/>
      <c r="FZ127"/>
      <c r="GA127"/>
      <c r="GB127"/>
      <c r="GC127"/>
    </row>
    <row r="128" spans="1:185" ht="12.75" customHeight="1" x14ac:dyDescent="0.25">
      <c r="A128" s="202"/>
      <c r="B128" s="22" t="s">
        <v>57</v>
      </c>
      <c r="C128" s="34" t="s">
        <v>41</v>
      </c>
      <c r="D128" s="22" t="s">
        <v>58</v>
      </c>
      <c r="E128" s="25" t="s">
        <v>433</v>
      </c>
      <c r="F128" s="25" t="s">
        <v>58</v>
      </c>
      <c r="G128" s="25" t="s">
        <v>433</v>
      </c>
      <c r="H128" s="22" t="s">
        <v>56</v>
      </c>
      <c r="I128" s="404" t="s">
        <v>1925</v>
      </c>
      <c r="J128" s="37" t="s">
        <v>2052</v>
      </c>
      <c r="K128" s="23" t="s">
        <v>636</v>
      </c>
      <c r="L128" s="23" t="s">
        <v>632</v>
      </c>
      <c r="M128" s="23" t="s">
        <v>633</v>
      </c>
      <c r="N128" s="23" t="s">
        <v>1772</v>
      </c>
      <c r="O128" s="2"/>
      <c r="P128" s="2"/>
      <c r="Q128" s="2"/>
      <c r="R128" s="2"/>
      <c r="S128" s="2">
        <v>9</v>
      </c>
      <c r="T128" s="116">
        <f t="shared" si="44"/>
        <v>9</v>
      </c>
      <c r="U128" s="324"/>
      <c r="V128" s="324"/>
      <c r="W128" s="324"/>
      <c r="X128" s="324"/>
      <c r="Y128" s="324"/>
      <c r="Z128" s="324"/>
      <c r="AA128" s="324"/>
      <c r="AB128" s="324">
        <f>110-2</f>
        <v>108</v>
      </c>
      <c r="AC128" s="324">
        <v>110</v>
      </c>
      <c r="AD128" s="324">
        <v>110</v>
      </c>
      <c r="AE128" s="324">
        <v>110</v>
      </c>
      <c r="AF128" s="324"/>
      <c r="AG128" s="140">
        <f t="shared" si="45"/>
        <v>438</v>
      </c>
      <c r="AH128" s="324"/>
      <c r="AI128" s="324"/>
      <c r="AJ128" s="324"/>
      <c r="AK128" s="324"/>
      <c r="AL128" s="324"/>
      <c r="AM128" s="324"/>
      <c r="AN128" s="324"/>
      <c r="AO128" s="324"/>
      <c r="AP128" s="324"/>
      <c r="AQ128" s="324"/>
      <c r="AR128" s="324"/>
      <c r="AS128" s="324"/>
      <c r="AT128" s="140">
        <f t="shared" si="46"/>
        <v>0</v>
      </c>
      <c r="AU128" s="324"/>
      <c r="AV128" s="324"/>
      <c r="AW128" s="324"/>
      <c r="AX128" s="324"/>
      <c r="AY128" s="324"/>
      <c r="AZ128" s="324"/>
      <c r="BA128" s="324"/>
      <c r="BB128" s="324"/>
      <c r="BC128" s="324"/>
      <c r="BD128" s="324"/>
      <c r="BE128" s="324"/>
      <c r="BF128" s="324"/>
      <c r="BG128" s="140">
        <f t="shared" si="47"/>
        <v>0</v>
      </c>
      <c r="BH128" s="324"/>
      <c r="BI128" s="324"/>
      <c r="BJ128" s="324"/>
      <c r="BK128" s="324"/>
      <c r="BL128" s="324"/>
      <c r="BM128" s="324"/>
      <c r="BN128" s="324"/>
      <c r="BO128" s="324"/>
      <c r="BP128" s="324"/>
      <c r="BQ128" s="324"/>
      <c r="BR128" s="324"/>
      <c r="BS128" s="324"/>
      <c r="BT128" s="140">
        <f t="shared" si="48"/>
        <v>0</v>
      </c>
      <c r="BU128" s="114">
        <f t="shared" si="49"/>
        <v>447</v>
      </c>
      <c r="BV128" s="372">
        <v>1</v>
      </c>
      <c r="BW128" s="372">
        <v>1</v>
      </c>
      <c r="BX128" s="372">
        <v>-1</v>
      </c>
      <c r="BY128" s="372">
        <v>-1</v>
      </c>
      <c r="BZ128" s="436">
        <f>IFERROR((EX128/T128%),0)</f>
        <v>0</v>
      </c>
      <c r="CA128" s="436">
        <f>IFERROR((FD128/T128%),0)</f>
        <v>102.77777777777779</v>
      </c>
      <c r="CB128" s="7" t="s">
        <v>72</v>
      </c>
      <c r="CC128" s="84">
        <v>0</v>
      </c>
      <c r="CD128" s="84">
        <v>0</v>
      </c>
      <c r="CE128" s="84">
        <v>0</v>
      </c>
      <c r="CF128" s="84">
        <v>0</v>
      </c>
      <c r="CG128" s="84">
        <v>0</v>
      </c>
      <c r="CH128" s="84">
        <v>0</v>
      </c>
      <c r="CI128" s="84">
        <v>0</v>
      </c>
      <c r="CJ128" s="84">
        <v>0</v>
      </c>
      <c r="CK128" s="84">
        <v>0</v>
      </c>
      <c r="CL128" s="84">
        <v>0</v>
      </c>
      <c r="CM128" s="84">
        <v>0</v>
      </c>
      <c r="CN128" s="84">
        <v>1.8039182134406337E-3</v>
      </c>
      <c r="CO128" s="4">
        <f t="shared" si="75"/>
        <v>1.8039182134406337E-3</v>
      </c>
      <c r="CP128" s="84">
        <v>0</v>
      </c>
      <c r="CQ128" s="84">
        <v>0</v>
      </c>
      <c r="CR128" s="84">
        <v>0</v>
      </c>
      <c r="CS128" s="84">
        <v>0</v>
      </c>
      <c r="CT128" s="84">
        <v>0</v>
      </c>
      <c r="CU128" s="84">
        <v>0</v>
      </c>
      <c r="CV128" s="84">
        <v>0</v>
      </c>
      <c r="CW128" s="84">
        <v>1.5531054420387835E-2</v>
      </c>
      <c r="CX128" s="84">
        <v>1.5531054420387835E-2</v>
      </c>
      <c r="CY128" s="84">
        <v>1.5531054420387835E-2</v>
      </c>
      <c r="CZ128" s="84">
        <v>1.5531054420387835E-2</v>
      </c>
      <c r="DA128" s="84">
        <v>0</v>
      </c>
      <c r="DB128" s="4">
        <f t="shared" si="76"/>
        <v>6.2124217681551339E-2</v>
      </c>
      <c r="DC128" s="84">
        <v>0</v>
      </c>
      <c r="DD128" s="84">
        <v>0</v>
      </c>
      <c r="DE128" s="84">
        <v>0</v>
      </c>
      <c r="DF128" s="84">
        <v>0</v>
      </c>
      <c r="DG128" s="84">
        <v>0</v>
      </c>
      <c r="DH128" s="84">
        <v>0</v>
      </c>
      <c r="DI128" s="84">
        <v>0</v>
      </c>
      <c r="DJ128" s="84">
        <v>0</v>
      </c>
      <c r="DK128" s="84">
        <v>0</v>
      </c>
      <c r="DL128" s="84">
        <v>0</v>
      </c>
      <c r="DM128" s="84">
        <v>0</v>
      </c>
      <c r="DN128" s="84">
        <v>0</v>
      </c>
      <c r="DO128" s="4">
        <f t="shared" si="77"/>
        <v>0</v>
      </c>
      <c r="DP128" s="84">
        <v>0</v>
      </c>
      <c r="DQ128" s="84">
        <v>0</v>
      </c>
      <c r="DR128" s="84">
        <v>0</v>
      </c>
      <c r="DS128" s="84">
        <v>0</v>
      </c>
      <c r="DT128" s="84">
        <v>0</v>
      </c>
      <c r="DU128" s="84">
        <v>0</v>
      </c>
      <c r="DV128" s="84">
        <v>0</v>
      </c>
      <c r="DW128" s="84">
        <v>0</v>
      </c>
      <c r="DX128" s="84">
        <v>0</v>
      </c>
      <c r="DY128" s="84">
        <v>0</v>
      </c>
      <c r="DZ128" s="84">
        <v>0</v>
      </c>
      <c r="EA128" s="84">
        <v>0</v>
      </c>
      <c r="EB128" s="4">
        <f t="shared" si="78"/>
        <v>0</v>
      </c>
      <c r="EC128" s="84">
        <v>0</v>
      </c>
      <c r="ED128" s="84">
        <v>0</v>
      </c>
      <c r="EE128" s="84">
        <v>0</v>
      </c>
      <c r="EF128" s="84">
        <v>0</v>
      </c>
      <c r="EG128" s="84">
        <v>0</v>
      </c>
      <c r="EH128" s="84">
        <v>0</v>
      </c>
      <c r="EI128" s="84">
        <v>0</v>
      </c>
      <c r="EJ128" s="84">
        <v>0</v>
      </c>
      <c r="EK128" s="84">
        <v>0</v>
      </c>
      <c r="EL128" s="84">
        <v>0</v>
      </c>
      <c r="EM128" s="84">
        <v>0</v>
      </c>
      <c r="EN128" s="84">
        <v>0</v>
      </c>
      <c r="EO128" s="4">
        <f t="shared" si="79"/>
        <v>0</v>
      </c>
      <c r="EP128" s="8">
        <f t="shared" si="80"/>
        <v>6.3928135894991966E-2</v>
      </c>
      <c r="EQ128" s="181">
        <f>IFERROR(VLOOKUP(I128,CEI_012018!$A$1:$U$509,9,FALSE),0)</f>
        <v>0</v>
      </c>
      <c r="ER128" s="181">
        <f>IFERROR(VLOOKUP(I128,CEI_022018!$A$1:$U$509,9,FALSE),0)</f>
        <v>0</v>
      </c>
      <c r="ES128" s="181">
        <f>IFERROR(VLOOKUP(I128,CEI_032018!$A$1:$U$509,9,FALSE),0)</f>
        <v>0</v>
      </c>
      <c r="ET128" s="181">
        <f>IFERROR(VLOOKUP(I128,CEI_042018!$A$1:$U$491,9,FALSE),0)</f>
        <v>0</v>
      </c>
      <c r="EU128" s="181">
        <f>IFERROR(VLOOKUP(I128,CEI_052018!$A$1:$U$489,9,FALSE),0)</f>
        <v>0</v>
      </c>
      <c r="EV128" s="181">
        <f>IFERROR(VLOOKUP(I128,CEI_062018!$A$1:$U$489,9,FALSE),0)</f>
        <v>0</v>
      </c>
      <c r="EW128" s="181">
        <f>IFERROR(VLOOKUP(I128,CEI_072018!$A$1:$U$489,9,FALSE),0)</f>
        <v>0</v>
      </c>
      <c r="EX128" s="181">
        <f>IFERROR(VLOOKUP(I128,CEI_082018!$A$1:$U$489,9,FALSE),0)</f>
        <v>0</v>
      </c>
      <c r="EY128" s="181">
        <f>IFERROR(VLOOKUP(I128,CEI_092018!$A$1:$U$489,9,FALSE),0)</f>
        <v>0</v>
      </c>
      <c r="EZ128" s="181"/>
      <c r="FA128" s="181"/>
      <c r="FB128" s="181"/>
      <c r="FC128" s="181">
        <f>IFERROR(VLOOKUP(I128,CEI_092018!$A$1:$U$489,12,FALSE),0)</f>
        <v>9.25</v>
      </c>
      <c r="FD128" s="181">
        <f t="shared" si="71"/>
        <v>9.25</v>
      </c>
      <c r="FE128" s="181">
        <f t="shared" si="72"/>
        <v>-0.25</v>
      </c>
      <c r="FF128"/>
      <c r="FG128"/>
      <c r="FH128"/>
      <c r="FI128"/>
      <c r="FJ128"/>
      <c r="FK128"/>
      <c r="FL128"/>
      <c r="FM128"/>
      <c r="FN128"/>
      <c r="FO128"/>
      <c r="FP128"/>
      <c r="FQ128"/>
      <c r="FR128"/>
      <c r="FS128"/>
      <c r="FT128"/>
      <c r="FU128"/>
      <c r="FV128"/>
      <c r="FW128"/>
      <c r="FX128"/>
      <c r="FY128"/>
      <c r="FZ128"/>
      <c r="GA128"/>
      <c r="GB128"/>
      <c r="GC128"/>
    </row>
    <row r="129" spans="1:185" ht="12.75" customHeight="1" x14ac:dyDescent="0.25">
      <c r="A129" s="202"/>
      <c r="B129" s="22" t="s">
        <v>57</v>
      </c>
      <c r="C129" s="34" t="s">
        <v>41</v>
      </c>
      <c r="D129" s="22" t="s">
        <v>61</v>
      </c>
      <c r="E129" s="25" t="s">
        <v>1542</v>
      </c>
      <c r="F129" s="25" t="s">
        <v>61</v>
      </c>
      <c r="G129" s="25" t="s">
        <v>1542</v>
      </c>
      <c r="H129" s="22" t="s">
        <v>226</v>
      </c>
      <c r="I129" s="423" t="s">
        <v>565</v>
      </c>
      <c r="J129" s="37"/>
      <c r="K129" s="23" t="s">
        <v>288</v>
      </c>
      <c r="L129" s="23" t="s">
        <v>289</v>
      </c>
      <c r="M129" s="23" t="s">
        <v>290</v>
      </c>
      <c r="N129" s="23"/>
      <c r="O129" s="2"/>
      <c r="P129" s="2"/>
      <c r="Q129" s="2"/>
      <c r="R129" s="2"/>
      <c r="S129" s="2"/>
      <c r="T129" s="116">
        <f t="shared" si="44"/>
        <v>0</v>
      </c>
      <c r="U129" s="324"/>
      <c r="V129" s="324"/>
      <c r="W129" s="324"/>
      <c r="X129" s="324"/>
      <c r="Y129" s="324"/>
      <c r="Z129" s="324"/>
      <c r="AA129" s="324"/>
      <c r="AB129" s="324"/>
      <c r="AC129" s="324"/>
      <c r="AD129" s="324"/>
      <c r="AE129" s="324"/>
      <c r="AF129" s="324"/>
      <c r="AG129" s="140">
        <f t="shared" si="45"/>
        <v>0</v>
      </c>
      <c r="AH129" s="324"/>
      <c r="AI129" s="324"/>
      <c r="AJ129" s="324"/>
      <c r="AK129" s="324"/>
      <c r="AL129" s="324"/>
      <c r="AM129" s="324"/>
      <c r="AN129" s="324"/>
      <c r="AO129" s="324"/>
      <c r="AP129" s="324"/>
      <c r="AQ129" s="324"/>
      <c r="AR129" s="324"/>
      <c r="AS129" s="324">
        <v>100</v>
      </c>
      <c r="AT129" s="140">
        <f t="shared" si="46"/>
        <v>100</v>
      </c>
      <c r="AU129" s="324"/>
      <c r="AV129" s="324"/>
      <c r="AW129" s="324"/>
      <c r="AX129" s="324"/>
      <c r="AY129" s="324"/>
      <c r="AZ129" s="324"/>
      <c r="BA129" s="324"/>
      <c r="BB129" s="324"/>
      <c r="BC129" s="324"/>
      <c r="BD129" s="324"/>
      <c r="BE129" s="324"/>
      <c r="BF129" s="324">
        <v>160</v>
      </c>
      <c r="BG129" s="140">
        <f t="shared" si="47"/>
        <v>160</v>
      </c>
      <c r="BH129" s="324"/>
      <c r="BI129" s="324"/>
      <c r="BJ129" s="324"/>
      <c r="BK129" s="324"/>
      <c r="BL129" s="324"/>
      <c r="BM129" s="324"/>
      <c r="BN129" s="324"/>
      <c r="BO129" s="324"/>
      <c r="BP129" s="324"/>
      <c r="BQ129" s="324"/>
      <c r="BR129" s="324"/>
      <c r="BS129" s="324">
        <v>160</v>
      </c>
      <c r="BT129" s="140">
        <f t="shared" si="48"/>
        <v>160</v>
      </c>
      <c r="BU129" s="114">
        <f t="shared" si="49"/>
        <v>420</v>
      </c>
      <c r="BV129" s="432"/>
      <c r="BW129" s="432"/>
      <c r="BX129" s="432"/>
      <c r="BY129" s="432"/>
      <c r="BZ129" s="433"/>
      <c r="CA129" s="434"/>
      <c r="CB129" s="7" t="s">
        <v>73</v>
      </c>
      <c r="CC129" s="3"/>
      <c r="CD129" s="3"/>
      <c r="CE129" s="3"/>
      <c r="CF129" s="3"/>
      <c r="CG129" s="3"/>
      <c r="CH129" s="3"/>
      <c r="CI129" s="3"/>
      <c r="CJ129" s="3"/>
      <c r="CK129" s="3"/>
      <c r="CL129" s="3"/>
      <c r="CM129" s="3"/>
      <c r="CN129" s="3"/>
      <c r="CO129" s="4">
        <f t="shared" si="75"/>
        <v>0</v>
      </c>
      <c r="CP129" s="3"/>
      <c r="CQ129" s="3"/>
      <c r="CR129" s="3"/>
      <c r="CS129" s="3"/>
      <c r="CT129" s="3"/>
      <c r="CU129" s="3"/>
      <c r="CV129" s="3"/>
      <c r="CW129" s="3"/>
      <c r="CX129" s="3"/>
      <c r="CY129" s="3"/>
      <c r="CZ129" s="3"/>
      <c r="DA129" s="3"/>
      <c r="DB129" s="4">
        <f t="shared" si="76"/>
        <v>0</v>
      </c>
      <c r="DC129" s="3"/>
      <c r="DD129" s="3"/>
      <c r="DE129" s="3"/>
      <c r="DF129" s="3"/>
      <c r="DG129" s="3"/>
      <c r="DH129" s="3"/>
      <c r="DI129" s="3"/>
      <c r="DJ129" s="3"/>
      <c r="DK129" s="3"/>
      <c r="DL129" s="3"/>
      <c r="DM129" s="3"/>
      <c r="DN129" s="3">
        <v>1</v>
      </c>
      <c r="DO129" s="4">
        <f t="shared" si="77"/>
        <v>1</v>
      </c>
      <c r="DP129" s="3"/>
      <c r="DQ129" s="3"/>
      <c r="DR129" s="3"/>
      <c r="DS129" s="3"/>
      <c r="DT129" s="3"/>
      <c r="DU129" s="3"/>
      <c r="DV129" s="3"/>
      <c r="DW129" s="3"/>
      <c r="DX129" s="3"/>
      <c r="DY129" s="3"/>
      <c r="DZ129" s="3"/>
      <c r="EA129" s="3">
        <v>1</v>
      </c>
      <c r="EB129" s="4">
        <f t="shared" si="78"/>
        <v>1</v>
      </c>
      <c r="EC129" s="3"/>
      <c r="ED129" s="3"/>
      <c r="EE129" s="3"/>
      <c r="EF129" s="3"/>
      <c r="EG129" s="3"/>
      <c r="EH129" s="3"/>
      <c r="EI129" s="3"/>
      <c r="EJ129" s="3"/>
      <c r="EK129" s="3"/>
      <c r="EL129" s="3"/>
      <c r="EM129" s="3"/>
      <c r="EN129" s="3">
        <v>1</v>
      </c>
      <c r="EO129" s="4">
        <f t="shared" si="79"/>
        <v>1</v>
      </c>
      <c r="EP129" s="8">
        <f t="shared" si="80"/>
        <v>3</v>
      </c>
      <c r="EQ129" s="181">
        <f>IFERROR(VLOOKUP(I129,CEI_012018!$A$1:$U$509,9,FALSE),0)</f>
        <v>0</v>
      </c>
      <c r="ER129" s="181">
        <f>IFERROR(VLOOKUP(I129,CEI_022018!$A$1:$U$509,9,FALSE),0)</f>
        <v>0</v>
      </c>
      <c r="ES129" s="181">
        <f>IFERROR(VLOOKUP(I129,CEI_032018!$A$1:$U$509,9,FALSE),0)</f>
        <v>0</v>
      </c>
      <c r="ET129" s="181">
        <f>IFERROR(VLOOKUP(I129,CEI_042018!$A$1:$U$491,9,FALSE),0)</f>
        <v>0</v>
      </c>
      <c r="EU129" s="181">
        <f>IFERROR(VLOOKUP(I129,CEI_052018!$A$1:$U$489,9,FALSE),0)</f>
        <v>0</v>
      </c>
      <c r="EV129" s="181">
        <f>IFERROR(VLOOKUP(I129,CEI_062018!$A$1:$U$489,9,FALSE),0)</f>
        <v>0</v>
      </c>
      <c r="EW129" s="181">
        <f>IFERROR(VLOOKUP(I129,CEI_072018!$A$1:$U$489,9,FALSE),0)</f>
        <v>0</v>
      </c>
      <c r="EX129" s="181">
        <f>IFERROR(VLOOKUP(I129,CEI_082018!$A$1:$U$489,9,FALSE),0)</f>
        <v>0</v>
      </c>
      <c r="EY129" s="181">
        <f>IFERROR(VLOOKUP(I129,CEI_092018!$A$1:$U$489,9,FALSE),0)</f>
        <v>0</v>
      </c>
      <c r="EZ129" s="181"/>
      <c r="FA129" s="181"/>
      <c r="FB129" s="181"/>
      <c r="FC129" s="181">
        <f>IFERROR(VLOOKUP(I129,CEI_092018!$A$1:$U$489,12,FALSE),0)</f>
        <v>0</v>
      </c>
      <c r="FD129" s="181">
        <f t="shared" si="71"/>
        <v>0</v>
      </c>
      <c r="FE129" s="181">
        <f t="shared" si="72"/>
        <v>0</v>
      </c>
      <c r="FF129"/>
      <c r="FG129"/>
      <c r="FH129"/>
      <c r="FI129"/>
      <c r="FJ129"/>
      <c r="FK129"/>
      <c r="FL129"/>
      <c r="FM129"/>
      <c r="FN129"/>
      <c r="FO129"/>
      <c r="FP129"/>
      <c r="FQ129"/>
      <c r="FR129"/>
      <c r="FS129"/>
      <c r="FT129"/>
      <c r="FU129"/>
      <c r="FV129"/>
      <c r="FW129"/>
      <c r="FX129"/>
      <c r="FY129"/>
      <c r="FZ129"/>
      <c r="GA129"/>
      <c r="GB129"/>
      <c r="GC129"/>
    </row>
    <row r="130" spans="1:185" ht="12.75" customHeight="1" x14ac:dyDescent="0.25">
      <c r="A130" s="202"/>
      <c r="B130" s="22" t="s">
        <v>57</v>
      </c>
      <c r="C130" s="34" t="s">
        <v>41</v>
      </c>
      <c r="D130" s="22" t="s">
        <v>58</v>
      </c>
      <c r="E130" s="25" t="s">
        <v>292</v>
      </c>
      <c r="F130" s="25" t="s">
        <v>58</v>
      </c>
      <c r="G130" s="25" t="s">
        <v>292</v>
      </c>
      <c r="H130" s="22" t="s">
        <v>56</v>
      </c>
      <c r="I130" s="423" t="s">
        <v>565</v>
      </c>
      <c r="J130" s="37"/>
      <c r="K130" s="23" t="s">
        <v>307</v>
      </c>
      <c r="L130" s="23" t="s">
        <v>308</v>
      </c>
      <c r="M130" s="23" t="s">
        <v>309</v>
      </c>
      <c r="N130" s="23"/>
      <c r="O130" s="2"/>
      <c r="P130" s="2"/>
      <c r="Q130" s="2"/>
      <c r="R130" s="2"/>
      <c r="S130" s="2"/>
      <c r="T130" s="116">
        <f t="shared" si="44"/>
        <v>0</v>
      </c>
      <c r="U130" s="324"/>
      <c r="V130" s="324"/>
      <c r="W130" s="324"/>
      <c r="X130" s="324"/>
      <c r="Y130" s="324"/>
      <c r="Z130" s="324"/>
      <c r="AA130" s="324"/>
      <c r="AB130" s="324"/>
      <c r="AC130" s="324">
        <v>100</v>
      </c>
      <c r="AD130" s="324"/>
      <c r="AE130" s="324"/>
      <c r="AF130" s="324"/>
      <c r="AG130" s="140">
        <f t="shared" si="45"/>
        <v>100</v>
      </c>
      <c r="AH130" s="324"/>
      <c r="AI130" s="324"/>
      <c r="AJ130" s="324"/>
      <c r="AK130" s="324"/>
      <c r="AL130" s="324"/>
      <c r="AM130" s="324"/>
      <c r="AN130" s="324"/>
      <c r="AO130" s="324"/>
      <c r="AP130" s="324">
        <v>100</v>
      </c>
      <c r="AQ130" s="324">
        <v>100</v>
      </c>
      <c r="AR130" s="324"/>
      <c r="AS130" s="324"/>
      <c r="AT130" s="140">
        <f t="shared" si="46"/>
        <v>200</v>
      </c>
      <c r="AU130" s="324"/>
      <c r="AV130" s="324"/>
      <c r="AW130" s="324"/>
      <c r="AX130" s="324"/>
      <c r="AY130" s="324"/>
      <c r="AZ130" s="324"/>
      <c r="BA130" s="324"/>
      <c r="BB130" s="324"/>
      <c r="BC130" s="324">
        <v>100</v>
      </c>
      <c r="BD130" s="324"/>
      <c r="BE130" s="324"/>
      <c r="BF130" s="324"/>
      <c r="BG130" s="140">
        <f t="shared" si="47"/>
        <v>100</v>
      </c>
      <c r="BH130" s="324"/>
      <c r="BI130" s="324"/>
      <c r="BJ130" s="324"/>
      <c r="BK130" s="324"/>
      <c r="BL130" s="324"/>
      <c r="BM130" s="324"/>
      <c r="BN130" s="324"/>
      <c r="BO130" s="324"/>
      <c r="BP130" s="324"/>
      <c r="BQ130" s="324"/>
      <c r="BR130" s="324"/>
      <c r="BS130" s="324"/>
      <c r="BT130" s="140">
        <f t="shared" si="48"/>
        <v>0</v>
      </c>
      <c r="BU130" s="114">
        <f t="shared" si="49"/>
        <v>400</v>
      </c>
      <c r="BV130" s="432"/>
      <c r="BW130" s="432"/>
      <c r="BX130" s="432"/>
      <c r="BY130" s="432"/>
      <c r="BZ130" s="433"/>
      <c r="CA130" s="434"/>
      <c r="CB130" s="7" t="s">
        <v>72</v>
      </c>
      <c r="CC130" s="83">
        <v>0</v>
      </c>
      <c r="CD130" s="83">
        <v>0</v>
      </c>
      <c r="CE130" s="83">
        <v>0</v>
      </c>
      <c r="CF130" s="83">
        <v>0</v>
      </c>
      <c r="CG130" s="84">
        <v>0</v>
      </c>
      <c r="CH130" s="84">
        <v>0</v>
      </c>
      <c r="CI130" s="84">
        <v>0</v>
      </c>
      <c r="CJ130" s="84">
        <v>0</v>
      </c>
      <c r="CK130" s="84">
        <v>0</v>
      </c>
      <c r="CL130" s="84">
        <v>0</v>
      </c>
      <c r="CM130" s="84">
        <v>0</v>
      </c>
      <c r="CN130" s="84">
        <v>0</v>
      </c>
      <c r="CO130" s="4">
        <f t="shared" si="75"/>
        <v>0</v>
      </c>
      <c r="CP130" s="84">
        <v>0</v>
      </c>
      <c r="CQ130" s="84">
        <v>0</v>
      </c>
      <c r="CR130" s="84">
        <v>0</v>
      </c>
      <c r="CS130" s="84">
        <v>0</v>
      </c>
      <c r="CT130" s="84">
        <v>0</v>
      </c>
      <c r="CU130" s="84">
        <v>0</v>
      </c>
      <c r="CV130" s="84">
        <v>0</v>
      </c>
      <c r="CW130" s="84">
        <v>0</v>
      </c>
      <c r="CX130" s="84">
        <v>1.4119140382170759E-2</v>
      </c>
      <c r="CY130" s="84">
        <v>0</v>
      </c>
      <c r="CZ130" s="84">
        <v>0</v>
      </c>
      <c r="DA130" s="84">
        <v>0</v>
      </c>
      <c r="DB130" s="4">
        <f t="shared" si="76"/>
        <v>1.4119140382170759E-2</v>
      </c>
      <c r="DC130" s="84">
        <v>0</v>
      </c>
      <c r="DD130" s="84">
        <v>0</v>
      </c>
      <c r="DE130" s="84">
        <v>0</v>
      </c>
      <c r="DF130" s="84">
        <v>0</v>
      </c>
      <c r="DG130" s="84">
        <v>0</v>
      </c>
      <c r="DH130" s="84">
        <v>0</v>
      </c>
      <c r="DI130" s="84">
        <v>0</v>
      </c>
      <c r="DJ130" s="84">
        <v>0</v>
      </c>
      <c r="DK130" s="84">
        <v>1.1396979208444053E-2</v>
      </c>
      <c r="DL130" s="84">
        <v>1.1396979208444053E-2</v>
      </c>
      <c r="DM130" s="84">
        <v>0</v>
      </c>
      <c r="DN130" s="84">
        <v>0</v>
      </c>
      <c r="DO130" s="4">
        <f t="shared" si="77"/>
        <v>2.2793958416888107E-2</v>
      </c>
      <c r="DP130" s="84">
        <v>0</v>
      </c>
      <c r="DQ130" s="84">
        <v>0</v>
      </c>
      <c r="DR130" s="84">
        <v>0</v>
      </c>
      <c r="DS130" s="84">
        <v>0</v>
      </c>
      <c r="DT130" s="84">
        <v>0</v>
      </c>
      <c r="DU130" s="84">
        <v>0</v>
      </c>
      <c r="DV130" s="84">
        <v>0</v>
      </c>
      <c r="DW130" s="84">
        <v>0</v>
      </c>
      <c r="DX130" s="84">
        <v>1.1902899951126693E-2</v>
      </c>
      <c r="DY130" s="84">
        <v>0</v>
      </c>
      <c r="DZ130" s="84">
        <v>0</v>
      </c>
      <c r="EA130" s="84">
        <v>0</v>
      </c>
      <c r="EB130" s="4">
        <f t="shared" si="78"/>
        <v>1.1902899951126693E-2</v>
      </c>
      <c r="EC130" s="84">
        <v>0</v>
      </c>
      <c r="ED130" s="84">
        <v>0</v>
      </c>
      <c r="EE130" s="84">
        <v>0</v>
      </c>
      <c r="EF130" s="84">
        <v>0</v>
      </c>
      <c r="EG130" s="84">
        <v>0</v>
      </c>
      <c r="EH130" s="84">
        <v>0</v>
      </c>
      <c r="EI130" s="84">
        <v>0</v>
      </c>
      <c r="EJ130" s="84">
        <v>0</v>
      </c>
      <c r="EK130" s="84">
        <v>0</v>
      </c>
      <c r="EL130" s="84">
        <v>0</v>
      </c>
      <c r="EM130" s="84">
        <v>0</v>
      </c>
      <c r="EN130" s="84">
        <v>0</v>
      </c>
      <c r="EO130" s="4">
        <f t="shared" si="79"/>
        <v>0</v>
      </c>
      <c r="EP130" s="8">
        <f t="shared" si="80"/>
        <v>4.8815998750185552E-2</v>
      </c>
      <c r="EQ130" s="181">
        <f>IFERROR(VLOOKUP(I130,CEI_012018!$A$1:$U$509,9,FALSE),0)</f>
        <v>0</v>
      </c>
      <c r="ER130" s="181">
        <f>IFERROR(VLOOKUP(I130,CEI_022018!$A$1:$U$509,9,FALSE),0)</f>
        <v>0</v>
      </c>
      <c r="ES130" s="181">
        <f>IFERROR(VLOOKUP(I130,CEI_032018!$A$1:$U$509,9,FALSE),0)</f>
        <v>0</v>
      </c>
      <c r="ET130" s="181">
        <f>IFERROR(VLOOKUP(I130,CEI_042018!$A$1:$U$491,9,FALSE),0)</f>
        <v>0</v>
      </c>
      <c r="EU130" s="181">
        <f>IFERROR(VLOOKUP(I130,CEI_052018!$A$1:$U$489,9,FALSE),0)</f>
        <v>0</v>
      </c>
      <c r="EV130" s="181">
        <f>IFERROR(VLOOKUP(I130,CEI_062018!$A$1:$U$489,9,FALSE),0)</f>
        <v>0</v>
      </c>
      <c r="EW130" s="181">
        <f>IFERROR(VLOOKUP(I130,CEI_072018!$A$1:$U$489,9,FALSE),0)</f>
        <v>0</v>
      </c>
      <c r="EX130" s="181">
        <f>IFERROR(VLOOKUP(I130,CEI_082018!$A$1:$U$489,9,FALSE),0)</f>
        <v>0</v>
      </c>
      <c r="EY130" s="181">
        <f>IFERROR(VLOOKUP(I130,CEI_092018!$A$1:$U$489,9,FALSE),0)</f>
        <v>0</v>
      </c>
      <c r="EZ130" s="181"/>
      <c r="FA130" s="181"/>
      <c r="FB130" s="181"/>
      <c r="FC130" s="181">
        <f>IFERROR(VLOOKUP(I130,CEI_092018!$A$1:$U$489,12,FALSE),0)</f>
        <v>0</v>
      </c>
      <c r="FD130" s="181">
        <f t="shared" si="71"/>
        <v>0</v>
      </c>
      <c r="FE130" s="181">
        <f t="shared" si="72"/>
        <v>0</v>
      </c>
      <c r="FF130"/>
      <c r="FG130"/>
      <c r="FH130"/>
      <c r="FI130"/>
      <c r="FJ130"/>
      <c r="FK130"/>
      <c r="FL130"/>
      <c r="FM130"/>
      <c r="FN130"/>
      <c r="FO130"/>
      <c r="FP130"/>
      <c r="FQ130"/>
      <c r="FR130"/>
      <c r="FS130"/>
      <c r="FT130"/>
      <c r="FU130"/>
      <c r="FV130"/>
      <c r="FW130"/>
      <c r="FX130"/>
      <c r="FY130"/>
      <c r="FZ130"/>
      <c r="GA130"/>
      <c r="GB130"/>
      <c r="GC130"/>
    </row>
    <row r="131" spans="1:185" ht="12.75" customHeight="1" x14ac:dyDescent="0.25">
      <c r="A131" s="202"/>
      <c r="B131" s="22" t="s">
        <v>57</v>
      </c>
      <c r="C131" s="34" t="s">
        <v>41</v>
      </c>
      <c r="D131" s="22" t="s">
        <v>55</v>
      </c>
      <c r="E131" s="25" t="s">
        <v>616</v>
      </c>
      <c r="F131" s="25" t="s">
        <v>55</v>
      </c>
      <c r="G131" s="25" t="s">
        <v>616</v>
      </c>
      <c r="H131" s="22" t="s">
        <v>56</v>
      </c>
      <c r="I131" s="423" t="s">
        <v>565</v>
      </c>
      <c r="J131" s="37"/>
      <c r="K131" s="23" t="s">
        <v>91</v>
      </c>
      <c r="L131" s="23" t="s">
        <v>92</v>
      </c>
      <c r="M131" s="23" t="s">
        <v>79</v>
      </c>
      <c r="N131" s="23"/>
      <c r="O131" s="2"/>
      <c r="P131" s="2"/>
      <c r="Q131" s="2"/>
      <c r="R131" s="2"/>
      <c r="S131" s="2">
        <v>35</v>
      </c>
      <c r="T131" s="116">
        <f t="shared" si="44"/>
        <v>35</v>
      </c>
      <c r="U131" s="324"/>
      <c r="V131" s="324"/>
      <c r="W131" s="324"/>
      <c r="X131" s="324">
        <v>106.322</v>
      </c>
      <c r="Y131" s="324">
        <v>101.762</v>
      </c>
      <c r="Z131" s="324">
        <v>95</v>
      </c>
      <c r="AA131" s="324"/>
      <c r="AB131" s="324"/>
      <c r="AC131" s="324"/>
      <c r="AD131" s="324"/>
      <c r="AE131" s="324"/>
      <c r="AF131" s="324"/>
      <c r="AG131" s="140">
        <f t="shared" si="45"/>
        <v>303.084</v>
      </c>
      <c r="AH131" s="324"/>
      <c r="AI131" s="324"/>
      <c r="AJ131" s="324"/>
      <c r="AK131" s="324"/>
      <c r="AL131" s="324"/>
      <c r="AM131" s="324"/>
      <c r="AN131" s="324"/>
      <c r="AO131" s="324"/>
      <c r="AP131" s="324"/>
      <c r="AQ131" s="324"/>
      <c r="AR131" s="324"/>
      <c r="AS131" s="324"/>
      <c r="AT131" s="140">
        <f t="shared" si="46"/>
        <v>0</v>
      </c>
      <c r="AU131" s="324"/>
      <c r="AV131" s="324"/>
      <c r="AW131" s="324"/>
      <c r="AX131" s="324"/>
      <c r="AY131" s="324"/>
      <c r="AZ131" s="324"/>
      <c r="BA131" s="324"/>
      <c r="BB131" s="324"/>
      <c r="BC131" s="324"/>
      <c r="BD131" s="324"/>
      <c r="BE131" s="324"/>
      <c r="BF131" s="324"/>
      <c r="BG131" s="140">
        <f t="shared" si="47"/>
        <v>0</v>
      </c>
      <c r="BH131" s="324"/>
      <c r="BI131" s="324"/>
      <c r="BJ131" s="324"/>
      <c r="BK131" s="324"/>
      <c r="BL131" s="324"/>
      <c r="BM131" s="324"/>
      <c r="BN131" s="324"/>
      <c r="BO131" s="324"/>
      <c r="BP131" s="324"/>
      <c r="BQ131" s="324"/>
      <c r="BR131" s="324"/>
      <c r="BS131" s="324"/>
      <c r="BT131" s="140">
        <f t="shared" si="48"/>
        <v>0</v>
      </c>
      <c r="BU131" s="488">
        <f t="shared" si="49"/>
        <v>338.084</v>
      </c>
      <c r="BV131" s="372">
        <v>-1</v>
      </c>
      <c r="BW131" s="372">
        <v>-1</v>
      </c>
      <c r="BX131" s="372">
        <v>-1</v>
      </c>
      <c r="BY131" s="372">
        <v>-1</v>
      </c>
      <c r="BZ131" s="436">
        <f>IFERROR((EX131/T131%),0)</f>
        <v>0</v>
      </c>
      <c r="CA131" s="428">
        <f>IFERROR((FD131/T131%),0)</f>
        <v>0</v>
      </c>
      <c r="CB131" s="7" t="s">
        <v>72</v>
      </c>
      <c r="CC131" s="84">
        <v>0</v>
      </c>
      <c r="CD131" s="84">
        <v>0</v>
      </c>
      <c r="CE131" s="84">
        <v>0</v>
      </c>
      <c r="CF131" s="84">
        <v>0</v>
      </c>
      <c r="CG131" s="84">
        <v>0</v>
      </c>
      <c r="CH131" s="84">
        <v>0</v>
      </c>
      <c r="CI131" s="84">
        <v>0</v>
      </c>
      <c r="CJ131" s="84">
        <v>0</v>
      </c>
      <c r="CK131" s="84">
        <v>0</v>
      </c>
      <c r="CL131" s="84">
        <v>0</v>
      </c>
      <c r="CM131" s="84">
        <v>0</v>
      </c>
      <c r="CN131" s="84">
        <v>1.2885130096004527E-2</v>
      </c>
      <c r="CO131" s="4">
        <f t="shared" si="75"/>
        <v>1.2885130096004527E-2</v>
      </c>
      <c r="CP131" s="84">
        <v>0</v>
      </c>
      <c r="CQ131" s="84">
        <v>0</v>
      </c>
      <c r="CR131" s="84">
        <v>0</v>
      </c>
      <c r="CS131" s="84">
        <v>1.2893881379805981E-2</v>
      </c>
      <c r="CT131" s="84">
        <v>1.4367919635704609E-2</v>
      </c>
      <c r="CU131" s="84">
        <v>1.3413183363062221E-2</v>
      </c>
      <c r="CV131" s="84">
        <v>0</v>
      </c>
      <c r="CW131" s="84">
        <v>0</v>
      </c>
      <c r="CX131" s="84">
        <v>0</v>
      </c>
      <c r="CY131" s="84">
        <v>0</v>
      </c>
      <c r="CZ131" s="84">
        <v>0</v>
      </c>
      <c r="DA131" s="84">
        <v>0</v>
      </c>
      <c r="DB131" s="4">
        <f t="shared" si="76"/>
        <v>4.0674984378572809E-2</v>
      </c>
      <c r="DC131" s="84">
        <v>0</v>
      </c>
      <c r="DD131" s="84">
        <v>0</v>
      </c>
      <c r="DE131" s="84">
        <v>0</v>
      </c>
      <c r="DF131" s="84">
        <v>0</v>
      </c>
      <c r="DG131" s="84">
        <v>0</v>
      </c>
      <c r="DH131" s="84">
        <v>0</v>
      </c>
      <c r="DI131" s="84">
        <v>0</v>
      </c>
      <c r="DJ131" s="84">
        <v>0</v>
      </c>
      <c r="DK131" s="84">
        <v>0</v>
      </c>
      <c r="DL131" s="84">
        <v>0</v>
      </c>
      <c r="DM131" s="84">
        <v>0</v>
      </c>
      <c r="DN131" s="84">
        <v>0</v>
      </c>
      <c r="DO131" s="4">
        <f t="shared" si="77"/>
        <v>0</v>
      </c>
      <c r="DP131" s="84">
        <v>0</v>
      </c>
      <c r="DQ131" s="84">
        <v>0</v>
      </c>
      <c r="DR131" s="84">
        <v>0</v>
      </c>
      <c r="DS131" s="84">
        <v>0</v>
      </c>
      <c r="DT131" s="84">
        <v>0</v>
      </c>
      <c r="DU131" s="84">
        <v>0</v>
      </c>
      <c r="DV131" s="84">
        <v>0</v>
      </c>
      <c r="DW131" s="84">
        <v>0</v>
      </c>
      <c r="DX131" s="84">
        <v>0</v>
      </c>
      <c r="DY131" s="84">
        <v>0</v>
      </c>
      <c r="DZ131" s="84">
        <v>0</v>
      </c>
      <c r="EA131" s="84">
        <v>0</v>
      </c>
      <c r="EB131" s="4">
        <f t="shared" si="78"/>
        <v>0</v>
      </c>
      <c r="EC131" s="84">
        <v>0</v>
      </c>
      <c r="ED131" s="84">
        <v>0</v>
      </c>
      <c r="EE131" s="84">
        <v>0</v>
      </c>
      <c r="EF131" s="84">
        <v>0</v>
      </c>
      <c r="EG131" s="84">
        <v>0</v>
      </c>
      <c r="EH131" s="84">
        <v>0</v>
      </c>
      <c r="EI131" s="84">
        <v>0</v>
      </c>
      <c r="EJ131" s="84">
        <v>0</v>
      </c>
      <c r="EK131" s="84">
        <v>0</v>
      </c>
      <c r="EL131" s="84">
        <v>0</v>
      </c>
      <c r="EM131" s="84">
        <v>0</v>
      </c>
      <c r="EN131" s="84">
        <v>0</v>
      </c>
      <c r="EO131" s="4">
        <f t="shared" si="79"/>
        <v>0</v>
      </c>
      <c r="EP131" s="8">
        <f t="shared" si="80"/>
        <v>5.3560114474577335E-2</v>
      </c>
      <c r="EQ131" s="181">
        <f>IFERROR(VLOOKUP(I131,CEI_012018!$A$1:$U$509,9,FALSE),0)</f>
        <v>0</v>
      </c>
      <c r="ER131" s="181">
        <f>IFERROR(VLOOKUP(I131,CEI_022018!$A$1:$U$509,9,FALSE),0)</f>
        <v>0</v>
      </c>
      <c r="ES131" s="181">
        <f>IFERROR(VLOOKUP(I131,CEI_032018!$A$1:$U$509,9,FALSE),0)</f>
        <v>0</v>
      </c>
      <c r="ET131" s="181">
        <f>IFERROR(VLOOKUP(I131,CEI_042018!$A$1:$U$491,9,FALSE),0)</f>
        <v>0</v>
      </c>
      <c r="EU131" s="181">
        <f>IFERROR(VLOOKUP(I131,CEI_052018!$A$1:$U$489,9,FALSE),0)</f>
        <v>0</v>
      </c>
      <c r="EV131" s="181">
        <f>IFERROR(VLOOKUP(I131,CEI_062018!$A$1:$U$489,9,FALSE),0)</f>
        <v>0</v>
      </c>
      <c r="EW131" s="181">
        <f>IFERROR(VLOOKUP(I131,CEI_072018!$A$1:$U$489,9,FALSE),0)</f>
        <v>0</v>
      </c>
      <c r="EX131" s="181">
        <f>IFERROR(VLOOKUP(I131,CEI_082018!$A$1:$U$489,9,FALSE),0)</f>
        <v>0</v>
      </c>
      <c r="EY131" s="181">
        <f>IFERROR(VLOOKUP(I131,CEI_092018!$A$1:$U$489,9,FALSE),0)</f>
        <v>0</v>
      </c>
      <c r="EZ131" s="181"/>
      <c r="FA131" s="181"/>
      <c r="FB131" s="181"/>
      <c r="FC131" s="181">
        <f>IFERROR(VLOOKUP(I131,CEI_092018!$A$1:$U$489,12,FALSE),0)</f>
        <v>0</v>
      </c>
      <c r="FD131" s="181">
        <f t="shared" si="71"/>
        <v>0</v>
      </c>
      <c r="FE131" s="181">
        <f t="shared" si="72"/>
        <v>35</v>
      </c>
      <c r="FF131"/>
      <c r="FG131"/>
      <c r="FH131"/>
      <c r="FI131"/>
      <c r="FJ131"/>
      <c r="FK131"/>
      <c r="FL131"/>
      <c r="FM131"/>
      <c r="FN131"/>
      <c r="FO131"/>
      <c r="FP131"/>
      <c r="FQ131"/>
      <c r="FR131"/>
      <c r="FS131"/>
      <c r="FT131"/>
      <c r="FU131"/>
      <c r="FV131"/>
      <c r="FW131"/>
      <c r="FX131"/>
      <c r="FY131"/>
      <c r="FZ131"/>
      <c r="GA131"/>
      <c r="GB131"/>
      <c r="GC131"/>
    </row>
    <row r="132" spans="1:185" ht="12.75" customHeight="1" x14ac:dyDescent="0.25">
      <c r="A132" s="202"/>
      <c r="B132" s="22" t="s">
        <v>57</v>
      </c>
      <c r="C132" s="34" t="s">
        <v>41</v>
      </c>
      <c r="D132" s="22" t="s">
        <v>58</v>
      </c>
      <c r="E132" s="25" t="s">
        <v>292</v>
      </c>
      <c r="F132" s="25" t="s">
        <v>58</v>
      </c>
      <c r="G132" s="25" t="s">
        <v>292</v>
      </c>
      <c r="H132" s="22" t="s">
        <v>56</v>
      </c>
      <c r="I132" s="423" t="s">
        <v>565</v>
      </c>
      <c r="J132" s="37"/>
      <c r="K132" s="23" t="s">
        <v>304</v>
      </c>
      <c r="L132" s="23" t="s">
        <v>305</v>
      </c>
      <c r="M132" s="23" t="s">
        <v>306</v>
      </c>
      <c r="N132" s="23"/>
      <c r="O132" s="2"/>
      <c r="P132" s="2"/>
      <c r="Q132" s="2"/>
      <c r="R132" s="2"/>
      <c r="S132" s="2"/>
      <c r="T132" s="116">
        <f t="shared" si="44"/>
        <v>0</v>
      </c>
      <c r="U132" s="324"/>
      <c r="V132" s="324"/>
      <c r="W132" s="324"/>
      <c r="X132" s="324"/>
      <c r="Y132" s="324"/>
      <c r="Z132" s="324"/>
      <c r="AA132" s="324"/>
      <c r="AB132" s="324"/>
      <c r="AC132" s="324">
        <v>100</v>
      </c>
      <c r="AD132" s="324"/>
      <c r="AE132" s="324"/>
      <c r="AF132" s="324"/>
      <c r="AG132" s="140">
        <f t="shared" si="45"/>
        <v>100</v>
      </c>
      <c r="AH132" s="324"/>
      <c r="AI132" s="324"/>
      <c r="AJ132" s="324"/>
      <c r="AK132" s="324"/>
      <c r="AL132" s="324"/>
      <c r="AM132" s="324"/>
      <c r="AN132" s="324"/>
      <c r="AO132" s="324"/>
      <c r="AP132" s="324">
        <v>100</v>
      </c>
      <c r="AQ132" s="324"/>
      <c r="AR132" s="324"/>
      <c r="AS132" s="324"/>
      <c r="AT132" s="140">
        <f t="shared" si="46"/>
        <v>100</v>
      </c>
      <c r="AU132" s="324"/>
      <c r="AV132" s="324"/>
      <c r="AW132" s="324"/>
      <c r="AX132" s="324"/>
      <c r="AY132" s="324"/>
      <c r="AZ132" s="324"/>
      <c r="BA132" s="324"/>
      <c r="BB132" s="324"/>
      <c r="BC132" s="324">
        <v>100</v>
      </c>
      <c r="BD132" s="324"/>
      <c r="BE132" s="324"/>
      <c r="BF132" s="324"/>
      <c r="BG132" s="140">
        <f t="shared" si="47"/>
        <v>100</v>
      </c>
      <c r="BH132" s="324"/>
      <c r="BI132" s="324"/>
      <c r="BJ132" s="324"/>
      <c r="BK132" s="324"/>
      <c r="BL132" s="324"/>
      <c r="BM132" s="324"/>
      <c r="BN132" s="324"/>
      <c r="BO132" s="324"/>
      <c r="BP132" s="324"/>
      <c r="BQ132" s="324"/>
      <c r="BR132" s="324"/>
      <c r="BS132" s="324"/>
      <c r="BT132" s="140">
        <f t="shared" si="48"/>
        <v>0</v>
      </c>
      <c r="BU132" s="114">
        <f t="shared" si="49"/>
        <v>300</v>
      </c>
      <c r="BV132" s="432"/>
      <c r="BW132" s="432"/>
      <c r="BX132" s="432"/>
      <c r="BY132" s="432"/>
      <c r="BZ132" s="433"/>
      <c r="CA132" s="434"/>
      <c r="CB132" s="7" t="s">
        <v>313</v>
      </c>
      <c r="CC132" s="3"/>
      <c r="CD132" s="3"/>
      <c r="CE132" s="3"/>
      <c r="CF132" s="3"/>
      <c r="CG132" s="3"/>
      <c r="CH132" s="3"/>
      <c r="CI132" s="3"/>
      <c r="CJ132" s="3"/>
      <c r="CK132" s="3"/>
      <c r="CL132" s="3"/>
      <c r="CM132" s="3"/>
      <c r="CN132" s="3"/>
      <c r="CO132" s="4">
        <f t="shared" si="75"/>
        <v>0</v>
      </c>
      <c r="CP132" s="3"/>
      <c r="CQ132" s="3"/>
      <c r="CR132" s="3"/>
      <c r="CS132" s="3"/>
      <c r="CT132" s="3"/>
      <c r="CU132" s="3"/>
      <c r="CV132" s="3"/>
      <c r="CW132" s="3">
        <v>2</v>
      </c>
      <c r="CX132" s="3"/>
      <c r="CY132" s="3"/>
      <c r="CZ132" s="3"/>
      <c r="DA132" s="3"/>
      <c r="DB132" s="4">
        <f t="shared" si="76"/>
        <v>2</v>
      </c>
      <c r="DC132" s="3"/>
      <c r="DD132" s="3"/>
      <c r="DE132" s="3"/>
      <c r="DF132" s="3"/>
      <c r="DG132" s="3"/>
      <c r="DH132" s="3"/>
      <c r="DI132" s="3"/>
      <c r="DJ132" s="3">
        <v>2</v>
      </c>
      <c r="DK132" s="3"/>
      <c r="DL132" s="3"/>
      <c r="DM132" s="3"/>
      <c r="DN132" s="3"/>
      <c r="DO132" s="4">
        <f t="shared" si="77"/>
        <v>2</v>
      </c>
      <c r="DP132" s="3"/>
      <c r="DQ132" s="3"/>
      <c r="DR132" s="3"/>
      <c r="DS132" s="3"/>
      <c r="DT132" s="3"/>
      <c r="DU132" s="3"/>
      <c r="DV132" s="3"/>
      <c r="DW132" s="3">
        <v>2</v>
      </c>
      <c r="DX132" s="3"/>
      <c r="DY132" s="3"/>
      <c r="DZ132" s="3"/>
      <c r="EA132" s="3"/>
      <c r="EB132" s="4">
        <f t="shared" si="78"/>
        <v>2</v>
      </c>
      <c r="EC132" s="3"/>
      <c r="ED132" s="3"/>
      <c r="EE132" s="3"/>
      <c r="EF132" s="3"/>
      <c r="EG132" s="3"/>
      <c r="EH132" s="3"/>
      <c r="EI132" s="3"/>
      <c r="EJ132" s="3">
        <v>0</v>
      </c>
      <c r="EK132" s="3"/>
      <c r="EL132" s="3"/>
      <c r="EM132" s="3"/>
      <c r="EN132" s="3"/>
      <c r="EO132" s="4">
        <f t="shared" si="79"/>
        <v>0</v>
      </c>
      <c r="EP132" s="8">
        <f t="shared" si="80"/>
        <v>6</v>
      </c>
      <c r="EQ132" s="181">
        <f>IFERROR(VLOOKUP(I132,CEI_012018!$A$1:$U$509,9,FALSE),0)</f>
        <v>0</v>
      </c>
      <c r="ER132" s="181">
        <f>IFERROR(VLOOKUP(I132,CEI_022018!$A$1:$U$509,9,FALSE),0)</f>
        <v>0</v>
      </c>
      <c r="ES132" s="181">
        <f>IFERROR(VLOOKUP(I132,CEI_032018!$A$1:$U$509,9,FALSE),0)</f>
        <v>0</v>
      </c>
      <c r="ET132" s="181">
        <f>IFERROR(VLOOKUP(I132,CEI_042018!$A$1:$U$491,9,FALSE),0)</f>
        <v>0</v>
      </c>
      <c r="EU132" s="181">
        <f>IFERROR(VLOOKUP(I132,CEI_052018!$A$1:$U$489,9,FALSE),0)</f>
        <v>0</v>
      </c>
      <c r="EV132" s="181">
        <f>IFERROR(VLOOKUP(I132,CEI_062018!$A$1:$U$489,9,FALSE),0)</f>
        <v>0</v>
      </c>
      <c r="EW132" s="181">
        <f>IFERROR(VLOOKUP(I132,CEI_072018!$A$1:$U$489,9,FALSE),0)</f>
        <v>0</v>
      </c>
      <c r="EX132" s="181">
        <f>IFERROR(VLOOKUP(I132,CEI_082018!$A$1:$U$489,9,FALSE),0)</f>
        <v>0</v>
      </c>
      <c r="EY132" s="181">
        <f>IFERROR(VLOOKUP(I132,CEI_092018!$A$1:$U$489,9,FALSE),0)</f>
        <v>0</v>
      </c>
      <c r="EZ132" s="181"/>
      <c r="FA132" s="181"/>
      <c r="FB132" s="181"/>
      <c r="FC132" s="181">
        <f>IFERROR(VLOOKUP(I132,CEI_092018!$A$1:$U$489,12,FALSE),0)</f>
        <v>0</v>
      </c>
      <c r="FD132" s="181">
        <f t="shared" si="71"/>
        <v>0</v>
      </c>
      <c r="FE132" s="181">
        <f t="shared" si="72"/>
        <v>0</v>
      </c>
      <c r="FF132"/>
      <c r="FG132"/>
      <c r="FH132"/>
      <c r="FI132"/>
      <c r="FJ132"/>
      <c r="FK132"/>
      <c r="FL132"/>
      <c r="FM132"/>
      <c r="FN132"/>
      <c r="FO132"/>
      <c r="FP132"/>
      <c r="FQ132"/>
      <c r="FR132"/>
      <c r="FS132"/>
      <c r="FT132"/>
      <c r="FU132"/>
      <c r="FV132"/>
      <c r="FW132"/>
      <c r="FX132"/>
      <c r="FY132"/>
      <c r="FZ132"/>
      <c r="GA132"/>
      <c r="GB132"/>
      <c r="GC132"/>
    </row>
    <row r="133" spans="1:185" ht="12.75" customHeight="1" x14ac:dyDescent="0.25">
      <c r="A133" s="202"/>
      <c r="B133" s="23" t="s">
        <v>57</v>
      </c>
      <c r="C133" s="34" t="s">
        <v>41</v>
      </c>
      <c r="D133" s="23" t="s">
        <v>55</v>
      </c>
      <c r="E133" s="34" t="s">
        <v>97</v>
      </c>
      <c r="F133" s="34" t="s">
        <v>55</v>
      </c>
      <c r="G133" s="34" t="s">
        <v>97</v>
      </c>
      <c r="H133" s="23" t="s">
        <v>56</v>
      </c>
      <c r="I133" s="423" t="s">
        <v>565</v>
      </c>
      <c r="J133" s="37"/>
      <c r="K133" s="23" t="s">
        <v>557</v>
      </c>
      <c r="L133" s="23" t="s">
        <v>98</v>
      </c>
      <c r="M133" s="23" t="s">
        <v>99</v>
      </c>
      <c r="N133" s="368"/>
      <c r="O133" s="2"/>
      <c r="P133" s="2"/>
      <c r="Q133" s="2"/>
      <c r="R133" s="2"/>
      <c r="S133" s="2"/>
      <c r="T133" s="116">
        <f t="shared" si="44"/>
        <v>0</v>
      </c>
      <c r="U133" s="140"/>
      <c r="V133" s="140"/>
      <c r="W133" s="140"/>
      <c r="X133" s="140"/>
      <c r="Y133" s="116"/>
      <c r="Z133" s="140"/>
      <c r="AA133" s="140"/>
      <c r="AB133" s="140"/>
      <c r="AC133" s="140"/>
      <c r="AD133" s="116"/>
      <c r="AE133" s="140"/>
      <c r="AF133" s="140">
        <f>60+20</f>
        <v>80</v>
      </c>
      <c r="AG133" s="140">
        <f t="shared" si="45"/>
        <v>80</v>
      </c>
      <c r="AH133" s="140"/>
      <c r="AI133" s="116"/>
      <c r="AJ133" s="140"/>
      <c r="AK133" s="140"/>
      <c r="AL133" s="140"/>
      <c r="AM133" s="140"/>
      <c r="AN133" s="116"/>
      <c r="AO133" s="140"/>
      <c r="AP133" s="140"/>
      <c r="AQ133" s="140"/>
      <c r="AR133" s="140"/>
      <c r="AS133" s="116">
        <f>60+20-5+3.35722995834658</f>
        <v>78.357229958346579</v>
      </c>
      <c r="AT133" s="140">
        <f t="shared" si="46"/>
        <v>78.357229958346579</v>
      </c>
      <c r="AU133" s="140"/>
      <c r="AV133" s="140"/>
      <c r="AW133" s="140"/>
      <c r="AX133" s="116"/>
      <c r="AY133" s="140"/>
      <c r="AZ133" s="140"/>
      <c r="BA133" s="140"/>
      <c r="BB133" s="140"/>
      <c r="BC133" s="116"/>
      <c r="BD133" s="140"/>
      <c r="BE133" s="140"/>
      <c r="BF133" s="140">
        <f>60+13</f>
        <v>73</v>
      </c>
      <c r="BG133" s="140">
        <f t="shared" si="47"/>
        <v>73</v>
      </c>
      <c r="BH133" s="116"/>
      <c r="BI133" s="140"/>
      <c r="BJ133" s="140"/>
      <c r="BK133" s="140"/>
      <c r="BL133" s="140"/>
      <c r="BM133" s="116"/>
      <c r="BN133" s="140"/>
      <c r="BO133" s="140"/>
      <c r="BP133" s="140"/>
      <c r="BQ133" s="140"/>
      <c r="BR133" s="116"/>
      <c r="BS133" s="140">
        <v>60</v>
      </c>
      <c r="BT133" s="140">
        <f t="shared" si="48"/>
        <v>60</v>
      </c>
      <c r="BU133" s="114">
        <f t="shared" si="49"/>
        <v>291.35722995834658</v>
      </c>
      <c r="BV133" s="372">
        <v>-1</v>
      </c>
      <c r="BW133" s="422">
        <v>-1</v>
      </c>
      <c r="BX133" s="422">
        <v>-1</v>
      </c>
      <c r="BY133" s="422">
        <v>-1</v>
      </c>
      <c r="BZ133" s="436">
        <f t="shared" ref="BZ133:BZ135" si="81">IFERROR((EX133/T133%),0)</f>
        <v>0</v>
      </c>
      <c r="CA133" s="428">
        <f>IFERROR((FD133/T133%),0)</f>
        <v>0</v>
      </c>
      <c r="CB133" s="7" t="s">
        <v>100</v>
      </c>
      <c r="CC133" s="3">
        <v>0</v>
      </c>
      <c r="CD133" s="3">
        <v>0</v>
      </c>
      <c r="CE133" s="3">
        <v>0</v>
      </c>
      <c r="CF133" s="3">
        <v>0</v>
      </c>
      <c r="CG133" s="3">
        <v>0</v>
      </c>
      <c r="CH133" s="3">
        <v>0</v>
      </c>
      <c r="CI133" s="3">
        <v>0</v>
      </c>
      <c r="CJ133" s="3">
        <v>0</v>
      </c>
      <c r="CK133" s="3">
        <v>0</v>
      </c>
      <c r="CL133" s="3">
        <v>0</v>
      </c>
      <c r="CM133" s="3">
        <v>0</v>
      </c>
      <c r="CN133" s="3">
        <v>1</v>
      </c>
      <c r="CO133" s="4">
        <f t="shared" si="75"/>
        <v>1</v>
      </c>
      <c r="CP133" s="3"/>
      <c r="CQ133" s="3"/>
      <c r="CR133" s="3"/>
      <c r="CS133" s="3"/>
      <c r="CT133" s="3"/>
      <c r="CU133" s="3"/>
      <c r="CV133" s="3"/>
      <c r="CW133" s="3"/>
      <c r="CX133" s="3"/>
      <c r="CY133" s="3"/>
      <c r="CZ133" s="3"/>
      <c r="DA133" s="3">
        <v>1</v>
      </c>
      <c r="DB133" s="4">
        <f t="shared" si="76"/>
        <v>1</v>
      </c>
      <c r="DC133" s="3"/>
      <c r="DD133" s="3"/>
      <c r="DE133" s="3"/>
      <c r="DF133" s="3"/>
      <c r="DG133" s="3"/>
      <c r="DH133" s="3"/>
      <c r="DI133" s="3"/>
      <c r="DJ133" s="3"/>
      <c r="DK133" s="3"/>
      <c r="DL133" s="3"/>
      <c r="DM133" s="3"/>
      <c r="DN133" s="3">
        <v>1</v>
      </c>
      <c r="DO133" s="4">
        <f t="shared" si="77"/>
        <v>1</v>
      </c>
      <c r="DP133" s="3"/>
      <c r="DQ133" s="3"/>
      <c r="DR133" s="3"/>
      <c r="DS133" s="3"/>
      <c r="DT133" s="3"/>
      <c r="DU133" s="3"/>
      <c r="DV133" s="3"/>
      <c r="DW133" s="3"/>
      <c r="DX133" s="3"/>
      <c r="DY133" s="3"/>
      <c r="DZ133" s="3"/>
      <c r="EA133" s="3">
        <v>1</v>
      </c>
      <c r="EB133" s="4">
        <f t="shared" si="78"/>
        <v>1</v>
      </c>
      <c r="EC133" s="3"/>
      <c r="ED133" s="3"/>
      <c r="EE133" s="3"/>
      <c r="EF133" s="3"/>
      <c r="EG133" s="3"/>
      <c r="EH133" s="3"/>
      <c r="EI133" s="3"/>
      <c r="EJ133" s="3"/>
      <c r="EK133" s="3"/>
      <c r="EL133" s="3"/>
      <c r="EM133" s="3"/>
      <c r="EN133" s="3">
        <v>1</v>
      </c>
      <c r="EO133" s="4">
        <f t="shared" si="79"/>
        <v>1</v>
      </c>
      <c r="EP133" s="8">
        <f t="shared" si="80"/>
        <v>5</v>
      </c>
      <c r="EQ133" s="181">
        <f>IFERROR(VLOOKUP(I133,CEI_012018!$A$1:$U$509,9,FALSE),0)</f>
        <v>0</v>
      </c>
      <c r="ER133" s="181">
        <f>IFERROR(VLOOKUP(I133,CEI_022018!$A$1:$U$509,9,FALSE),0)</f>
        <v>0</v>
      </c>
      <c r="ES133" s="181">
        <f>IFERROR(VLOOKUP(I133,CEI_032018!$A$1:$U$509,9,FALSE),0)</f>
        <v>0</v>
      </c>
      <c r="ET133" s="181">
        <f>IFERROR(VLOOKUP(I133,CEI_042018!$A$1:$U$491,9,FALSE),0)</f>
        <v>0</v>
      </c>
      <c r="EU133" s="181">
        <f>IFERROR(VLOOKUP(I133,CEI_052018!$A$1:$U$489,9,FALSE),0)</f>
        <v>0</v>
      </c>
      <c r="EV133" s="181">
        <f>IFERROR(VLOOKUP(I133,CEI_062018!$A$1:$U$489,9,FALSE),0)</f>
        <v>0</v>
      </c>
      <c r="EW133" s="181">
        <f>IFERROR(VLOOKUP(I133,CEI_072018!$A$1:$U$489,9,FALSE),0)</f>
        <v>0</v>
      </c>
      <c r="EX133" s="181">
        <f>IFERROR(VLOOKUP(I133,CEI_082018!$A$1:$U$489,9,FALSE),0)</f>
        <v>0</v>
      </c>
      <c r="EY133" s="181">
        <f>IFERROR(VLOOKUP(I133,CEI_092018!$A$1:$U$489,9,FALSE),0)</f>
        <v>0</v>
      </c>
      <c r="EZ133" s="181"/>
      <c r="FA133" s="181"/>
      <c r="FB133" s="181"/>
      <c r="FC133" s="181">
        <f>IFERROR(VLOOKUP(I133,CEI_092018!$A$1:$U$489,12,FALSE),0)</f>
        <v>0</v>
      </c>
      <c r="FD133" s="181">
        <f t="shared" si="71"/>
        <v>0</v>
      </c>
      <c r="FE133" s="181">
        <f t="shared" si="72"/>
        <v>0</v>
      </c>
      <c r="FF133"/>
      <c r="FG133"/>
      <c r="FH133"/>
      <c r="FI133"/>
      <c r="FJ133"/>
      <c r="FK133"/>
      <c r="FL133"/>
      <c r="FM133"/>
      <c r="FN133"/>
      <c r="FO133"/>
      <c r="FP133"/>
      <c r="FQ133"/>
      <c r="FR133"/>
      <c r="FS133"/>
      <c r="FT133"/>
      <c r="FU133"/>
      <c r="FV133"/>
      <c r="FW133"/>
      <c r="FX133"/>
      <c r="FY133"/>
      <c r="FZ133"/>
      <c r="GA133"/>
      <c r="GB133"/>
      <c r="GC133"/>
    </row>
    <row r="134" spans="1:185" ht="12.75" customHeight="1" x14ac:dyDescent="0.25">
      <c r="A134" s="202"/>
      <c r="B134" s="22" t="s">
        <v>57</v>
      </c>
      <c r="C134" s="34" t="s">
        <v>41</v>
      </c>
      <c r="D134" s="22" t="s">
        <v>58</v>
      </c>
      <c r="E134" s="25" t="s">
        <v>292</v>
      </c>
      <c r="F134" s="25" t="s">
        <v>58</v>
      </c>
      <c r="G134" s="25" t="s">
        <v>292</v>
      </c>
      <c r="H134" s="22" t="s">
        <v>56</v>
      </c>
      <c r="I134" s="423" t="s">
        <v>1994</v>
      </c>
      <c r="J134" s="37" t="s">
        <v>1995</v>
      </c>
      <c r="K134" s="23" t="s">
        <v>468</v>
      </c>
      <c r="L134" s="23" t="s">
        <v>469</v>
      </c>
      <c r="M134" s="23" t="s">
        <v>470</v>
      </c>
      <c r="N134" s="23"/>
      <c r="O134" s="2"/>
      <c r="P134" s="2"/>
      <c r="Q134" s="2"/>
      <c r="R134" s="2"/>
      <c r="S134" s="2">
        <v>40</v>
      </c>
      <c r="T134" s="116">
        <f t="shared" si="44"/>
        <v>40</v>
      </c>
      <c r="U134" s="324"/>
      <c r="V134" s="324"/>
      <c r="W134" s="324"/>
      <c r="X134" s="324"/>
      <c r="Y134" s="324"/>
      <c r="Z134" s="324"/>
      <c r="AA134" s="324"/>
      <c r="AB134" s="324"/>
      <c r="AC134" s="324"/>
      <c r="AD134" s="324"/>
      <c r="AE134" s="324"/>
      <c r="AF134" s="324">
        <v>120</v>
      </c>
      <c r="AG134" s="140">
        <f t="shared" si="45"/>
        <v>120</v>
      </c>
      <c r="AH134" s="324"/>
      <c r="AI134" s="324"/>
      <c r="AJ134" s="324"/>
      <c r="AK134" s="324"/>
      <c r="AL134" s="324"/>
      <c r="AM134" s="324"/>
      <c r="AN134" s="324"/>
      <c r="AO134" s="324">
        <f>14+31.5</f>
        <v>45.5</v>
      </c>
      <c r="AP134" s="324"/>
      <c r="AQ134" s="324"/>
      <c r="AR134" s="324"/>
      <c r="AS134" s="324"/>
      <c r="AT134" s="140">
        <f t="shared" si="46"/>
        <v>45.5</v>
      </c>
      <c r="AU134" s="324"/>
      <c r="AV134" s="324"/>
      <c r="AW134" s="324"/>
      <c r="AX134" s="324"/>
      <c r="AY134" s="324"/>
      <c r="AZ134" s="324"/>
      <c r="BA134" s="324"/>
      <c r="BB134" s="324">
        <v>39</v>
      </c>
      <c r="BC134" s="324"/>
      <c r="BD134" s="324"/>
      <c r="BE134" s="324"/>
      <c r="BF134" s="324"/>
      <c r="BG134" s="140">
        <f t="shared" si="47"/>
        <v>39</v>
      </c>
      <c r="BH134" s="324"/>
      <c r="BI134" s="324"/>
      <c r="BJ134" s="324"/>
      <c r="BK134" s="324"/>
      <c r="BL134" s="324"/>
      <c r="BM134" s="324"/>
      <c r="BN134" s="324"/>
      <c r="BO134" s="324">
        <v>39.540319137769984</v>
      </c>
      <c r="BP134" s="324"/>
      <c r="BQ134" s="324"/>
      <c r="BR134" s="324"/>
      <c r="BS134" s="324"/>
      <c r="BT134" s="140">
        <f t="shared" si="48"/>
        <v>39.540319137769984</v>
      </c>
      <c r="BU134" s="114">
        <f t="shared" si="49"/>
        <v>284.04031913776998</v>
      </c>
      <c r="BV134" s="372">
        <v>1</v>
      </c>
      <c r="BW134" s="372">
        <v>0</v>
      </c>
      <c r="BX134" s="372">
        <v>-1</v>
      </c>
      <c r="BY134" s="372">
        <v>-1</v>
      </c>
      <c r="BZ134" s="436">
        <f t="shared" si="81"/>
        <v>0</v>
      </c>
      <c r="CA134" s="436">
        <f>IFERROR((FD134/T134%),0)</f>
        <v>0</v>
      </c>
      <c r="CB134" s="7" t="s">
        <v>73</v>
      </c>
      <c r="CC134" s="3"/>
      <c r="CD134" s="3"/>
      <c r="CE134" s="3"/>
      <c r="CF134" s="3"/>
      <c r="CG134" s="3"/>
      <c r="CH134" s="3"/>
      <c r="CI134" s="3"/>
      <c r="CJ134" s="3">
        <v>4</v>
      </c>
      <c r="CK134" s="3"/>
      <c r="CL134" s="3"/>
      <c r="CM134" s="3"/>
      <c r="CN134" s="3">
        <v>1</v>
      </c>
      <c r="CO134" s="4">
        <f t="shared" si="75"/>
        <v>5</v>
      </c>
      <c r="CP134" s="3"/>
      <c r="CQ134" s="3"/>
      <c r="CR134" s="3"/>
      <c r="CS134" s="3"/>
      <c r="CT134" s="3"/>
      <c r="CU134" s="3"/>
      <c r="CV134" s="3"/>
      <c r="CW134" s="3"/>
      <c r="CX134" s="3"/>
      <c r="CY134" s="3"/>
      <c r="CZ134" s="3"/>
      <c r="DA134" s="3"/>
      <c r="DB134" s="4">
        <f t="shared" si="76"/>
        <v>0</v>
      </c>
      <c r="DC134" s="3"/>
      <c r="DD134" s="3"/>
      <c r="DE134" s="3"/>
      <c r="DF134" s="3"/>
      <c r="DG134" s="3"/>
      <c r="DH134" s="3">
        <v>4</v>
      </c>
      <c r="DI134" s="3"/>
      <c r="DJ134" s="3"/>
      <c r="DK134" s="3"/>
      <c r="DL134" s="3"/>
      <c r="DM134" s="3"/>
      <c r="DN134" s="3"/>
      <c r="DO134" s="4">
        <f t="shared" si="77"/>
        <v>4</v>
      </c>
      <c r="DP134" s="3"/>
      <c r="DQ134" s="3"/>
      <c r="DR134" s="3"/>
      <c r="DS134" s="3"/>
      <c r="DT134" s="3"/>
      <c r="DU134" s="3"/>
      <c r="DV134" s="3">
        <v>20</v>
      </c>
      <c r="DW134" s="3"/>
      <c r="DX134" s="3"/>
      <c r="DY134" s="3"/>
      <c r="DZ134" s="3"/>
      <c r="EA134" s="3"/>
      <c r="EB134" s="4">
        <f t="shared" si="78"/>
        <v>20</v>
      </c>
      <c r="EC134" s="3"/>
      <c r="ED134" s="3"/>
      <c r="EE134" s="3"/>
      <c r="EF134" s="3"/>
      <c r="EG134" s="3"/>
      <c r="EH134" s="3"/>
      <c r="EI134" s="3"/>
      <c r="EJ134" s="3">
        <v>20</v>
      </c>
      <c r="EK134" s="3"/>
      <c r="EL134" s="3"/>
      <c r="EM134" s="3"/>
      <c r="EN134" s="3"/>
      <c r="EO134" s="4">
        <f t="shared" si="79"/>
        <v>20</v>
      </c>
      <c r="EP134" s="8">
        <f t="shared" si="80"/>
        <v>49</v>
      </c>
      <c r="EQ134" s="181">
        <f>IFERROR(VLOOKUP(I134,CEI_012018!$A$1:$U$509,9,FALSE),0)</f>
        <v>0</v>
      </c>
      <c r="ER134" s="181">
        <f>IFERROR(VLOOKUP(I134,CEI_022018!$A$1:$U$509,9,FALSE),0)</f>
        <v>0</v>
      </c>
      <c r="ES134" s="181">
        <f>IFERROR(VLOOKUP(I134,CEI_032018!$A$1:$U$509,9,FALSE),0)</f>
        <v>0</v>
      </c>
      <c r="ET134" s="181">
        <f>IFERROR(VLOOKUP(I134,CEI_042018!$A$1:$U$491,9,FALSE),0)</f>
        <v>0</v>
      </c>
      <c r="EU134" s="181">
        <f>IFERROR(VLOOKUP(I134,CEI_052018!$A$1:$U$489,9,FALSE),0)</f>
        <v>0</v>
      </c>
      <c r="EV134" s="181">
        <f>IFERROR(VLOOKUP(I134,CEI_062018!$A$1:$U$489,9,FALSE),0)</f>
        <v>0</v>
      </c>
      <c r="EW134" s="181">
        <f>IFERROR(VLOOKUP(I134,CEI_072018!$A$1:$U$489,9,FALSE),0)</f>
        <v>0</v>
      </c>
      <c r="EX134" s="181">
        <f>IFERROR(VLOOKUP(I134,CEI_082018!$A$1:$U$489,9,FALSE),0)</f>
        <v>0</v>
      </c>
      <c r="EY134" s="181">
        <f>IFERROR(VLOOKUP(I134,CEI_092018!$A$1:$U$489,9,FALSE),0)</f>
        <v>0</v>
      </c>
      <c r="EZ134" s="181"/>
      <c r="FA134" s="181"/>
      <c r="FB134" s="181"/>
      <c r="FC134" s="181">
        <f>IFERROR(VLOOKUP(I134,CEI_092018!$A$1:$U$489,12,FALSE),0)</f>
        <v>0</v>
      </c>
      <c r="FD134" s="181">
        <f t="shared" si="71"/>
        <v>0</v>
      </c>
      <c r="FE134" s="181">
        <f t="shared" si="72"/>
        <v>40</v>
      </c>
      <c r="FF134"/>
      <c r="FG134"/>
      <c r="FH134"/>
      <c r="FI134"/>
      <c r="FJ134"/>
      <c r="FK134"/>
      <c r="FL134"/>
      <c r="FM134"/>
      <c r="FN134"/>
      <c r="FO134"/>
      <c r="FP134"/>
      <c r="FQ134"/>
      <c r="FR134"/>
      <c r="FS134"/>
      <c r="FT134"/>
      <c r="FU134"/>
      <c r="FV134"/>
      <c r="FW134"/>
      <c r="FX134"/>
      <c r="FY134"/>
      <c r="FZ134"/>
      <c r="GA134"/>
      <c r="GB134"/>
      <c r="GC134"/>
    </row>
    <row r="135" spans="1:185" ht="12.75" customHeight="1" x14ac:dyDescent="0.25">
      <c r="A135" s="202"/>
      <c r="B135" s="22" t="s">
        <v>57</v>
      </c>
      <c r="C135" s="34" t="s">
        <v>41</v>
      </c>
      <c r="D135" s="22" t="s">
        <v>58</v>
      </c>
      <c r="E135" s="25" t="s">
        <v>292</v>
      </c>
      <c r="F135" s="25" t="s">
        <v>58</v>
      </c>
      <c r="G135" s="25" t="s">
        <v>292</v>
      </c>
      <c r="H135" s="22" t="s">
        <v>56</v>
      </c>
      <c r="I135" s="404" t="s">
        <v>1153</v>
      </c>
      <c r="J135" s="136" t="s">
        <v>1306</v>
      </c>
      <c r="K135" s="23" t="s">
        <v>472</v>
      </c>
      <c r="L135" s="23" t="s">
        <v>473</v>
      </c>
      <c r="M135" s="23" t="s">
        <v>474</v>
      </c>
      <c r="N135" s="23" t="s">
        <v>1773</v>
      </c>
      <c r="O135" s="2"/>
      <c r="P135" s="2"/>
      <c r="Q135" s="2"/>
      <c r="R135" s="2">
        <v>52</v>
      </c>
      <c r="S135" s="2"/>
      <c r="T135" s="116">
        <f t="shared" si="44"/>
        <v>52</v>
      </c>
      <c r="U135" s="324"/>
      <c r="V135" s="324"/>
      <c r="W135" s="324"/>
      <c r="X135" s="324"/>
      <c r="Y135" s="324"/>
      <c r="Z135" s="324"/>
      <c r="AA135" s="324"/>
      <c r="AB135" s="324"/>
      <c r="AC135" s="324">
        <v>50</v>
      </c>
      <c r="AD135" s="324">
        <v>100</v>
      </c>
      <c r="AE135" s="324">
        <v>48</v>
      </c>
      <c r="AF135" s="324"/>
      <c r="AG135" s="140">
        <f t="shared" si="45"/>
        <v>198</v>
      </c>
      <c r="AH135" s="324"/>
      <c r="AI135" s="324"/>
      <c r="AJ135" s="324"/>
      <c r="AK135" s="324"/>
      <c r="AL135" s="324"/>
      <c r="AM135" s="324"/>
      <c r="AN135" s="324"/>
      <c r="AO135" s="324"/>
      <c r="AP135" s="324"/>
      <c r="AQ135" s="324"/>
      <c r="AR135" s="324"/>
      <c r="AS135" s="324"/>
      <c r="AT135" s="140">
        <f t="shared" si="46"/>
        <v>0</v>
      </c>
      <c r="AU135" s="324"/>
      <c r="AV135" s="324"/>
      <c r="AW135" s="324"/>
      <c r="AX135" s="324"/>
      <c r="AY135" s="324"/>
      <c r="AZ135" s="324"/>
      <c r="BA135" s="324"/>
      <c r="BB135" s="324"/>
      <c r="BC135" s="324"/>
      <c r="BD135" s="324"/>
      <c r="BE135" s="324"/>
      <c r="BF135" s="324"/>
      <c r="BG135" s="140">
        <f t="shared" si="47"/>
        <v>0</v>
      </c>
      <c r="BH135" s="324"/>
      <c r="BI135" s="324"/>
      <c r="BJ135" s="324"/>
      <c r="BK135" s="324"/>
      <c r="BL135" s="324"/>
      <c r="BM135" s="324"/>
      <c r="BN135" s="324"/>
      <c r="BO135" s="324"/>
      <c r="BP135" s="324"/>
      <c r="BQ135" s="324"/>
      <c r="BR135" s="324"/>
      <c r="BS135" s="324"/>
      <c r="BT135" s="140">
        <f t="shared" si="48"/>
        <v>0</v>
      </c>
      <c r="BU135" s="114">
        <f t="shared" si="49"/>
        <v>250</v>
      </c>
      <c r="BV135" s="372">
        <v>1</v>
      </c>
      <c r="BW135" s="372">
        <v>1</v>
      </c>
      <c r="BX135" s="372">
        <v>1</v>
      </c>
      <c r="BY135" s="372">
        <v>1</v>
      </c>
      <c r="BZ135" s="436">
        <f t="shared" si="81"/>
        <v>0</v>
      </c>
      <c r="CA135" s="436">
        <f>IFERROR((FD135/T135%),0)</f>
        <v>98.07692307692308</v>
      </c>
      <c r="CB135" s="7" t="s">
        <v>72</v>
      </c>
      <c r="CC135" s="83">
        <v>0</v>
      </c>
      <c r="CD135" s="83">
        <v>0</v>
      </c>
      <c r="CE135" s="83">
        <v>0</v>
      </c>
      <c r="CF135" s="83">
        <v>0</v>
      </c>
      <c r="CG135" s="84">
        <v>0</v>
      </c>
      <c r="CH135" s="84">
        <v>0</v>
      </c>
      <c r="CI135" s="84">
        <v>0</v>
      </c>
      <c r="CJ135" s="84">
        <v>0</v>
      </c>
      <c r="CK135" s="84">
        <v>0</v>
      </c>
      <c r="CL135" s="84">
        <v>4.1232416307214487E-3</v>
      </c>
      <c r="CM135" s="84">
        <v>7.4733754556826262E-3</v>
      </c>
      <c r="CN135" s="84">
        <v>1.8039182134406337E-3</v>
      </c>
      <c r="CO135" s="4">
        <f t="shared" si="75"/>
        <v>1.3400535299844708E-2</v>
      </c>
      <c r="CP135" s="84">
        <v>0</v>
      </c>
      <c r="CQ135" s="84">
        <v>0</v>
      </c>
      <c r="CR135" s="84">
        <v>0</v>
      </c>
      <c r="CS135" s="84">
        <v>0</v>
      </c>
      <c r="CT135" s="84">
        <v>0</v>
      </c>
      <c r="CU135" s="84">
        <v>0</v>
      </c>
      <c r="CV135" s="84">
        <v>0</v>
      </c>
      <c r="CW135" s="84">
        <v>0</v>
      </c>
      <c r="CX135" s="84">
        <v>7.0595701910853795E-3</v>
      </c>
      <c r="CY135" s="84">
        <v>1.4119140382170759E-2</v>
      </c>
      <c r="CZ135" s="84">
        <v>6.7771873834419644E-3</v>
      </c>
      <c r="DA135" s="84">
        <v>0</v>
      </c>
      <c r="DB135" s="4">
        <f t="shared" si="76"/>
        <v>2.7955897956698103E-2</v>
      </c>
      <c r="DC135" s="84">
        <v>0</v>
      </c>
      <c r="DD135" s="84">
        <v>0</v>
      </c>
      <c r="DE135" s="84">
        <v>0</v>
      </c>
      <c r="DF135" s="84">
        <v>0</v>
      </c>
      <c r="DG135" s="84">
        <v>0</v>
      </c>
      <c r="DH135" s="84">
        <v>0</v>
      </c>
      <c r="DI135" s="84">
        <v>0</v>
      </c>
      <c r="DJ135" s="84">
        <v>0</v>
      </c>
      <c r="DK135" s="84">
        <v>0</v>
      </c>
      <c r="DL135" s="84">
        <v>0</v>
      </c>
      <c r="DM135" s="84">
        <v>0</v>
      </c>
      <c r="DN135" s="84">
        <v>0</v>
      </c>
      <c r="DO135" s="4">
        <f t="shared" si="77"/>
        <v>0</v>
      </c>
      <c r="DP135" s="84">
        <v>0</v>
      </c>
      <c r="DQ135" s="84">
        <v>0</v>
      </c>
      <c r="DR135" s="84">
        <v>0</v>
      </c>
      <c r="DS135" s="84">
        <v>0</v>
      </c>
      <c r="DT135" s="84">
        <v>0</v>
      </c>
      <c r="DU135" s="84">
        <v>0</v>
      </c>
      <c r="DV135" s="84">
        <v>0</v>
      </c>
      <c r="DW135" s="84">
        <v>0</v>
      </c>
      <c r="DX135" s="84">
        <v>0</v>
      </c>
      <c r="DY135" s="84">
        <v>0</v>
      </c>
      <c r="DZ135" s="84">
        <v>0</v>
      </c>
      <c r="EA135" s="84">
        <v>0</v>
      </c>
      <c r="EB135" s="4">
        <f t="shared" si="78"/>
        <v>0</v>
      </c>
      <c r="EC135" s="84">
        <v>0</v>
      </c>
      <c r="ED135" s="84">
        <v>0</v>
      </c>
      <c r="EE135" s="84">
        <v>0</v>
      </c>
      <c r="EF135" s="84">
        <v>0</v>
      </c>
      <c r="EG135" s="84">
        <v>0</v>
      </c>
      <c r="EH135" s="84">
        <v>0</v>
      </c>
      <c r="EI135" s="84">
        <v>0</v>
      </c>
      <c r="EJ135" s="84">
        <v>0</v>
      </c>
      <c r="EK135" s="84">
        <v>0</v>
      </c>
      <c r="EL135" s="84">
        <v>0</v>
      </c>
      <c r="EM135" s="84">
        <v>0</v>
      </c>
      <c r="EN135" s="84">
        <v>0</v>
      </c>
      <c r="EO135" s="4">
        <f t="shared" si="79"/>
        <v>0</v>
      </c>
      <c r="EP135" s="8">
        <f t="shared" si="80"/>
        <v>4.1356433256542813E-2</v>
      </c>
      <c r="EQ135" s="181">
        <f>IFERROR(VLOOKUP(I135,CEI_012018!$A$1:$U$509,9,FALSE),0)</f>
        <v>0</v>
      </c>
      <c r="ER135" s="181">
        <f>IFERROR(VLOOKUP(I135,CEI_022018!$A$1:$U$509,9,FALSE),0)</f>
        <v>0</v>
      </c>
      <c r="ES135" s="181">
        <f>IFERROR(VLOOKUP(I135,CEI_032018!$A$1:$U$509,9,FALSE),0)</f>
        <v>0</v>
      </c>
      <c r="ET135" s="181">
        <f>IFERROR(VLOOKUP(I135,CEI_042018!$A$1:$U$491,9,FALSE),0)</f>
        <v>0</v>
      </c>
      <c r="EU135" s="181">
        <f>IFERROR(VLOOKUP(I135,CEI_052018!$A$1:$U$489,9,FALSE),0)</f>
        <v>0</v>
      </c>
      <c r="EV135" s="181">
        <f>IFERROR(VLOOKUP(I135,CEI_062018!$A$1:$U$489,9,FALSE),0)</f>
        <v>0</v>
      </c>
      <c r="EW135" s="181">
        <f>IFERROR(VLOOKUP(I135,CEI_072018!$A$1:$U$489,9,FALSE),0)</f>
        <v>0</v>
      </c>
      <c r="EX135" s="181">
        <f>IFERROR(VLOOKUP(I135,CEI_082018!$A$1:$U$489,9,FALSE),0)</f>
        <v>0</v>
      </c>
      <c r="EY135" s="181">
        <f>IFERROR(VLOOKUP(I135,CEI_092018!$A$1:$U$489,9,FALSE),0)</f>
        <v>0</v>
      </c>
      <c r="EZ135" s="181"/>
      <c r="FA135" s="181"/>
      <c r="FB135" s="181"/>
      <c r="FC135" s="181">
        <f>IFERROR(VLOOKUP(I135,CEI_092018!$A$1:$U$489,12,FALSE),0)</f>
        <v>51</v>
      </c>
      <c r="FD135" s="181">
        <f t="shared" si="71"/>
        <v>51</v>
      </c>
      <c r="FE135" s="181">
        <f t="shared" si="72"/>
        <v>1</v>
      </c>
      <c r="FF135"/>
      <c r="FG135"/>
      <c r="FH135"/>
      <c r="FI135"/>
      <c r="FJ135"/>
      <c r="FK135"/>
      <c r="FL135"/>
      <c r="FM135"/>
      <c r="FN135"/>
      <c r="FO135"/>
      <c r="FP135"/>
      <c r="FQ135"/>
      <c r="FR135"/>
      <c r="FS135"/>
      <c r="FT135"/>
      <c r="FU135"/>
      <c r="FV135"/>
      <c r="FW135"/>
      <c r="FX135"/>
      <c r="FY135"/>
      <c r="FZ135"/>
      <c r="GA135"/>
      <c r="GB135"/>
      <c r="GC135"/>
    </row>
    <row r="136" spans="1:185" ht="12.75" customHeight="1" x14ac:dyDescent="0.25">
      <c r="A136" s="202"/>
      <c r="B136" s="22" t="s">
        <v>57</v>
      </c>
      <c r="C136" s="34" t="s">
        <v>41</v>
      </c>
      <c r="D136" s="22" t="s">
        <v>58</v>
      </c>
      <c r="E136" s="25" t="s">
        <v>433</v>
      </c>
      <c r="F136" s="25" t="s">
        <v>58</v>
      </c>
      <c r="G136" s="25" t="s">
        <v>433</v>
      </c>
      <c r="H136" s="22" t="s">
        <v>56</v>
      </c>
      <c r="I136" s="423" t="s">
        <v>565</v>
      </c>
      <c r="J136" s="37"/>
      <c r="K136" s="23" t="s">
        <v>637</v>
      </c>
      <c r="L136" s="23" t="s">
        <v>634</v>
      </c>
      <c r="M136" s="23" t="s">
        <v>633</v>
      </c>
      <c r="N136" s="23"/>
      <c r="O136" s="2"/>
      <c r="P136" s="2"/>
      <c r="Q136" s="2"/>
      <c r="R136" s="2"/>
      <c r="S136" s="2"/>
      <c r="T136" s="116">
        <f t="shared" ref="T136:T198" si="82">SUM(O136:S136)</f>
        <v>0</v>
      </c>
      <c r="U136" s="324"/>
      <c r="V136" s="324"/>
      <c r="W136" s="324"/>
      <c r="X136" s="324"/>
      <c r="Y136" s="324"/>
      <c r="Z136" s="324"/>
      <c r="AA136" s="324"/>
      <c r="AB136" s="324"/>
      <c r="AC136" s="324"/>
      <c r="AD136" s="324"/>
      <c r="AE136" s="324"/>
      <c r="AF136" s="324">
        <v>250</v>
      </c>
      <c r="AG136" s="140">
        <f t="shared" si="45"/>
        <v>250</v>
      </c>
      <c r="AH136" s="324"/>
      <c r="AI136" s="324"/>
      <c r="AJ136" s="324"/>
      <c r="AK136" s="324"/>
      <c r="AL136" s="324"/>
      <c r="AM136" s="324"/>
      <c r="AN136" s="324"/>
      <c r="AO136" s="324"/>
      <c r="AP136" s="324"/>
      <c r="AQ136" s="324"/>
      <c r="AR136" s="324"/>
      <c r="AS136" s="324"/>
      <c r="AT136" s="140">
        <f t="shared" si="46"/>
        <v>0</v>
      </c>
      <c r="AU136" s="324"/>
      <c r="AV136" s="324"/>
      <c r="AW136" s="324"/>
      <c r="AX136" s="324"/>
      <c r="AY136" s="324"/>
      <c r="AZ136" s="324"/>
      <c r="BA136" s="324"/>
      <c r="BB136" s="324"/>
      <c r="BC136" s="324"/>
      <c r="BD136" s="324"/>
      <c r="BE136" s="324"/>
      <c r="BF136" s="324"/>
      <c r="BG136" s="140">
        <f t="shared" si="47"/>
        <v>0</v>
      </c>
      <c r="BH136" s="324"/>
      <c r="BI136" s="324"/>
      <c r="BJ136" s="324"/>
      <c r="BK136" s="324"/>
      <c r="BL136" s="324"/>
      <c r="BM136" s="324"/>
      <c r="BN136" s="324"/>
      <c r="BO136" s="324"/>
      <c r="BP136" s="324"/>
      <c r="BQ136" s="324"/>
      <c r="BR136" s="324"/>
      <c r="BS136" s="324"/>
      <c r="BT136" s="140">
        <f t="shared" si="48"/>
        <v>0</v>
      </c>
      <c r="BU136" s="114">
        <f t="shared" si="49"/>
        <v>250</v>
      </c>
      <c r="BV136" s="432"/>
      <c r="BW136" s="432"/>
      <c r="BX136" s="432"/>
      <c r="BY136" s="432"/>
      <c r="BZ136" s="433"/>
      <c r="CA136" s="434"/>
      <c r="CB136" s="7" t="s">
        <v>483</v>
      </c>
      <c r="CC136" s="3"/>
      <c r="CD136" s="3"/>
      <c r="CE136" s="3"/>
      <c r="CF136" s="3"/>
      <c r="CG136" s="3"/>
      <c r="CH136" s="3"/>
      <c r="CI136" s="3"/>
      <c r="CJ136" s="3"/>
      <c r="CK136" s="3"/>
      <c r="CL136" s="3"/>
      <c r="CM136" s="3"/>
      <c r="CN136" s="3"/>
      <c r="CO136" s="4">
        <f t="shared" si="75"/>
        <v>0</v>
      </c>
      <c r="CP136" s="3"/>
      <c r="CQ136" s="3"/>
      <c r="CR136" s="3"/>
      <c r="CS136" s="3"/>
      <c r="CT136" s="3"/>
      <c r="CU136" s="3"/>
      <c r="CV136" s="3"/>
      <c r="CW136" s="3"/>
      <c r="CX136" s="3"/>
      <c r="CY136" s="3"/>
      <c r="CZ136" s="3"/>
      <c r="DA136" s="3">
        <v>738</v>
      </c>
      <c r="DB136" s="4">
        <f t="shared" si="76"/>
        <v>738</v>
      </c>
      <c r="DC136" s="3"/>
      <c r="DD136" s="3"/>
      <c r="DE136" s="3"/>
      <c r="DF136" s="3"/>
      <c r="DG136" s="3"/>
      <c r="DH136" s="3"/>
      <c r="DI136" s="3"/>
      <c r="DJ136" s="3"/>
      <c r="DK136" s="3"/>
      <c r="DL136" s="3"/>
      <c r="DM136" s="3"/>
      <c r="DN136" s="3"/>
      <c r="DO136" s="4">
        <f t="shared" si="77"/>
        <v>0</v>
      </c>
      <c r="DP136" s="3"/>
      <c r="DQ136" s="3"/>
      <c r="DR136" s="3"/>
      <c r="DS136" s="3"/>
      <c r="DT136" s="3"/>
      <c r="DU136" s="3"/>
      <c r="DV136" s="3"/>
      <c r="DW136" s="3"/>
      <c r="DX136" s="3"/>
      <c r="DY136" s="3"/>
      <c r="DZ136" s="3"/>
      <c r="EA136" s="3"/>
      <c r="EB136" s="4">
        <f t="shared" si="78"/>
        <v>0</v>
      </c>
      <c r="EC136" s="3"/>
      <c r="ED136" s="3"/>
      <c r="EE136" s="3"/>
      <c r="EF136" s="3"/>
      <c r="EG136" s="3"/>
      <c r="EH136" s="3"/>
      <c r="EI136" s="3"/>
      <c r="EJ136" s="3"/>
      <c r="EK136" s="3"/>
      <c r="EL136" s="3"/>
      <c r="EM136" s="3"/>
      <c r="EN136" s="3"/>
      <c r="EO136" s="4">
        <f t="shared" si="79"/>
        <v>0</v>
      </c>
      <c r="EP136" s="8">
        <f t="shared" si="80"/>
        <v>738</v>
      </c>
      <c r="EQ136" s="181">
        <f>IFERROR(VLOOKUP(I136,CEI_012018!$A$1:$U$509,9,FALSE),0)</f>
        <v>0</v>
      </c>
      <c r="ER136" s="181">
        <f>IFERROR(VLOOKUP(I136,CEI_022018!$A$1:$U$509,9,FALSE),0)</f>
        <v>0</v>
      </c>
      <c r="ES136" s="181">
        <f>IFERROR(VLOOKUP(I136,CEI_032018!$A$1:$U$509,9,FALSE),0)</f>
        <v>0</v>
      </c>
      <c r="ET136" s="181">
        <f>IFERROR(VLOOKUP(I136,CEI_042018!$A$1:$U$491,9,FALSE),0)</f>
        <v>0</v>
      </c>
      <c r="EU136" s="181">
        <f>IFERROR(VLOOKUP(I136,CEI_052018!$A$1:$U$489,9,FALSE),0)</f>
        <v>0</v>
      </c>
      <c r="EV136" s="181">
        <f>IFERROR(VLOOKUP(I136,CEI_062018!$A$1:$U$489,9,FALSE),0)</f>
        <v>0</v>
      </c>
      <c r="EW136" s="181">
        <f>IFERROR(VLOOKUP(I136,CEI_072018!$A$1:$U$489,9,FALSE),0)</f>
        <v>0</v>
      </c>
      <c r="EX136" s="181">
        <f>IFERROR(VLOOKUP(I136,CEI_082018!$A$1:$U$489,9,FALSE),0)</f>
        <v>0</v>
      </c>
      <c r="EY136" s="181">
        <f>IFERROR(VLOOKUP(I136,CEI_092018!$A$1:$U$489,9,FALSE),0)</f>
        <v>0</v>
      </c>
      <c r="EZ136" s="181"/>
      <c r="FA136" s="181"/>
      <c r="FB136" s="181"/>
      <c r="FC136" s="181">
        <f>IFERROR(VLOOKUP(I136,CEI_092018!$A$1:$U$489,12,FALSE),0)</f>
        <v>0</v>
      </c>
      <c r="FD136" s="181">
        <f t="shared" si="71"/>
        <v>0</v>
      </c>
      <c r="FE136" s="181">
        <f t="shared" si="72"/>
        <v>0</v>
      </c>
      <c r="FF136"/>
      <c r="FG136"/>
      <c r="FH136"/>
      <c r="FI136"/>
      <c r="FJ136"/>
      <c r="FK136"/>
      <c r="FL136"/>
      <c r="FM136"/>
      <c r="FN136"/>
      <c r="FO136"/>
      <c r="FP136"/>
      <c r="FQ136"/>
      <c r="FR136"/>
      <c r="FS136"/>
      <c r="FT136"/>
      <c r="FU136"/>
      <c r="FV136"/>
      <c r="FW136"/>
      <c r="FX136"/>
      <c r="FY136"/>
      <c r="FZ136"/>
      <c r="GA136"/>
      <c r="GB136"/>
      <c r="GC136"/>
    </row>
    <row r="137" spans="1:185" ht="12.75" customHeight="1" x14ac:dyDescent="0.25">
      <c r="A137" s="202"/>
      <c r="B137" s="22" t="s">
        <v>57</v>
      </c>
      <c r="C137" s="34" t="s">
        <v>41</v>
      </c>
      <c r="D137" s="22" t="s">
        <v>58</v>
      </c>
      <c r="E137" s="25" t="s">
        <v>292</v>
      </c>
      <c r="F137" s="25" t="s">
        <v>58</v>
      </c>
      <c r="G137" s="25" t="s">
        <v>292</v>
      </c>
      <c r="H137" s="22" t="s">
        <v>56</v>
      </c>
      <c r="I137" s="404" t="s">
        <v>1152</v>
      </c>
      <c r="J137" s="136" t="s">
        <v>1486</v>
      </c>
      <c r="K137" s="23" t="s">
        <v>476</v>
      </c>
      <c r="L137" s="23" t="s">
        <v>477</v>
      </c>
      <c r="M137" s="23" t="s">
        <v>478</v>
      </c>
      <c r="N137" s="23" t="s">
        <v>1778</v>
      </c>
      <c r="O137" s="2"/>
      <c r="P137" s="2"/>
      <c r="Q137" s="2">
        <v>7</v>
      </c>
      <c r="R137" s="2">
        <v>3</v>
      </c>
      <c r="S137" s="2">
        <v>20</v>
      </c>
      <c r="T137" s="116">
        <f t="shared" si="82"/>
        <v>30</v>
      </c>
      <c r="U137" s="324"/>
      <c r="V137" s="324"/>
      <c r="W137" s="324"/>
      <c r="X137" s="324"/>
      <c r="Y137" s="324"/>
      <c r="Z137" s="324"/>
      <c r="AA137" s="324"/>
      <c r="AB137" s="324"/>
      <c r="AC137" s="324">
        <v>55</v>
      </c>
      <c r="AD137" s="324">
        <v>100</v>
      </c>
      <c r="AE137" s="324">
        <v>55</v>
      </c>
      <c r="AF137" s="324"/>
      <c r="AG137" s="140">
        <f t="shared" si="45"/>
        <v>210</v>
      </c>
      <c r="AH137" s="324"/>
      <c r="AI137" s="324"/>
      <c r="AJ137" s="324"/>
      <c r="AK137" s="324"/>
      <c r="AL137" s="324"/>
      <c r="AM137" s="324"/>
      <c r="AN137" s="324"/>
      <c r="AO137" s="324"/>
      <c r="AP137" s="324"/>
      <c r="AQ137" s="324"/>
      <c r="AR137" s="324"/>
      <c r="AS137" s="324"/>
      <c r="AT137" s="140">
        <f t="shared" si="46"/>
        <v>0</v>
      </c>
      <c r="AU137" s="324"/>
      <c r="AV137" s="324"/>
      <c r="AW137" s="324"/>
      <c r="AX137" s="324"/>
      <c r="AY137" s="324"/>
      <c r="AZ137" s="324"/>
      <c r="BA137" s="324"/>
      <c r="BB137" s="324"/>
      <c r="BC137" s="324"/>
      <c r="BD137" s="324"/>
      <c r="BE137" s="324"/>
      <c r="BF137" s="324"/>
      <c r="BG137" s="140">
        <f t="shared" si="47"/>
        <v>0</v>
      </c>
      <c r="BH137" s="324"/>
      <c r="BI137" s="324"/>
      <c r="BJ137" s="324"/>
      <c r="BK137" s="324"/>
      <c r="BL137" s="324"/>
      <c r="BM137" s="324"/>
      <c r="BN137" s="324"/>
      <c r="BO137" s="324"/>
      <c r="BP137" s="324"/>
      <c r="BQ137" s="324"/>
      <c r="BR137" s="324"/>
      <c r="BS137" s="324"/>
      <c r="BT137" s="140">
        <f t="shared" si="48"/>
        <v>0</v>
      </c>
      <c r="BU137" s="114">
        <f t="shared" si="49"/>
        <v>240</v>
      </c>
      <c r="BV137" s="372">
        <v>1</v>
      </c>
      <c r="BW137" s="372">
        <v>1</v>
      </c>
      <c r="BX137" s="372">
        <v>1</v>
      </c>
      <c r="BY137" s="372">
        <v>-1</v>
      </c>
      <c r="BZ137" s="436">
        <f>IFERROR((EX137/T137%),0)</f>
        <v>0</v>
      </c>
      <c r="CA137" s="436">
        <f>IFERROR((FD137/T137%),0)</f>
        <v>0</v>
      </c>
      <c r="CB137" s="7" t="s">
        <v>72</v>
      </c>
      <c r="CC137" s="83">
        <v>0</v>
      </c>
      <c r="CD137" s="83">
        <v>0</v>
      </c>
      <c r="CE137" s="83">
        <v>0</v>
      </c>
      <c r="CF137" s="83">
        <v>0</v>
      </c>
      <c r="CG137" s="84">
        <v>0</v>
      </c>
      <c r="CH137" s="84">
        <v>0</v>
      </c>
      <c r="CI137" s="84">
        <v>0</v>
      </c>
      <c r="CJ137" s="84">
        <v>0</v>
      </c>
      <c r="CK137" s="84">
        <v>0</v>
      </c>
      <c r="CL137" s="84">
        <v>1.8039182134406337E-3</v>
      </c>
      <c r="CM137" s="84">
        <v>7.7310780576027164E-4</v>
      </c>
      <c r="CN137" s="84">
        <v>5.1540520384018105E-3</v>
      </c>
      <c r="CO137" s="4">
        <f t="shared" si="75"/>
        <v>7.7310780576027157E-3</v>
      </c>
      <c r="CP137" s="84">
        <v>0</v>
      </c>
      <c r="CQ137" s="84">
        <v>0</v>
      </c>
      <c r="CR137" s="84">
        <v>0</v>
      </c>
      <c r="CS137" s="84">
        <v>0</v>
      </c>
      <c r="CT137" s="84">
        <v>0</v>
      </c>
      <c r="CU137" s="84">
        <v>0</v>
      </c>
      <c r="CV137" s="84">
        <v>0</v>
      </c>
      <c r="CW137" s="84">
        <v>0</v>
      </c>
      <c r="CX137" s="84">
        <v>7.7655272101939173E-3</v>
      </c>
      <c r="CY137" s="84">
        <v>1.4119140382170759E-2</v>
      </c>
      <c r="CZ137" s="84">
        <v>7.7655272101939173E-3</v>
      </c>
      <c r="DA137" s="84">
        <v>0</v>
      </c>
      <c r="DB137" s="4">
        <f t="shared" si="76"/>
        <v>2.9650194802558594E-2</v>
      </c>
      <c r="DC137" s="84">
        <v>0</v>
      </c>
      <c r="DD137" s="84">
        <v>0</v>
      </c>
      <c r="DE137" s="84">
        <v>0</v>
      </c>
      <c r="DF137" s="84">
        <v>0</v>
      </c>
      <c r="DG137" s="84">
        <v>0</v>
      </c>
      <c r="DH137" s="84">
        <v>0</v>
      </c>
      <c r="DI137" s="84">
        <v>0</v>
      </c>
      <c r="DJ137" s="84">
        <v>0</v>
      </c>
      <c r="DK137" s="84">
        <v>0</v>
      </c>
      <c r="DL137" s="84">
        <v>0</v>
      </c>
      <c r="DM137" s="84">
        <v>0</v>
      </c>
      <c r="DN137" s="84">
        <v>0</v>
      </c>
      <c r="DO137" s="4">
        <f t="shared" si="77"/>
        <v>0</v>
      </c>
      <c r="DP137" s="84">
        <v>0</v>
      </c>
      <c r="DQ137" s="84">
        <v>0</v>
      </c>
      <c r="DR137" s="84">
        <v>0</v>
      </c>
      <c r="DS137" s="84">
        <v>0</v>
      </c>
      <c r="DT137" s="84">
        <v>0</v>
      </c>
      <c r="DU137" s="84">
        <v>0</v>
      </c>
      <c r="DV137" s="84">
        <v>0</v>
      </c>
      <c r="DW137" s="84">
        <v>0</v>
      </c>
      <c r="DX137" s="84">
        <v>0</v>
      </c>
      <c r="DY137" s="84">
        <v>0</v>
      </c>
      <c r="DZ137" s="84">
        <v>0</v>
      </c>
      <c r="EA137" s="84">
        <v>0</v>
      </c>
      <c r="EB137" s="4">
        <f t="shared" si="78"/>
        <v>0</v>
      </c>
      <c r="EC137" s="84">
        <v>0</v>
      </c>
      <c r="ED137" s="84">
        <v>0</v>
      </c>
      <c r="EE137" s="84">
        <v>0</v>
      </c>
      <c r="EF137" s="84">
        <v>0</v>
      </c>
      <c r="EG137" s="84">
        <v>0</v>
      </c>
      <c r="EH137" s="84">
        <v>0</v>
      </c>
      <c r="EI137" s="84">
        <v>0</v>
      </c>
      <c r="EJ137" s="84">
        <v>0</v>
      </c>
      <c r="EK137" s="84">
        <v>0</v>
      </c>
      <c r="EL137" s="84">
        <v>0</v>
      </c>
      <c r="EM137" s="84">
        <v>0</v>
      </c>
      <c r="EN137" s="84">
        <v>0</v>
      </c>
      <c r="EO137" s="4">
        <f t="shared" si="79"/>
        <v>0</v>
      </c>
      <c r="EP137" s="8">
        <f t="shared" si="80"/>
        <v>3.738127286016131E-2</v>
      </c>
      <c r="EQ137" s="181">
        <f>IFERROR(VLOOKUP(I137,CEI_012018!$A$1:$U$509,9,FALSE),0)</f>
        <v>0</v>
      </c>
      <c r="ER137" s="181">
        <f>IFERROR(VLOOKUP(I137,CEI_022018!$A$1:$U$509,9,FALSE),0)</f>
        <v>0</v>
      </c>
      <c r="ES137" s="181">
        <f>IFERROR(VLOOKUP(I137,CEI_032018!$A$1:$U$509,9,FALSE),0)</f>
        <v>0</v>
      </c>
      <c r="ET137" s="181">
        <f>IFERROR(VLOOKUP(I137,CEI_042018!$A$1:$U$491,9,FALSE),0)</f>
        <v>0</v>
      </c>
      <c r="EU137" s="181">
        <f>IFERROR(VLOOKUP(I137,CEI_052018!$A$1:$U$489,9,FALSE),0)</f>
        <v>0</v>
      </c>
      <c r="EV137" s="181">
        <f>IFERROR(VLOOKUP(I137,CEI_062018!$A$1:$U$489,9,FALSE),0)</f>
        <v>0</v>
      </c>
      <c r="EW137" s="181">
        <f>IFERROR(VLOOKUP(I137,CEI_072018!$A$1:$U$489,9,FALSE),0)</f>
        <v>0</v>
      </c>
      <c r="EX137" s="181">
        <f>IFERROR(VLOOKUP(I137,CEI_082018!$A$1:$U$489,9,FALSE),0)</f>
        <v>0</v>
      </c>
      <c r="EY137" s="181">
        <f>IFERROR(VLOOKUP(I137,CEI_092018!$A$1:$U$489,9,FALSE),0)</f>
        <v>0</v>
      </c>
      <c r="EZ137" s="181"/>
      <c r="FA137" s="181"/>
      <c r="FB137" s="181"/>
      <c r="FC137" s="181">
        <f>IFERROR(VLOOKUP(I137,CEI_092018!$A$1:$U$489,12,FALSE),0)</f>
        <v>0</v>
      </c>
      <c r="FD137" s="181">
        <f t="shared" si="71"/>
        <v>0</v>
      </c>
      <c r="FE137" s="181">
        <f t="shared" si="72"/>
        <v>30</v>
      </c>
      <c r="FF137"/>
      <c r="FG137"/>
      <c r="FH137"/>
      <c r="FI137"/>
      <c r="FJ137"/>
      <c r="FK137"/>
      <c r="FL137"/>
      <c r="FM137"/>
      <c r="FN137"/>
      <c r="FO137"/>
      <c r="FP137"/>
      <c r="FQ137"/>
      <c r="FR137"/>
      <c r="FS137"/>
      <c r="FT137"/>
      <c r="FU137"/>
      <c r="FV137"/>
      <c r="FW137"/>
      <c r="FX137"/>
      <c r="FY137"/>
      <c r="FZ137"/>
      <c r="GA137"/>
      <c r="GB137"/>
      <c r="GC137"/>
    </row>
    <row r="138" spans="1:185" ht="12.75" customHeight="1" x14ac:dyDescent="0.25">
      <c r="A138" s="202"/>
      <c r="B138" s="22" t="s">
        <v>57</v>
      </c>
      <c r="C138" s="34" t="s">
        <v>41</v>
      </c>
      <c r="D138" s="22" t="s">
        <v>58</v>
      </c>
      <c r="E138" s="25" t="s">
        <v>1034</v>
      </c>
      <c r="F138" s="25" t="s">
        <v>58</v>
      </c>
      <c r="G138" s="25" t="s">
        <v>1034</v>
      </c>
      <c r="H138" s="22" t="s">
        <v>56</v>
      </c>
      <c r="I138" s="423" t="s">
        <v>565</v>
      </c>
      <c r="J138" s="37"/>
      <c r="K138" s="23" t="s">
        <v>885</v>
      </c>
      <c r="L138" s="23" t="s">
        <v>883</v>
      </c>
      <c r="M138" s="23" t="s">
        <v>884</v>
      </c>
      <c r="N138" s="23"/>
      <c r="O138" s="2"/>
      <c r="P138" s="2"/>
      <c r="Q138" s="2"/>
      <c r="R138" s="2"/>
      <c r="S138" s="2"/>
      <c r="T138" s="116">
        <f t="shared" si="82"/>
        <v>0</v>
      </c>
      <c r="U138" s="324"/>
      <c r="V138" s="324"/>
      <c r="W138" s="324"/>
      <c r="X138" s="324"/>
      <c r="Y138" s="324"/>
      <c r="Z138" s="324"/>
      <c r="AA138" s="324"/>
      <c r="AB138" s="324"/>
      <c r="AC138" s="324"/>
      <c r="AD138" s="324"/>
      <c r="AE138" s="324">
        <v>0</v>
      </c>
      <c r="AF138" s="324"/>
      <c r="AG138" s="140">
        <f t="shared" ref="AG138:AG201" si="83">SUM(U138:AF138)</f>
        <v>0</v>
      </c>
      <c r="AH138" s="324"/>
      <c r="AI138" s="324"/>
      <c r="AJ138" s="324"/>
      <c r="AK138" s="324"/>
      <c r="AL138" s="324"/>
      <c r="AM138" s="324"/>
      <c r="AN138" s="324"/>
      <c r="AO138" s="324"/>
      <c r="AP138" s="324"/>
      <c r="AQ138" s="324"/>
      <c r="AR138" s="324">
        <v>63</v>
      </c>
      <c r="AS138" s="324"/>
      <c r="AT138" s="140">
        <f t="shared" ref="AT138:AT201" si="84">SUM(AH138:AS138)</f>
        <v>63</v>
      </c>
      <c r="AU138" s="324"/>
      <c r="AV138" s="324"/>
      <c r="AW138" s="324"/>
      <c r="AX138" s="324"/>
      <c r="AY138" s="324"/>
      <c r="AZ138" s="324"/>
      <c r="BA138" s="324"/>
      <c r="BB138" s="324"/>
      <c r="BC138" s="324"/>
      <c r="BD138" s="324"/>
      <c r="BE138" s="324">
        <v>74</v>
      </c>
      <c r="BF138" s="324"/>
      <c r="BG138" s="140">
        <f t="shared" ref="BG138:BG201" si="85">SUM(AU138:BF138)</f>
        <v>74</v>
      </c>
      <c r="BH138" s="324"/>
      <c r="BI138" s="324"/>
      <c r="BJ138" s="324"/>
      <c r="BK138" s="324"/>
      <c r="BL138" s="324"/>
      <c r="BM138" s="324"/>
      <c r="BN138" s="324"/>
      <c r="BO138" s="324"/>
      <c r="BP138" s="324"/>
      <c r="BQ138" s="324"/>
      <c r="BR138" s="324"/>
      <c r="BS138" s="324">
        <v>100</v>
      </c>
      <c r="BT138" s="140">
        <f t="shared" ref="BT138:BT201" si="86">SUM(BH138:BS138)</f>
        <v>100</v>
      </c>
      <c r="BU138" s="114">
        <f t="shared" ref="BU138:BU201" si="87">SUM(BT138,BG138,AT138,AG138,T138)</f>
        <v>237</v>
      </c>
      <c r="BV138" s="432"/>
      <c r="BW138" s="432"/>
      <c r="BX138" s="432"/>
      <c r="BY138" s="432"/>
      <c r="BZ138" s="433"/>
      <c r="CA138" s="434"/>
      <c r="CB138" s="7" t="s">
        <v>291</v>
      </c>
      <c r="CC138" s="3"/>
      <c r="CD138" s="3"/>
      <c r="CE138" s="3"/>
      <c r="CF138" s="3"/>
      <c r="CG138" s="3"/>
      <c r="CH138" s="3"/>
      <c r="CI138" s="3"/>
      <c r="CJ138" s="3"/>
      <c r="CK138" s="3"/>
      <c r="CL138" s="3"/>
      <c r="CM138" s="3"/>
      <c r="CN138" s="3"/>
      <c r="CO138" s="4">
        <f t="shared" si="75"/>
        <v>0</v>
      </c>
      <c r="CP138" s="3"/>
      <c r="CQ138" s="3"/>
      <c r="CR138" s="3"/>
      <c r="CS138" s="3"/>
      <c r="CT138" s="3"/>
      <c r="CU138" s="3"/>
      <c r="CV138" s="3"/>
      <c r="CW138" s="3"/>
      <c r="CX138" s="3"/>
      <c r="CY138" s="3"/>
      <c r="CZ138" s="3">
        <v>30</v>
      </c>
      <c r="DA138" s="3"/>
      <c r="DB138" s="4">
        <f t="shared" si="76"/>
        <v>30</v>
      </c>
      <c r="DC138" s="3"/>
      <c r="DD138" s="3"/>
      <c r="DE138" s="3"/>
      <c r="DF138" s="3"/>
      <c r="DG138" s="3"/>
      <c r="DH138" s="3"/>
      <c r="DI138" s="3"/>
      <c r="DJ138" s="3"/>
      <c r="DK138" s="3"/>
      <c r="DL138" s="3"/>
      <c r="DM138" s="3">
        <v>38</v>
      </c>
      <c r="DN138" s="3"/>
      <c r="DO138" s="4">
        <f t="shared" si="77"/>
        <v>38</v>
      </c>
      <c r="DP138" s="3"/>
      <c r="DQ138" s="3"/>
      <c r="DR138" s="3"/>
      <c r="DS138" s="3"/>
      <c r="DT138" s="3"/>
      <c r="DU138" s="3"/>
      <c r="DV138" s="3"/>
      <c r="DW138" s="3"/>
      <c r="DX138" s="3"/>
      <c r="DY138" s="3"/>
      <c r="DZ138" s="3"/>
      <c r="EA138" s="3">
        <v>52</v>
      </c>
      <c r="EB138" s="4">
        <f t="shared" si="78"/>
        <v>52</v>
      </c>
      <c r="EC138" s="3"/>
      <c r="ED138" s="3"/>
      <c r="EE138" s="3"/>
      <c r="EF138" s="3"/>
      <c r="EG138" s="3"/>
      <c r="EH138" s="3"/>
      <c r="EI138" s="3"/>
      <c r="EJ138" s="3"/>
      <c r="EK138" s="3"/>
      <c r="EL138" s="3"/>
      <c r="EM138" s="3"/>
      <c r="EN138" s="3"/>
      <c r="EO138" s="4">
        <f t="shared" si="79"/>
        <v>0</v>
      </c>
      <c r="EP138" s="8">
        <f t="shared" si="80"/>
        <v>120</v>
      </c>
      <c r="EQ138" s="181">
        <f>IFERROR(VLOOKUP(I138,CEI_012018!$A$1:$U$509,9,FALSE),0)</f>
        <v>0</v>
      </c>
      <c r="ER138" s="181">
        <f>IFERROR(VLOOKUP(I138,CEI_022018!$A$1:$U$509,9,FALSE),0)</f>
        <v>0</v>
      </c>
      <c r="ES138" s="181">
        <f>IFERROR(VLOOKUP(I138,CEI_032018!$A$1:$U$509,9,FALSE),0)</f>
        <v>0</v>
      </c>
      <c r="ET138" s="181">
        <f>IFERROR(VLOOKUP(I138,CEI_042018!$A$1:$U$491,9,FALSE),0)</f>
        <v>0</v>
      </c>
      <c r="EU138" s="181">
        <f>IFERROR(VLOOKUP(I138,CEI_052018!$A$1:$U$489,9,FALSE),0)</f>
        <v>0</v>
      </c>
      <c r="EV138" s="181">
        <f>IFERROR(VLOOKUP(I138,CEI_062018!$A$1:$U$489,9,FALSE),0)</f>
        <v>0</v>
      </c>
      <c r="EW138" s="181">
        <f>IFERROR(VLOOKUP(I138,CEI_072018!$A$1:$U$489,9,FALSE),0)</f>
        <v>0</v>
      </c>
      <c r="EX138" s="181">
        <f>IFERROR(VLOOKUP(I138,CEI_082018!$A$1:$U$489,9,FALSE),0)</f>
        <v>0</v>
      </c>
      <c r="EY138" s="181">
        <f>IFERROR(VLOOKUP(I138,CEI_092018!$A$1:$U$489,9,FALSE),0)</f>
        <v>0</v>
      </c>
      <c r="EZ138" s="181"/>
      <c r="FA138" s="181"/>
      <c r="FB138" s="181"/>
      <c r="FC138" s="181">
        <f>IFERROR(VLOOKUP(I138,CEI_092018!$A$1:$U$489,12,FALSE),0)</f>
        <v>0</v>
      </c>
      <c r="FD138" s="181">
        <f t="shared" si="71"/>
        <v>0</v>
      </c>
      <c r="FE138" s="181">
        <f t="shared" si="72"/>
        <v>0</v>
      </c>
      <c r="FF138"/>
      <c r="FG138"/>
      <c r="FH138"/>
      <c r="FI138"/>
      <c r="FJ138"/>
      <c r="FK138"/>
      <c r="FL138"/>
      <c r="FM138"/>
      <c r="FN138"/>
      <c r="FO138"/>
      <c r="FP138"/>
      <c r="FQ138"/>
      <c r="FR138"/>
      <c r="FS138"/>
      <c r="FT138"/>
      <c r="FU138"/>
      <c r="FV138"/>
      <c r="FW138"/>
      <c r="FX138"/>
      <c r="FY138"/>
      <c r="FZ138"/>
      <c r="GA138"/>
      <c r="GB138"/>
      <c r="GC138"/>
    </row>
    <row r="139" spans="1:185" ht="12.75" customHeight="1" x14ac:dyDescent="0.25">
      <c r="A139" s="202"/>
      <c r="B139" s="22" t="s">
        <v>57</v>
      </c>
      <c r="C139" s="34" t="s">
        <v>41</v>
      </c>
      <c r="D139" s="22" t="s">
        <v>1985</v>
      </c>
      <c r="E139" s="383" t="s">
        <v>1966</v>
      </c>
      <c r="F139" s="25" t="s">
        <v>1985</v>
      </c>
      <c r="G139" s="34" t="s">
        <v>1966</v>
      </c>
      <c r="H139" s="22" t="s">
        <v>226</v>
      </c>
      <c r="I139" s="423" t="s">
        <v>1657</v>
      </c>
      <c r="J139" s="373" t="s">
        <v>1658</v>
      </c>
      <c r="K139" s="23" t="s">
        <v>2042</v>
      </c>
      <c r="L139" s="23"/>
      <c r="M139" s="23"/>
      <c r="N139" s="23"/>
      <c r="O139" s="2">
        <v>10.799999952316284</v>
      </c>
      <c r="P139" s="2"/>
      <c r="Q139" s="2"/>
      <c r="R139" s="2"/>
      <c r="S139" s="2">
        <f>5.20000004768371+160</f>
        <v>165.20000004768372</v>
      </c>
      <c r="T139" s="116">
        <f t="shared" si="82"/>
        <v>176</v>
      </c>
      <c r="U139" s="324"/>
      <c r="V139" s="324"/>
      <c r="W139" s="324"/>
      <c r="X139" s="324"/>
      <c r="Y139" s="324"/>
      <c r="Z139" s="324"/>
      <c r="AA139" s="324"/>
      <c r="AB139" s="324"/>
      <c r="AC139" s="324"/>
      <c r="AD139" s="324"/>
      <c r="AE139" s="324"/>
      <c r="AF139" s="324"/>
      <c r="AG139" s="140">
        <f t="shared" si="83"/>
        <v>0</v>
      </c>
      <c r="AH139" s="324"/>
      <c r="AI139" s="324"/>
      <c r="AJ139" s="324"/>
      <c r="AK139" s="324"/>
      <c r="AL139" s="324"/>
      <c r="AM139" s="324"/>
      <c r="AN139" s="324"/>
      <c r="AO139" s="324"/>
      <c r="AP139" s="324"/>
      <c r="AQ139" s="324"/>
      <c r="AR139" s="324"/>
      <c r="AS139" s="324"/>
      <c r="AT139" s="140">
        <f t="shared" si="84"/>
        <v>0</v>
      </c>
      <c r="AU139" s="324"/>
      <c r="AV139" s="324"/>
      <c r="AW139" s="324"/>
      <c r="AX139" s="324"/>
      <c r="AY139" s="324"/>
      <c r="AZ139" s="324"/>
      <c r="BA139" s="324"/>
      <c r="BB139" s="324"/>
      <c r="BC139" s="324"/>
      <c r="BD139" s="324"/>
      <c r="BE139" s="324"/>
      <c r="BF139" s="324"/>
      <c r="BG139" s="140">
        <f t="shared" si="85"/>
        <v>0</v>
      </c>
      <c r="BH139" s="324"/>
      <c r="BI139" s="324"/>
      <c r="BJ139" s="324"/>
      <c r="BK139" s="324"/>
      <c r="BL139" s="324"/>
      <c r="BM139" s="324"/>
      <c r="BN139" s="324"/>
      <c r="BO139" s="324"/>
      <c r="BP139" s="324"/>
      <c r="BQ139" s="324"/>
      <c r="BR139" s="324"/>
      <c r="BS139" s="324"/>
      <c r="BT139" s="140">
        <f t="shared" si="86"/>
        <v>0</v>
      </c>
      <c r="BU139" s="114">
        <f t="shared" si="87"/>
        <v>176</v>
      </c>
      <c r="BV139" s="372">
        <v>1</v>
      </c>
      <c r="BW139" s="372">
        <v>1</v>
      </c>
      <c r="BX139" s="372">
        <v>-1</v>
      </c>
      <c r="BY139" s="372">
        <v>-1</v>
      </c>
      <c r="BZ139" s="436">
        <f>IFERROR((EX139/T139%),0)</f>
        <v>6.1363636092706164</v>
      </c>
      <c r="CA139" s="436">
        <f>IFERROR((FD139/T139%),0)</f>
        <v>0</v>
      </c>
      <c r="CB139" s="7" t="s">
        <v>73</v>
      </c>
      <c r="CC139" s="84"/>
      <c r="CD139" s="84"/>
      <c r="CE139" s="84"/>
      <c r="CF139" s="84"/>
      <c r="CG139" s="84"/>
      <c r="CH139" s="84"/>
      <c r="CI139" s="135">
        <v>1</v>
      </c>
      <c r="CJ139" s="84"/>
      <c r="CK139" s="84"/>
      <c r="CL139" s="84"/>
      <c r="CM139" s="84"/>
      <c r="CN139" s="84"/>
      <c r="CO139" s="4">
        <f t="shared" si="75"/>
        <v>1</v>
      </c>
      <c r="CP139" s="84"/>
      <c r="CQ139" s="84"/>
      <c r="CR139" s="84"/>
      <c r="CS139" s="84"/>
      <c r="CT139" s="84"/>
      <c r="CU139" s="84"/>
      <c r="CV139" s="84"/>
      <c r="CW139" s="84"/>
      <c r="CX139" s="84"/>
      <c r="CY139" s="84"/>
      <c r="CZ139" s="84"/>
      <c r="DA139" s="84"/>
      <c r="DB139" s="4">
        <f t="shared" si="76"/>
        <v>0</v>
      </c>
      <c r="DC139" s="84"/>
      <c r="DD139" s="84"/>
      <c r="DE139" s="84"/>
      <c r="DF139" s="84"/>
      <c r="DG139" s="84"/>
      <c r="DH139" s="84"/>
      <c r="DI139" s="84"/>
      <c r="DJ139" s="84"/>
      <c r="DK139" s="84"/>
      <c r="DL139" s="84"/>
      <c r="DM139" s="84"/>
      <c r="DN139" s="84"/>
      <c r="DO139" s="4">
        <f t="shared" si="77"/>
        <v>0</v>
      </c>
      <c r="DP139" s="84"/>
      <c r="DQ139" s="84"/>
      <c r="DR139" s="84"/>
      <c r="DS139" s="84"/>
      <c r="DT139" s="84"/>
      <c r="DU139" s="84"/>
      <c r="DV139" s="84"/>
      <c r="DW139" s="84"/>
      <c r="DX139" s="84"/>
      <c r="DY139" s="84"/>
      <c r="DZ139" s="84"/>
      <c r="EA139" s="84"/>
      <c r="EB139" s="4">
        <f t="shared" si="78"/>
        <v>0</v>
      </c>
      <c r="EC139" s="84"/>
      <c r="ED139" s="84"/>
      <c r="EE139" s="84"/>
      <c r="EF139" s="84"/>
      <c r="EG139" s="84"/>
      <c r="EH139" s="84"/>
      <c r="EI139" s="84"/>
      <c r="EJ139" s="84"/>
      <c r="EK139" s="84"/>
      <c r="EL139" s="84"/>
      <c r="EM139" s="84"/>
      <c r="EN139" s="84"/>
      <c r="EO139" s="4">
        <f t="shared" si="79"/>
        <v>0</v>
      </c>
      <c r="EP139" s="8">
        <f t="shared" si="80"/>
        <v>1</v>
      </c>
      <c r="EQ139" s="181">
        <f>IFERROR(VLOOKUP(I139,CEI_012018!$A$1:$U$509,9,FALSE),0)</f>
        <v>0</v>
      </c>
      <c r="ER139" s="181">
        <f>IFERROR(VLOOKUP(I139,CEI_022018!$A$1:$U$509,9,FALSE),0)</f>
        <v>0</v>
      </c>
      <c r="ES139" s="181">
        <f>IFERROR(VLOOKUP(I139,CEI_032018!$A$1:$U$509,9,FALSE),0)</f>
        <v>0</v>
      </c>
      <c r="ET139" s="181">
        <f>IFERROR(VLOOKUP(I139,CEI_042018!$A$1:$U$491,9,FALSE),0)</f>
        <v>0</v>
      </c>
      <c r="EU139" s="181">
        <f>IFERROR(VLOOKUP(I139,CEI_052018!$A$1:$U$489,9,FALSE),0)</f>
        <v>0</v>
      </c>
      <c r="EV139" s="181">
        <f>IFERROR(VLOOKUP(I139,CEI_062018!$A$1:$U$489,9,FALSE),0)</f>
        <v>0</v>
      </c>
      <c r="EW139" s="181">
        <f>IFERROR(VLOOKUP(I139,CEI_072018!$A$1:$U$489,9,FALSE),0)</f>
        <v>0</v>
      </c>
      <c r="EX139" s="181">
        <f>IFERROR(VLOOKUP(I139,CEI_082018!$A$1:$U$489,9,FALSE),0)</f>
        <v>10.799999952316284</v>
      </c>
      <c r="EY139" s="181">
        <f>IFERROR(VLOOKUP(I139,CEI_092018!$A$1:$U$489,9,FALSE),0)</f>
        <v>10.799999952316284</v>
      </c>
      <c r="EZ139" s="181"/>
      <c r="FA139" s="181"/>
      <c r="FB139" s="181"/>
      <c r="FC139" s="181">
        <f>IFERROR(VLOOKUP(I139,CEI_092018!$A$1:$U$489,12,FALSE),0)</f>
        <v>0</v>
      </c>
      <c r="FD139" s="181">
        <f t="shared" si="71"/>
        <v>0</v>
      </c>
      <c r="FE139" s="181">
        <f t="shared" si="72"/>
        <v>176</v>
      </c>
      <c r="FF139"/>
      <c r="FG139"/>
      <c r="FH139"/>
      <c r="FI139"/>
      <c r="FJ139"/>
      <c r="FK139"/>
      <c r="FL139"/>
      <c r="FM139"/>
      <c r="FN139"/>
      <c r="FO139"/>
      <c r="FP139"/>
      <c r="FQ139"/>
      <c r="FR139"/>
      <c r="FS139"/>
      <c r="FT139"/>
      <c r="FU139"/>
      <c r="FV139"/>
      <c r="FW139"/>
      <c r="FX139"/>
      <c r="FY139"/>
      <c r="FZ139"/>
      <c r="GA139"/>
      <c r="GB139"/>
      <c r="GC139"/>
    </row>
    <row r="140" spans="1:185" ht="12.75" customHeight="1" x14ac:dyDescent="0.25">
      <c r="A140" s="202"/>
      <c r="B140" s="22" t="s">
        <v>57</v>
      </c>
      <c r="C140" s="34" t="s">
        <v>41</v>
      </c>
      <c r="D140" s="22" t="s">
        <v>58</v>
      </c>
      <c r="E140" s="25" t="s">
        <v>1034</v>
      </c>
      <c r="F140" s="25" t="s">
        <v>58</v>
      </c>
      <c r="G140" s="25" t="s">
        <v>1034</v>
      </c>
      <c r="H140" s="22" t="s">
        <v>56</v>
      </c>
      <c r="I140" s="423" t="s">
        <v>565</v>
      </c>
      <c r="J140" s="37"/>
      <c r="K140" s="23" t="s">
        <v>1083</v>
      </c>
      <c r="L140" s="23" t="s">
        <v>882</v>
      </c>
      <c r="M140" s="23" t="s">
        <v>450</v>
      </c>
      <c r="N140" s="23"/>
      <c r="O140" s="2"/>
      <c r="P140" s="2"/>
      <c r="Q140" s="2"/>
      <c r="R140" s="2"/>
      <c r="S140" s="2"/>
      <c r="T140" s="116">
        <f t="shared" si="82"/>
        <v>0</v>
      </c>
      <c r="U140" s="324"/>
      <c r="V140" s="324"/>
      <c r="W140" s="324"/>
      <c r="X140" s="324"/>
      <c r="Y140" s="324"/>
      <c r="Z140" s="324"/>
      <c r="AA140" s="324"/>
      <c r="AB140" s="324"/>
      <c r="AC140" s="324"/>
      <c r="AD140" s="324"/>
      <c r="AE140" s="324">
        <v>50</v>
      </c>
      <c r="AF140" s="324"/>
      <c r="AG140" s="140">
        <f t="shared" si="83"/>
        <v>50</v>
      </c>
      <c r="AH140" s="324"/>
      <c r="AI140" s="324"/>
      <c r="AJ140" s="324"/>
      <c r="AK140" s="324"/>
      <c r="AL140" s="324"/>
      <c r="AM140" s="324"/>
      <c r="AN140" s="324"/>
      <c r="AO140" s="324"/>
      <c r="AP140" s="324"/>
      <c r="AQ140" s="324"/>
      <c r="AR140" s="324">
        <v>50</v>
      </c>
      <c r="AS140" s="324"/>
      <c r="AT140" s="140">
        <f t="shared" si="84"/>
        <v>50</v>
      </c>
      <c r="AU140" s="324"/>
      <c r="AV140" s="324"/>
      <c r="AW140" s="324"/>
      <c r="AX140" s="324"/>
      <c r="AY140" s="324"/>
      <c r="AZ140" s="324"/>
      <c r="BA140" s="324"/>
      <c r="BB140" s="324"/>
      <c r="BC140" s="324"/>
      <c r="BD140" s="324"/>
      <c r="BE140" s="324">
        <v>50</v>
      </c>
      <c r="BF140" s="324"/>
      <c r="BG140" s="140">
        <f t="shared" si="85"/>
        <v>50</v>
      </c>
      <c r="BH140" s="324"/>
      <c r="BI140" s="324"/>
      <c r="BJ140" s="324"/>
      <c r="BK140" s="324"/>
      <c r="BL140" s="324"/>
      <c r="BM140" s="324"/>
      <c r="BN140" s="324"/>
      <c r="BO140" s="324"/>
      <c r="BP140" s="324"/>
      <c r="BQ140" s="324"/>
      <c r="BR140" s="324">
        <v>50</v>
      </c>
      <c r="BS140" s="324"/>
      <c r="BT140" s="140">
        <f t="shared" si="86"/>
        <v>50</v>
      </c>
      <c r="BU140" s="114">
        <f t="shared" si="87"/>
        <v>200</v>
      </c>
      <c r="BV140" s="432"/>
      <c r="BW140" s="432"/>
      <c r="BX140" s="432"/>
      <c r="BY140" s="432"/>
      <c r="BZ140" s="433"/>
      <c r="CA140" s="434"/>
      <c r="CB140" s="7" t="s">
        <v>291</v>
      </c>
      <c r="CC140" s="3"/>
      <c r="CD140" s="3"/>
      <c r="CE140" s="3"/>
      <c r="CF140" s="3"/>
      <c r="CG140" s="3"/>
      <c r="CH140" s="3"/>
      <c r="CI140" s="3"/>
      <c r="CJ140" s="3"/>
      <c r="CK140" s="3"/>
      <c r="CL140" s="3"/>
      <c r="CM140" s="3"/>
      <c r="CN140" s="3"/>
      <c r="CO140" s="4">
        <f t="shared" si="75"/>
        <v>0</v>
      </c>
      <c r="CP140" s="3"/>
      <c r="CQ140" s="3"/>
      <c r="CR140" s="3"/>
      <c r="CS140" s="3"/>
      <c r="CT140" s="3"/>
      <c r="CU140" s="3"/>
      <c r="CV140" s="3"/>
      <c r="CW140" s="3"/>
      <c r="CX140" s="3"/>
      <c r="CY140" s="3"/>
      <c r="CZ140" s="3">
        <v>25</v>
      </c>
      <c r="DA140" s="3"/>
      <c r="DB140" s="4">
        <f t="shared" si="76"/>
        <v>25</v>
      </c>
      <c r="DC140" s="3"/>
      <c r="DD140" s="3"/>
      <c r="DE140" s="3"/>
      <c r="DF140" s="3"/>
      <c r="DG140" s="3"/>
      <c r="DH140" s="3"/>
      <c r="DI140" s="3"/>
      <c r="DJ140" s="3"/>
      <c r="DK140" s="3"/>
      <c r="DL140" s="3"/>
      <c r="DM140" s="3">
        <v>25</v>
      </c>
      <c r="DN140" s="3"/>
      <c r="DO140" s="4">
        <f t="shared" si="77"/>
        <v>25</v>
      </c>
      <c r="DP140" s="3"/>
      <c r="DQ140" s="3"/>
      <c r="DR140" s="3"/>
      <c r="DS140" s="3"/>
      <c r="DT140" s="3"/>
      <c r="DU140" s="3"/>
      <c r="DV140" s="3"/>
      <c r="DW140" s="3"/>
      <c r="DX140" s="3"/>
      <c r="DY140" s="3"/>
      <c r="DZ140" s="3"/>
      <c r="EA140" s="3">
        <v>25</v>
      </c>
      <c r="EB140" s="4">
        <f t="shared" si="78"/>
        <v>25</v>
      </c>
      <c r="EC140" s="3"/>
      <c r="ED140" s="3"/>
      <c r="EE140" s="3"/>
      <c r="EF140" s="3"/>
      <c r="EG140" s="3"/>
      <c r="EH140" s="3"/>
      <c r="EI140" s="3"/>
      <c r="EJ140" s="3"/>
      <c r="EK140" s="3"/>
      <c r="EL140" s="3"/>
      <c r="EM140" s="3">
        <v>25</v>
      </c>
      <c r="EN140" s="3"/>
      <c r="EO140" s="4">
        <f t="shared" si="79"/>
        <v>25</v>
      </c>
      <c r="EP140" s="8">
        <f t="shared" si="80"/>
        <v>100</v>
      </c>
      <c r="EQ140" s="181">
        <f>IFERROR(VLOOKUP(I140,CEI_012018!$A$1:$U$509,9,FALSE),0)</f>
        <v>0</v>
      </c>
      <c r="ER140" s="181">
        <f>IFERROR(VLOOKUP(I140,CEI_022018!$A$1:$U$509,9,FALSE),0)</f>
        <v>0</v>
      </c>
      <c r="ES140" s="181">
        <f>IFERROR(VLOOKUP(I140,CEI_032018!$A$1:$U$509,9,FALSE),0)</f>
        <v>0</v>
      </c>
      <c r="ET140" s="181">
        <f>IFERROR(VLOOKUP(I140,CEI_042018!$A$1:$U$491,9,FALSE),0)</f>
        <v>0</v>
      </c>
      <c r="EU140" s="181">
        <f>IFERROR(VLOOKUP(I140,CEI_052018!$A$1:$U$489,9,FALSE),0)</f>
        <v>0</v>
      </c>
      <c r="EV140" s="181">
        <f>IFERROR(VLOOKUP(I140,CEI_062018!$A$1:$U$489,9,FALSE),0)</f>
        <v>0</v>
      </c>
      <c r="EW140" s="181">
        <f>IFERROR(VLOOKUP(I140,CEI_072018!$A$1:$U$489,9,FALSE),0)</f>
        <v>0</v>
      </c>
      <c r="EX140" s="181">
        <f>IFERROR(VLOOKUP(I140,CEI_082018!$A$1:$U$489,9,FALSE),0)</f>
        <v>0</v>
      </c>
      <c r="EY140" s="181">
        <f>IFERROR(VLOOKUP(I140,CEI_092018!$A$1:$U$489,9,FALSE),0)</f>
        <v>0</v>
      </c>
      <c r="EZ140" s="181"/>
      <c r="FA140" s="181"/>
      <c r="FB140" s="181"/>
      <c r="FC140" s="181">
        <f>IFERROR(VLOOKUP(I140,CEI_092018!$A$1:$U$489,12,FALSE),0)</f>
        <v>0</v>
      </c>
      <c r="FD140" s="181">
        <f t="shared" si="71"/>
        <v>0</v>
      </c>
      <c r="FE140" s="181">
        <f t="shared" si="72"/>
        <v>0</v>
      </c>
      <c r="FF140"/>
      <c r="FG140"/>
      <c r="FH140"/>
      <c r="FI140"/>
      <c r="FJ140"/>
      <c r="FK140"/>
      <c r="FL140"/>
      <c r="FM140"/>
      <c r="FN140"/>
      <c r="FO140"/>
      <c r="FP140"/>
      <c r="FQ140"/>
      <c r="FR140"/>
      <c r="FS140"/>
      <c r="FT140"/>
      <c r="FU140"/>
      <c r="FV140"/>
      <c r="FW140"/>
      <c r="FX140"/>
      <c r="FY140"/>
      <c r="FZ140"/>
      <c r="GA140"/>
      <c r="GB140"/>
      <c r="GC140"/>
    </row>
    <row r="141" spans="1:185" ht="12.75" customHeight="1" x14ac:dyDescent="0.25">
      <c r="A141" s="202"/>
      <c r="B141" s="22" t="s">
        <v>57</v>
      </c>
      <c r="C141" s="34" t="s">
        <v>41</v>
      </c>
      <c r="D141" s="22" t="s">
        <v>58</v>
      </c>
      <c r="E141" s="25" t="s">
        <v>1040</v>
      </c>
      <c r="F141" s="25" t="s">
        <v>58</v>
      </c>
      <c r="G141" s="25" t="s">
        <v>1040</v>
      </c>
      <c r="H141" s="22" t="s">
        <v>56</v>
      </c>
      <c r="I141" s="423" t="s">
        <v>565</v>
      </c>
      <c r="J141" s="37"/>
      <c r="K141" s="23" t="s">
        <v>846</v>
      </c>
      <c r="L141" s="23" t="s">
        <v>847</v>
      </c>
      <c r="M141" s="23" t="s">
        <v>848</v>
      </c>
      <c r="N141" s="23" t="s">
        <v>1777</v>
      </c>
      <c r="O141" s="2"/>
      <c r="P141" s="2"/>
      <c r="Q141" s="2">
        <v>0</v>
      </c>
      <c r="R141" s="2">
        <v>0</v>
      </c>
      <c r="S141" s="2"/>
      <c r="T141" s="116">
        <f t="shared" si="82"/>
        <v>0</v>
      </c>
      <c r="U141" s="324"/>
      <c r="V141" s="324"/>
      <c r="W141" s="324"/>
      <c r="X141" s="324"/>
      <c r="Y141" s="324"/>
      <c r="Z141" s="324">
        <v>60</v>
      </c>
      <c r="AA141" s="324"/>
      <c r="AB141" s="324"/>
      <c r="AC141" s="324"/>
      <c r="AD141" s="324"/>
      <c r="AE141" s="324"/>
      <c r="AF141" s="324"/>
      <c r="AG141" s="140">
        <f t="shared" si="83"/>
        <v>60</v>
      </c>
      <c r="AH141" s="324"/>
      <c r="AI141" s="324"/>
      <c r="AJ141" s="324"/>
      <c r="AK141" s="324"/>
      <c r="AL141" s="324"/>
      <c r="AM141" s="324"/>
      <c r="AN141" s="324">
        <v>60</v>
      </c>
      <c r="AO141" s="324"/>
      <c r="AP141" s="324"/>
      <c r="AQ141" s="324"/>
      <c r="AR141" s="324"/>
      <c r="AS141" s="324"/>
      <c r="AT141" s="140">
        <f t="shared" si="84"/>
        <v>60</v>
      </c>
      <c r="AU141" s="324"/>
      <c r="AV141" s="324"/>
      <c r="AW141" s="324"/>
      <c r="AX141" s="324"/>
      <c r="AY141" s="324"/>
      <c r="AZ141" s="324">
        <v>60</v>
      </c>
      <c r="BA141" s="324"/>
      <c r="BB141" s="324"/>
      <c r="BC141" s="324"/>
      <c r="BD141" s="324"/>
      <c r="BE141" s="324"/>
      <c r="BF141" s="324"/>
      <c r="BG141" s="140">
        <f t="shared" si="85"/>
        <v>60</v>
      </c>
      <c r="BH141" s="324"/>
      <c r="BI141" s="324"/>
      <c r="BJ141" s="324"/>
      <c r="BK141" s="324"/>
      <c r="BL141" s="324"/>
      <c r="BM141" s="324"/>
      <c r="BN141" s="324"/>
      <c r="BO141" s="324"/>
      <c r="BP141" s="324"/>
      <c r="BQ141" s="324"/>
      <c r="BR141" s="324"/>
      <c r="BS141" s="324">
        <v>15</v>
      </c>
      <c r="BT141" s="140">
        <f t="shared" si="86"/>
        <v>15</v>
      </c>
      <c r="BU141" s="114">
        <f t="shared" si="87"/>
        <v>195</v>
      </c>
      <c r="BV141" s="432"/>
      <c r="BW141" s="432"/>
      <c r="BX141" s="432"/>
      <c r="BY141" s="432"/>
      <c r="BZ141" s="433"/>
      <c r="CA141" s="434"/>
      <c r="CB141" s="7" t="s">
        <v>849</v>
      </c>
      <c r="CC141" s="84"/>
      <c r="CD141" s="84"/>
      <c r="CE141" s="84"/>
      <c r="CF141" s="84"/>
      <c r="CG141" s="84"/>
      <c r="CH141" s="84"/>
      <c r="CI141" s="84"/>
      <c r="CJ141" s="84"/>
      <c r="CK141" s="84"/>
      <c r="CL141" s="84"/>
      <c r="CM141" s="84">
        <v>1</v>
      </c>
      <c r="CN141" s="84"/>
      <c r="CO141" s="4">
        <f t="shared" si="75"/>
        <v>1</v>
      </c>
      <c r="CP141" s="84"/>
      <c r="CQ141" s="84"/>
      <c r="CR141" s="84"/>
      <c r="CS141" s="84"/>
      <c r="CT141" s="84"/>
      <c r="CU141" s="84"/>
      <c r="CV141" s="84">
        <v>1</v>
      </c>
      <c r="CW141" s="84"/>
      <c r="CX141" s="84"/>
      <c r="CY141" s="84"/>
      <c r="CZ141" s="84"/>
      <c r="DA141" s="84"/>
      <c r="DB141" s="4">
        <f t="shared" si="76"/>
        <v>1</v>
      </c>
      <c r="DC141" s="84"/>
      <c r="DD141" s="84"/>
      <c r="DE141" s="84"/>
      <c r="DF141" s="84"/>
      <c r="DG141" s="84"/>
      <c r="DH141" s="84"/>
      <c r="DI141" s="84">
        <v>1</v>
      </c>
      <c r="DJ141" s="84"/>
      <c r="DK141" s="84"/>
      <c r="DL141" s="84"/>
      <c r="DM141" s="84"/>
      <c r="DN141" s="84"/>
      <c r="DO141" s="4">
        <f t="shared" si="77"/>
        <v>1</v>
      </c>
      <c r="DP141" s="84"/>
      <c r="DQ141" s="84"/>
      <c r="DR141" s="84"/>
      <c r="DS141" s="84"/>
      <c r="DT141" s="84"/>
      <c r="DU141" s="84">
        <v>1</v>
      </c>
      <c r="DV141" s="84"/>
      <c r="DW141" s="84"/>
      <c r="DX141" s="84"/>
      <c r="DY141" s="84"/>
      <c r="DZ141" s="84"/>
      <c r="EA141" s="84"/>
      <c r="EB141" s="4">
        <f t="shared" si="78"/>
        <v>1</v>
      </c>
      <c r="EC141" s="84"/>
      <c r="ED141" s="84"/>
      <c r="EE141" s="84"/>
      <c r="EF141" s="84"/>
      <c r="EG141" s="84"/>
      <c r="EH141" s="84"/>
      <c r="EI141" s="84"/>
      <c r="EJ141" s="84"/>
      <c r="EK141" s="84"/>
      <c r="EL141" s="84"/>
      <c r="EM141" s="84"/>
      <c r="EN141" s="84"/>
      <c r="EO141" s="4">
        <f t="shared" si="79"/>
        <v>0</v>
      </c>
      <c r="EP141" s="8">
        <f t="shared" si="80"/>
        <v>4</v>
      </c>
      <c r="EQ141" s="181">
        <f>IFERROR(VLOOKUP(I141,CEI_012018!$A$1:$U$509,9,FALSE),0)</f>
        <v>0</v>
      </c>
      <c r="ER141" s="181">
        <f>IFERROR(VLOOKUP(I141,CEI_022018!$A$1:$U$509,9,FALSE),0)</f>
        <v>0</v>
      </c>
      <c r="ES141" s="181">
        <f>IFERROR(VLOOKUP(I141,CEI_032018!$A$1:$U$509,9,FALSE),0)</f>
        <v>0</v>
      </c>
      <c r="ET141" s="181">
        <f>IFERROR(VLOOKUP(I141,CEI_042018!$A$1:$U$491,9,FALSE),0)</f>
        <v>0</v>
      </c>
      <c r="EU141" s="181">
        <f>IFERROR(VLOOKUP(I141,CEI_052018!$A$1:$U$489,9,FALSE),0)</f>
        <v>0</v>
      </c>
      <c r="EV141" s="181">
        <f>IFERROR(VLOOKUP(I141,CEI_062018!$A$1:$U$489,9,FALSE),0)</f>
        <v>0</v>
      </c>
      <c r="EW141" s="181">
        <f>IFERROR(VLOOKUP(I141,CEI_072018!$A$1:$U$489,9,FALSE),0)</f>
        <v>0</v>
      </c>
      <c r="EX141" s="181">
        <f>IFERROR(VLOOKUP(I141,CEI_082018!$A$1:$U$489,9,FALSE),0)</f>
        <v>0</v>
      </c>
      <c r="EY141" s="181">
        <f>IFERROR(VLOOKUP(I141,CEI_092018!$A$1:$U$489,9,FALSE),0)</f>
        <v>0</v>
      </c>
      <c r="EZ141" s="181"/>
      <c r="FA141" s="181"/>
      <c r="FB141" s="181"/>
      <c r="FC141" s="181">
        <f>IFERROR(VLOOKUP(I141,CEI_092018!$A$1:$U$489,12,FALSE),0)</f>
        <v>0</v>
      </c>
      <c r="FD141" s="181">
        <f t="shared" si="71"/>
        <v>0</v>
      </c>
      <c r="FE141" s="181">
        <f t="shared" si="72"/>
        <v>0</v>
      </c>
      <c r="FF141"/>
      <c r="FG141"/>
      <c r="FH141"/>
      <c r="FI141"/>
      <c r="FJ141"/>
      <c r="FK141"/>
      <c r="FL141"/>
      <c r="FM141"/>
      <c r="FN141"/>
      <c r="FO141"/>
      <c r="FP141"/>
      <c r="FQ141"/>
      <c r="FR141"/>
      <c r="FS141"/>
      <c r="FT141"/>
      <c r="FU141"/>
      <c r="FV141"/>
      <c r="FW141"/>
      <c r="FX141"/>
      <c r="FY141"/>
      <c r="FZ141"/>
      <c r="GA141"/>
      <c r="GB141"/>
      <c r="GC141"/>
    </row>
    <row r="142" spans="1:185" ht="12.75" customHeight="1" x14ac:dyDescent="0.25">
      <c r="A142" s="202"/>
      <c r="B142" s="22" t="s">
        <v>57</v>
      </c>
      <c r="C142" s="34" t="s">
        <v>41</v>
      </c>
      <c r="D142" s="22" t="s">
        <v>58</v>
      </c>
      <c r="E142" s="25" t="s">
        <v>1532</v>
      </c>
      <c r="F142" s="25" t="s">
        <v>58</v>
      </c>
      <c r="G142" s="25" t="s">
        <v>1532</v>
      </c>
      <c r="H142" s="22" t="s">
        <v>56</v>
      </c>
      <c r="I142" s="423" t="s">
        <v>1534</v>
      </c>
      <c r="J142" s="37" t="s">
        <v>1535</v>
      </c>
      <c r="K142" s="23" t="s">
        <v>1541</v>
      </c>
      <c r="L142" s="23" t="s">
        <v>1536</v>
      </c>
      <c r="M142" s="23" t="s">
        <v>1537</v>
      </c>
      <c r="N142" s="23"/>
      <c r="O142" s="2">
        <v>78.618400573730469</v>
      </c>
      <c r="P142" s="2">
        <v>10</v>
      </c>
      <c r="Q142" s="2"/>
      <c r="R142" s="2"/>
      <c r="S142" s="2">
        <v>64.381599426269446</v>
      </c>
      <c r="T142" s="116">
        <f t="shared" si="82"/>
        <v>152.99999999999991</v>
      </c>
      <c r="U142" s="324"/>
      <c r="V142" s="324"/>
      <c r="W142" s="324"/>
      <c r="X142" s="324"/>
      <c r="Y142" s="324"/>
      <c r="Z142" s="324"/>
      <c r="AA142" s="324"/>
      <c r="AB142" s="324"/>
      <c r="AC142" s="324"/>
      <c r="AD142" s="324"/>
      <c r="AE142" s="324"/>
      <c r="AF142" s="324"/>
      <c r="AG142" s="140">
        <f t="shared" si="83"/>
        <v>0</v>
      </c>
      <c r="AH142" s="324"/>
      <c r="AI142" s="324"/>
      <c r="AJ142" s="324"/>
      <c r="AK142" s="324"/>
      <c r="AL142" s="324"/>
      <c r="AM142" s="324"/>
      <c r="AN142" s="324"/>
      <c r="AO142" s="324"/>
      <c r="AP142" s="324"/>
      <c r="AQ142" s="324"/>
      <c r="AR142" s="324"/>
      <c r="AS142" s="324"/>
      <c r="AT142" s="140">
        <f t="shared" si="84"/>
        <v>0</v>
      </c>
      <c r="AU142" s="324"/>
      <c r="AV142" s="324"/>
      <c r="AW142" s="324"/>
      <c r="AX142" s="324"/>
      <c r="AY142" s="324"/>
      <c r="AZ142" s="324"/>
      <c r="BA142" s="324"/>
      <c r="BB142" s="324"/>
      <c r="BC142" s="324"/>
      <c r="BD142" s="324"/>
      <c r="BE142" s="324"/>
      <c r="BF142" s="324"/>
      <c r="BG142" s="140">
        <f t="shared" si="85"/>
        <v>0</v>
      </c>
      <c r="BH142" s="324"/>
      <c r="BI142" s="324"/>
      <c r="BJ142" s="324"/>
      <c r="BK142" s="324"/>
      <c r="BL142" s="324"/>
      <c r="BM142" s="324"/>
      <c r="BN142" s="324"/>
      <c r="BO142" s="324"/>
      <c r="BP142" s="324"/>
      <c r="BQ142" s="324"/>
      <c r="BR142" s="324"/>
      <c r="BS142" s="324"/>
      <c r="BT142" s="140">
        <f t="shared" si="86"/>
        <v>0</v>
      </c>
      <c r="BU142" s="114">
        <f t="shared" si="87"/>
        <v>152.99999999999991</v>
      </c>
      <c r="BV142" s="372">
        <v>1</v>
      </c>
      <c r="BW142" s="372">
        <v>1</v>
      </c>
      <c r="BX142" s="372">
        <v>1</v>
      </c>
      <c r="BY142" s="372">
        <v>1</v>
      </c>
      <c r="BZ142" s="436">
        <f>IFERROR((EX142/T142%),0)</f>
        <v>51.38457553838596</v>
      </c>
      <c r="CA142" s="436">
        <f>IFERROR((FD142/T142%),0)</f>
        <v>45.07777768802022</v>
      </c>
      <c r="CB142" s="7" t="s">
        <v>73</v>
      </c>
      <c r="CC142" s="3"/>
      <c r="CD142" s="3"/>
      <c r="CE142" s="3"/>
      <c r="CF142" s="3"/>
      <c r="CG142" s="3"/>
      <c r="CH142" s="3"/>
      <c r="CI142" s="3"/>
      <c r="CJ142" s="3"/>
      <c r="CK142" s="3"/>
      <c r="CL142" s="3"/>
      <c r="CM142" s="3"/>
      <c r="CN142" s="3">
        <v>53</v>
      </c>
      <c r="CO142" s="4">
        <f t="shared" si="75"/>
        <v>53</v>
      </c>
      <c r="CP142" s="3"/>
      <c r="CQ142" s="3"/>
      <c r="CR142" s="3"/>
      <c r="CS142" s="3"/>
      <c r="CT142" s="3"/>
      <c r="CU142" s="3"/>
      <c r="CV142" s="3"/>
      <c r="CW142" s="3"/>
      <c r="CX142" s="3"/>
      <c r="CY142" s="3"/>
      <c r="CZ142" s="3"/>
      <c r="DA142" s="3"/>
      <c r="DB142" s="4">
        <f t="shared" si="76"/>
        <v>0</v>
      </c>
      <c r="DC142" s="3"/>
      <c r="DD142" s="3"/>
      <c r="DE142" s="3"/>
      <c r="DF142" s="3"/>
      <c r="DG142" s="3"/>
      <c r="DH142" s="3"/>
      <c r="DI142" s="3"/>
      <c r="DJ142" s="3"/>
      <c r="DK142" s="3"/>
      <c r="DL142" s="3"/>
      <c r="DM142" s="3"/>
      <c r="DN142" s="3"/>
      <c r="DO142" s="4">
        <f t="shared" si="77"/>
        <v>0</v>
      </c>
      <c r="DP142" s="3"/>
      <c r="DQ142" s="3"/>
      <c r="DR142" s="3"/>
      <c r="DS142" s="3"/>
      <c r="DT142" s="3"/>
      <c r="DU142" s="3"/>
      <c r="DV142" s="3"/>
      <c r="DW142" s="3"/>
      <c r="DX142" s="3"/>
      <c r="DY142" s="3"/>
      <c r="DZ142" s="3"/>
      <c r="EA142" s="3"/>
      <c r="EB142" s="4">
        <f t="shared" si="78"/>
        <v>0</v>
      </c>
      <c r="EC142" s="3"/>
      <c r="ED142" s="3"/>
      <c r="EE142" s="3"/>
      <c r="EF142" s="3"/>
      <c r="EG142" s="3"/>
      <c r="EH142" s="3"/>
      <c r="EI142" s="3"/>
      <c r="EJ142" s="3"/>
      <c r="EK142" s="3"/>
      <c r="EL142" s="3"/>
      <c r="EM142" s="3"/>
      <c r="EN142" s="3"/>
      <c r="EO142" s="4">
        <f t="shared" si="79"/>
        <v>0</v>
      </c>
      <c r="EP142" s="8">
        <f t="shared" si="80"/>
        <v>53</v>
      </c>
      <c r="EQ142" s="181">
        <f>IFERROR(VLOOKUP(I142,CEI_012018!$A$1:$U$509,9,FALSE),0)</f>
        <v>0</v>
      </c>
      <c r="ER142" s="181">
        <f>IFERROR(VLOOKUP(I142,CEI_022018!$A$1:$U$509,9,FALSE),0)</f>
        <v>0</v>
      </c>
      <c r="ES142" s="181">
        <f>IFERROR(VLOOKUP(I142,CEI_032018!$A$1:$U$509,9,FALSE),0)</f>
        <v>0</v>
      </c>
      <c r="ET142" s="181">
        <f>IFERROR(VLOOKUP(I142,CEI_042018!$A$1:$U$491,9,FALSE),0)</f>
        <v>0</v>
      </c>
      <c r="EU142" s="181">
        <f>IFERROR(VLOOKUP(I142,CEI_052018!$A$1:$U$489,9,FALSE),0)</f>
        <v>0</v>
      </c>
      <c r="EV142" s="181">
        <f>IFERROR(VLOOKUP(I142,CEI_062018!$A$1:$U$489,9,FALSE),0)</f>
        <v>12.800000190734863</v>
      </c>
      <c r="EW142" s="181">
        <f>IFERROR(VLOOKUP(I142,CEI_072018!$A$1:$U$489,9,FALSE),0)</f>
        <v>25.312000274658203</v>
      </c>
      <c r="EX142" s="181">
        <f>IFERROR(VLOOKUP(I142,CEI_082018!$A$1:$U$489,9,FALSE),0)</f>
        <v>78.618400573730469</v>
      </c>
      <c r="EY142" s="181">
        <f>IFERROR(VLOOKUP(I142,CEI_092018!$A$1:$U$489,9,FALSE),0)</f>
        <v>85.232650756835938</v>
      </c>
      <c r="EZ142" s="181"/>
      <c r="FA142" s="181"/>
      <c r="FB142" s="181"/>
      <c r="FC142" s="181">
        <f>IFERROR(VLOOKUP(I142,CEI_092018!$A$1:$U$489,12,FALSE),0)</f>
        <v>43.656999588012695</v>
      </c>
      <c r="FD142" s="181">
        <f t="shared" si="71"/>
        <v>68.968999862670898</v>
      </c>
      <c r="FE142" s="181">
        <f t="shared" si="72"/>
        <v>84.031000137329016</v>
      </c>
      <c r="FF142"/>
      <c r="FG142"/>
      <c r="FH142"/>
      <c r="FI142"/>
      <c r="FJ142"/>
      <c r="FK142"/>
      <c r="FL142"/>
      <c r="FM142"/>
      <c r="FN142"/>
      <c r="FO142"/>
      <c r="FP142"/>
      <c r="FQ142"/>
      <c r="FR142"/>
      <c r="FS142"/>
      <c r="FT142"/>
      <c r="FU142"/>
      <c r="FV142"/>
      <c r="FW142"/>
      <c r="FX142"/>
      <c r="FY142"/>
      <c r="FZ142"/>
      <c r="GA142"/>
      <c r="GB142"/>
      <c r="GC142"/>
    </row>
    <row r="143" spans="1:185" ht="12.75" customHeight="1" x14ac:dyDescent="0.25">
      <c r="A143" s="202"/>
      <c r="B143" s="22" t="s">
        <v>57</v>
      </c>
      <c r="C143" s="34" t="s">
        <v>41</v>
      </c>
      <c r="D143" s="22" t="s">
        <v>1987</v>
      </c>
      <c r="E143" s="25" t="s">
        <v>1988</v>
      </c>
      <c r="F143" s="22" t="s">
        <v>1987</v>
      </c>
      <c r="G143" s="25" t="s">
        <v>1988</v>
      </c>
      <c r="H143" s="22" t="s">
        <v>56</v>
      </c>
      <c r="I143" s="423" t="s">
        <v>2056</v>
      </c>
      <c r="J143" s="37" t="s">
        <v>2057</v>
      </c>
      <c r="K143" s="23" t="s">
        <v>1989</v>
      </c>
      <c r="L143" s="23"/>
      <c r="M143" s="23"/>
      <c r="N143" s="23"/>
      <c r="O143" s="2"/>
      <c r="P143" s="2"/>
      <c r="Q143" s="2"/>
      <c r="R143" s="2"/>
      <c r="S143" s="2">
        <v>150</v>
      </c>
      <c r="T143" s="116">
        <f t="shared" si="82"/>
        <v>150</v>
      </c>
      <c r="U143" s="324"/>
      <c r="V143" s="324"/>
      <c r="W143" s="324"/>
      <c r="X143" s="324"/>
      <c r="Y143" s="324"/>
      <c r="Z143" s="324"/>
      <c r="AA143" s="324"/>
      <c r="AB143" s="324"/>
      <c r="AC143" s="324"/>
      <c r="AD143" s="324"/>
      <c r="AE143" s="324"/>
      <c r="AF143" s="324"/>
      <c r="AG143" s="140">
        <f t="shared" si="83"/>
        <v>0</v>
      </c>
      <c r="AH143" s="324"/>
      <c r="AI143" s="324"/>
      <c r="AJ143" s="324"/>
      <c r="AK143" s="324"/>
      <c r="AL143" s="324"/>
      <c r="AM143" s="324"/>
      <c r="AN143" s="324"/>
      <c r="AO143" s="324"/>
      <c r="AP143" s="324"/>
      <c r="AQ143" s="324"/>
      <c r="AR143" s="324"/>
      <c r="AS143" s="324"/>
      <c r="AT143" s="140">
        <f t="shared" si="84"/>
        <v>0</v>
      </c>
      <c r="AU143" s="324"/>
      <c r="AV143" s="324"/>
      <c r="AW143" s="324"/>
      <c r="AX143" s="324"/>
      <c r="AY143" s="324"/>
      <c r="AZ143" s="324"/>
      <c r="BA143" s="324"/>
      <c r="BB143" s="324"/>
      <c r="BC143" s="324"/>
      <c r="BD143" s="324"/>
      <c r="BE143" s="324"/>
      <c r="BF143" s="324"/>
      <c r="BG143" s="140">
        <f t="shared" si="85"/>
        <v>0</v>
      </c>
      <c r="BH143" s="324"/>
      <c r="BI143" s="324"/>
      <c r="BJ143" s="324"/>
      <c r="BK143" s="324"/>
      <c r="BL143" s="324"/>
      <c r="BM143" s="324"/>
      <c r="BN143" s="324"/>
      <c r="BO143" s="324"/>
      <c r="BP143" s="324"/>
      <c r="BQ143" s="324"/>
      <c r="BR143" s="324"/>
      <c r="BS143" s="324"/>
      <c r="BT143" s="140">
        <f t="shared" si="86"/>
        <v>0</v>
      </c>
      <c r="BU143" s="114">
        <f t="shared" si="87"/>
        <v>150</v>
      </c>
      <c r="BV143" s="432"/>
      <c r="BW143" s="432"/>
      <c r="BX143" s="432"/>
      <c r="BY143" s="432"/>
      <c r="BZ143" s="433"/>
      <c r="CA143" s="434"/>
      <c r="CB143" s="7"/>
      <c r="CC143" s="83"/>
      <c r="CD143" s="83"/>
      <c r="CE143" s="83"/>
      <c r="CF143" s="83"/>
      <c r="CG143" s="84"/>
      <c r="CH143" s="84"/>
      <c r="CI143" s="84"/>
      <c r="CJ143" s="84"/>
      <c r="CK143" s="84"/>
      <c r="CL143" s="84"/>
      <c r="CM143" s="84"/>
      <c r="CN143" s="84"/>
      <c r="CO143" s="4"/>
      <c r="CP143" s="84"/>
      <c r="CQ143" s="84"/>
      <c r="CR143" s="84"/>
      <c r="CS143" s="84"/>
      <c r="CT143" s="84"/>
      <c r="CU143" s="84"/>
      <c r="CV143" s="84"/>
      <c r="CW143" s="84"/>
      <c r="CX143" s="84"/>
      <c r="CY143" s="84"/>
      <c r="CZ143" s="84"/>
      <c r="DA143" s="84"/>
      <c r="DB143" s="4"/>
      <c r="DC143" s="84"/>
      <c r="DD143" s="84"/>
      <c r="DE143" s="84"/>
      <c r="DF143" s="84"/>
      <c r="DG143" s="84"/>
      <c r="DH143" s="84"/>
      <c r="DI143" s="84"/>
      <c r="DJ143" s="84"/>
      <c r="DK143" s="84"/>
      <c r="DL143" s="84"/>
      <c r="DM143" s="84"/>
      <c r="DN143" s="84"/>
      <c r="DO143" s="4"/>
      <c r="DP143" s="84"/>
      <c r="DQ143" s="84"/>
      <c r="DR143" s="84"/>
      <c r="DS143" s="84"/>
      <c r="DT143" s="84"/>
      <c r="DU143" s="84"/>
      <c r="DV143" s="84"/>
      <c r="DW143" s="84"/>
      <c r="DX143" s="84"/>
      <c r="DY143" s="84"/>
      <c r="DZ143" s="84"/>
      <c r="EA143" s="84"/>
      <c r="EB143" s="4"/>
      <c r="EC143" s="84"/>
      <c r="ED143" s="84"/>
      <c r="EE143" s="84"/>
      <c r="EF143" s="84"/>
      <c r="EG143" s="84"/>
      <c r="EH143" s="84"/>
      <c r="EI143" s="84"/>
      <c r="EJ143" s="84"/>
      <c r="EK143" s="84"/>
      <c r="EL143" s="84"/>
      <c r="EM143" s="84"/>
      <c r="EN143" s="84"/>
      <c r="EO143" s="4"/>
      <c r="EP143" s="8"/>
      <c r="EQ143" s="181"/>
      <c r="ER143" s="181"/>
      <c r="ES143" s="181"/>
      <c r="ET143" s="181"/>
      <c r="EU143" s="181"/>
      <c r="EV143" s="181"/>
      <c r="EW143" s="181">
        <f>IFERROR(VLOOKUP(I143,CEI_072018!$A$1:$U$489,9,FALSE),0)</f>
        <v>0</v>
      </c>
      <c r="EX143" s="181">
        <f>IFERROR(VLOOKUP(I143,CEI_082018!$A$1:$U$489,9,FALSE),0)</f>
        <v>0</v>
      </c>
      <c r="EY143" s="181">
        <f>IFERROR(VLOOKUP(I143,CEI_092018!$A$1:$U$489,9,FALSE),0)</f>
        <v>0</v>
      </c>
      <c r="EZ143" s="181"/>
      <c r="FA143" s="181"/>
      <c r="FB143" s="181"/>
      <c r="FC143" s="181">
        <f>IFERROR(VLOOKUP(I143,CEI_092018!$A$1:$U$489,12,FALSE),0)</f>
        <v>0</v>
      </c>
      <c r="FD143" s="181"/>
      <c r="FE143" s="181"/>
      <c r="FF143"/>
      <c r="FG143"/>
      <c r="FH143"/>
      <c r="FI143"/>
      <c r="FJ143"/>
      <c r="FK143"/>
      <c r="FL143"/>
      <c r="FM143"/>
      <c r="FN143"/>
      <c r="FO143"/>
      <c r="FP143"/>
      <c r="FQ143"/>
      <c r="FR143"/>
      <c r="FS143"/>
      <c r="FT143"/>
      <c r="FU143"/>
      <c r="FV143"/>
      <c r="FW143"/>
      <c r="FX143"/>
      <c r="FY143"/>
      <c r="FZ143"/>
      <c r="GA143"/>
      <c r="GB143"/>
      <c r="GC143"/>
    </row>
    <row r="144" spans="1:185" ht="12.75" customHeight="1" x14ac:dyDescent="0.25">
      <c r="A144" s="202"/>
      <c r="B144" s="22" t="s">
        <v>57</v>
      </c>
      <c r="C144" s="34" t="s">
        <v>41</v>
      </c>
      <c r="D144" s="22" t="s">
        <v>55</v>
      </c>
      <c r="E144" s="25" t="s">
        <v>616</v>
      </c>
      <c r="F144" s="25" t="s">
        <v>55</v>
      </c>
      <c r="G144" s="25" t="s">
        <v>616</v>
      </c>
      <c r="H144" s="22" t="s">
        <v>56</v>
      </c>
      <c r="I144" s="423" t="s">
        <v>565</v>
      </c>
      <c r="J144" s="37"/>
      <c r="K144" s="23" t="s">
        <v>89</v>
      </c>
      <c r="L144" s="23" t="s">
        <v>90</v>
      </c>
      <c r="M144" s="23" t="s">
        <v>79</v>
      </c>
      <c r="N144" s="23"/>
      <c r="O144" s="2"/>
      <c r="P144" s="2"/>
      <c r="Q144" s="2"/>
      <c r="R144" s="2"/>
      <c r="S144" s="2"/>
      <c r="T144" s="116">
        <f t="shared" si="82"/>
        <v>0</v>
      </c>
      <c r="U144" s="324"/>
      <c r="V144" s="324">
        <v>50</v>
      </c>
      <c r="W144" s="324"/>
      <c r="X144" s="324"/>
      <c r="Y144" s="324"/>
      <c r="Z144" s="324"/>
      <c r="AA144" s="324">
        <v>90</v>
      </c>
      <c r="AB144" s="324"/>
      <c r="AC144" s="324"/>
      <c r="AD144" s="324"/>
      <c r="AE144" s="324"/>
      <c r="AF144" s="324"/>
      <c r="AG144" s="140">
        <f t="shared" si="83"/>
        <v>140</v>
      </c>
      <c r="AH144" s="324"/>
      <c r="AI144" s="324"/>
      <c r="AJ144" s="324"/>
      <c r="AK144" s="324"/>
      <c r="AL144" s="324"/>
      <c r="AM144" s="324"/>
      <c r="AN144" s="324"/>
      <c r="AO144" s="324"/>
      <c r="AP144" s="324"/>
      <c r="AQ144" s="324"/>
      <c r="AR144" s="324"/>
      <c r="AS144" s="324"/>
      <c r="AT144" s="140">
        <f t="shared" si="84"/>
        <v>0</v>
      </c>
      <c r="AU144" s="324"/>
      <c r="AV144" s="324"/>
      <c r="AW144" s="324"/>
      <c r="AX144" s="324"/>
      <c r="AY144" s="324"/>
      <c r="AZ144" s="324"/>
      <c r="BA144" s="324"/>
      <c r="BB144" s="324"/>
      <c r="BC144" s="324"/>
      <c r="BD144" s="324"/>
      <c r="BE144" s="324"/>
      <c r="BF144" s="324"/>
      <c r="BG144" s="140">
        <f t="shared" si="85"/>
        <v>0</v>
      </c>
      <c r="BH144" s="324"/>
      <c r="BI144" s="324"/>
      <c r="BJ144" s="324"/>
      <c r="BK144" s="324"/>
      <c r="BL144" s="324"/>
      <c r="BM144" s="324"/>
      <c r="BN144" s="324"/>
      <c r="BO144" s="324"/>
      <c r="BP144" s="324"/>
      <c r="BQ144" s="324"/>
      <c r="BR144" s="324"/>
      <c r="BS144" s="324"/>
      <c r="BT144" s="140">
        <f t="shared" si="86"/>
        <v>0</v>
      </c>
      <c r="BU144" s="488">
        <f t="shared" si="87"/>
        <v>140</v>
      </c>
      <c r="BV144" s="432"/>
      <c r="BW144" s="432"/>
      <c r="BX144" s="432"/>
      <c r="BY144" s="432"/>
      <c r="BZ144" s="433"/>
      <c r="CA144" s="434"/>
      <c r="CB144" s="7" t="s">
        <v>72</v>
      </c>
      <c r="CC144" s="83">
        <v>0</v>
      </c>
      <c r="CD144" s="83">
        <v>0</v>
      </c>
      <c r="CE144" s="83">
        <v>0</v>
      </c>
      <c r="CF144" s="83">
        <v>0</v>
      </c>
      <c r="CG144" s="84">
        <v>0</v>
      </c>
      <c r="CH144" s="84">
        <v>0</v>
      </c>
      <c r="CI144" s="84">
        <v>0</v>
      </c>
      <c r="CJ144" s="84">
        <v>0</v>
      </c>
      <c r="CK144" s="84">
        <v>0</v>
      </c>
      <c r="CL144" s="84">
        <v>0</v>
      </c>
      <c r="CM144" s="84">
        <v>0</v>
      </c>
      <c r="CN144" s="84">
        <v>0</v>
      </c>
      <c r="CO144" s="4">
        <f t="shared" ref="CO144:CO159" si="88">SUM(CC144:CN144)</f>
        <v>0</v>
      </c>
      <c r="CP144" s="84">
        <v>0</v>
      </c>
      <c r="CQ144" s="84">
        <v>7.0595701910853795E-3</v>
      </c>
      <c r="CR144" s="84">
        <v>0</v>
      </c>
      <c r="CS144" s="84">
        <v>0</v>
      </c>
      <c r="CT144" s="84">
        <v>0</v>
      </c>
      <c r="CU144" s="84">
        <v>0</v>
      </c>
      <c r="CV144" s="84">
        <v>1.2707226343953684E-2</v>
      </c>
      <c r="CW144" s="84">
        <v>0</v>
      </c>
      <c r="CX144" s="84">
        <v>0</v>
      </c>
      <c r="CY144" s="84">
        <v>0</v>
      </c>
      <c r="CZ144" s="84">
        <v>0</v>
      </c>
      <c r="DA144" s="84">
        <v>0</v>
      </c>
      <c r="DB144" s="4">
        <f t="shared" ref="DB144:DB159" si="89">SUM(CP144:DA144)</f>
        <v>1.9766796535039065E-2</v>
      </c>
      <c r="DC144" s="84">
        <v>0</v>
      </c>
      <c r="DD144" s="84">
        <v>0</v>
      </c>
      <c r="DE144" s="84">
        <v>0</v>
      </c>
      <c r="DF144" s="84">
        <v>0</v>
      </c>
      <c r="DG144" s="84">
        <v>0</v>
      </c>
      <c r="DH144" s="84">
        <v>0</v>
      </c>
      <c r="DI144" s="84">
        <v>0</v>
      </c>
      <c r="DJ144" s="84">
        <v>0</v>
      </c>
      <c r="DK144" s="84">
        <v>0</v>
      </c>
      <c r="DL144" s="84">
        <v>0</v>
      </c>
      <c r="DM144" s="84">
        <v>0</v>
      </c>
      <c r="DN144" s="84">
        <v>0</v>
      </c>
      <c r="DO144" s="4">
        <f t="shared" ref="DO144:DO159" si="90">SUM(DC144:DN144)</f>
        <v>0</v>
      </c>
      <c r="DP144" s="84">
        <v>0</v>
      </c>
      <c r="DQ144" s="84">
        <v>0</v>
      </c>
      <c r="DR144" s="84">
        <v>0</v>
      </c>
      <c r="DS144" s="84">
        <v>0</v>
      </c>
      <c r="DT144" s="84">
        <v>0</v>
      </c>
      <c r="DU144" s="84">
        <v>0</v>
      </c>
      <c r="DV144" s="84">
        <v>0</v>
      </c>
      <c r="DW144" s="84">
        <v>0</v>
      </c>
      <c r="DX144" s="84">
        <v>0</v>
      </c>
      <c r="DY144" s="84">
        <v>0</v>
      </c>
      <c r="DZ144" s="84">
        <v>0</v>
      </c>
      <c r="EA144" s="84">
        <v>0</v>
      </c>
      <c r="EB144" s="4">
        <f t="shared" ref="EB144:EB159" si="91">SUM(DP144:EA144)</f>
        <v>0</v>
      </c>
      <c r="EC144" s="84">
        <v>0</v>
      </c>
      <c r="ED144" s="84">
        <v>0</v>
      </c>
      <c r="EE144" s="84">
        <v>0</v>
      </c>
      <c r="EF144" s="84">
        <v>0</v>
      </c>
      <c r="EG144" s="84">
        <v>0</v>
      </c>
      <c r="EH144" s="84">
        <v>0</v>
      </c>
      <c r="EI144" s="84">
        <v>0</v>
      </c>
      <c r="EJ144" s="84">
        <v>0</v>
      </c>
      <c r="EK144" s="84">
        <v>0</v>
      </c>
      <c r="EL144" s="84">
        <v>0</v>
      </c>
      <c r="EM144" s="84">
        <v>0</v>
      </c>
      <c r="EN144" s="84">
        <v>0</v>
      </c>
      <c r="EO144" s="4">
        <f t="shared" ref="EO144:EO159" si="92">SUM(EC144:EN144)</f>
        <v>0</v>
      </c>
      <c r="EP144" s="8">
        <f t="shared" ref="EP144:EP159" si="93">SUM(EO144,EB144,DO144,DB144,CO144)</f>
        <v>1.9766796535039065E-2</v>
      </c>
      <c r="EQ144" s="181">
        <f>IFERROR(VLOOKUP(I144,CEI_012018!$A$1:$U$509,9,FALSE),0)</f>
        <v>0</v>
      </c>
      <c r="ER144" s="181">
        <f>IFERROR(VLOOKUP(I144,CEI_022018!$A$1:$U$509,9,FALSE),0)</f>
        <v>0</v>
      </c>
      <c r="ES144" s="181">
        <f>IFERROR(VLOOKUP(I144,CEI_032018!$A$1:$U$509,9,FALSE),0)</f>
        <v>0</v>
      </c>
      <c r="ET144" s="181">
        <f>IFERROR(VLOOKUP(I144,CEI_042018!$A$1:$U$491,9,FALSE),0)</f>
        <v>0</v>
      </c>
      <c r="EU144" s="181">
        <f>IFERROR(VLOOKUP(I144,CEI_052018!$A$1:$U$489,9,FALSE),0)</f>
        <v>0</v>
      </c>
      <c r="EV144" s="181">
        <f>IFERROR(VLOOKUP(I144,CEI_062018!$A$1:$U$489,9,FALSE),0)</f>
        <v>0</v>
      </c>
      <c r="EW144" s="181">
        <f>IFERROR(VLOOKUP(I144,CEI_072018!$A$1:$U$489,9,FALSE),0)</f>
        <v>0</v>
      </c>
      <c r="EX144" s="181">
        <f>IFERROR(VLOOKUP(I144,CEI_082018!$A$1:$U$489,9,FALSE),0)</f>
        <v>0</v>
      </c>
      <c r="EY144" s="181">
        <f>IFERROR(VLOOKUP(I144,CEI_092018!$A$1:$U$489,9,FALSE),0)</f>
        <v>0</v>
      </c>
      <c r="EZ144" s="181"/>
      <c r="FA144" s="181"/>
      <c r="FB144" s="181"/>
      <c r="FC144" s="181">
        <f>IFERROR(VLOOKUP(I144,CEI_092018!$A$1:$U$489,12,FALSE),0)</f>
        <v>0</v>
      </c>
      <c r="FD144" s="181">
        <f t="shared" ref="FD144:FD175" si="94">EW144+FC144</f>
        <v>0</v>
      </c>
      <c r="FE144" s="181">
        <f t="shared" ref="FE144:FE175" si="95">SUM(T144-FD144)</f>
        <v>0</v>
      </c>
      <c r="FF144"/>
      <c r="FG144"/>
      <c r="FH144"/>
      <c r="FI144"/>
      <c r="FJ144"/>
      <c r="FK144"/>
      <c r="FL144"/>
      <c r="FM144"/>
      <c r="FN144"/>
      <c r="FO144"/>
      <c r="FP144"/>
      <c r="FQ144"/>
      <c r="FR144"/>
      <c r="FS144"/>
      <c r="FT144"/>
      <c r="FU144"/>
      <c r="FV144"/>
      <c r="FW144"/>
      <c r="FX144"/>
      <c r="FY144"/>
      <c r="FZ144"/>
      <c r="GA144"/>
      <c r="GB144"/>
      <c r="GC144"/>
    </row>
    <row r="145" spans="1:185" ht="12.75" customHeight="1" x14ac:dyDescent="0.25">
      <c r="A145" s="202"/>
      <c r="B145" s="22" t="s">
        <v>57</v>
      </c>
      <c r="C145" s="34" t="s">
        <v>41</v>
      </c>
      <c r="D145" s="22" t="s">
        <v>61</v>
      </c>
      <c r="E145" s="25" t="s">
        <v>1542</v>
      </c>
      <c r="F145" s="25" t="s">
        <v>61</v>
      </c>
      <c r="G145" s="25" t="s">
        <v>1542</v>
      </c>
      <c r="H145" s="22" t="s">
        <v>226</v>
      </c>
      <c r="I145" s="423" t="s">
        <v>565</v>
      </c>
      <c r="J145" s="37"/>
      <c r="K145" s="23" t="s">
        <v>1611</v>
      </c>
      <c r="L145" s="23" t="s">
        <v>1543</v>
      </c>
      <c r="M145" s="23" t="s">
        <v>230</v>
      </c>
      <c r="N145" s="23"/>
      <c r="O145" s="2"/>
      <c r="P145" s="2"/>
      <c r="Q145" s="2"/>
      <c r="R145" s="2"/>
      <c r="S145" s="2"/>
      <c r="T145" s="116">
        <f t="shared" si="82"/>
        <v>0</v>
      </c>
      <c r="U145" s="324"/>
      <c r="V145" s="324"/>
      <c r="W145" s="324"/>
      <c r="X145" s="324"/>
      <c r="Y145" s="324"/>
      <c r="Z145" s="324"/>
      <c r="AA145" s="324"/>
      <c r="AB145" s="324"/>
      <c r="AC145" s="324"/>
      <c r="AD145" s="324"/>
      <c r="AE145" s="324"/>
      <c r="AF145" s="324">
        <v>8</v>
      </c>
      <c r="AG145" s="140">
        <f t="shared" si="83"/>
        <v>8</v>
      </c>
      <c r="AH145" s="324"/>
      <c r="AI145" s="324"/>
      <c r="AJ145" s="324"/>
      <c r="AK145" s="324"/>
      <c r="AL145" s="324"/>
      <c r="AM145" s="324"/>
      <c r="AN145" s="324"/>
      <c r="AO145" s="324"/>
      <c r="AP145" s="324"/>
      <c r="AQ145" s="324"/>
      <c r="AR145" s="324"/>
      <c r="AS145" s="324">
        <v>58</v>
      </c>
      <c r="AT145" s="140">
        <f t="shared" si="84"/>
        <v>58</v>
      </c>
      <c r="AU145" s="324"/>
      <c r="AV145" s="324"/>
      <c r="AW145" s="324"/>
      <c r="AX145" s="324"/>
      <c r="AY145" s="324"/>
      <c r="AZ145" s="324"/>
      <c r="BA145" s="324"/>
      <c r="BB145" s="324"/>
      <c r="BC145" s="324"/>
      <c r="BD145" s="324"/>
      <c r="BE145" s="324"/>
      <c r="BF145" s="324">
        <v>8</v>
      </c>
      <c r="BG145" s="140">
        <f t="shared" si="85"/>
        <v>8</v>
      </c>
      <c r="BH145" s="324"/>
      <c r="BI145" s="324"/>
      <c r="BJ145" s="324"/>
      <c r="BK145" s="324"/>
      <c r="BL145" s="324"/>
      <c r="BM145" s="324"/>
      <c r="BN145" s="324"/>
      <c r="BO145" s="324"/>
      <c r="BP145" s="324"/>
      <c r="BQ145" s="324"/>
      <c r="BR145" s="324"/>
      <c r="BS145" s="324">
        <v>58</v>
      </c>
      <c r="BT145" s="140">
        <f t="shared" si="86"/>
        <v>58</v>
      </c>
      <c r="BU145" s="114">
        <f t="shared" si="87"/>
        <v>132</v>
      </c>
      <c r="BV145" s="432"/>
      <c r="BW145" s="432"/>
      <c r="BX145" s="432"/>
      <c r="BY145" s="432"/>
      <c r="BZ145" s="433"/>
      <c r="CA145" s="434"/>
      <c r="CB145" s="7" t="s">
        <v>73</v>
      </c>
      <c r="CC145" s="3"/>
      <c r="CD145" s="3"/>
      <c r="CE145" s="3"/>
      <c r="CF145" s="3"/>
      <c r="CG145" s="3"/>
      <c r="CH145" s="3"/>
      <c r="CI145" s="3"/>
      <c r="CJ145" s="3"/>
      <c r="CK145" s="3"/>
      <c r="CL145" s="3"/>
      <c r="CM145" s="3"/>
      <c r="CN145" s="3"/>
      <c r="CO145" s="4">
        <f t="shared" si="88"/>
        <v>0</v>
      </c>
      <c r="CP145" s="3"/>
      <c r="CQ145" s="3"/>
      <c r="CR145" s="3"/>
      <c r="CS145" s="3"/>
      <c r="CT145" s="3"/>
      <c r="CU145" s="3"/>
      <c r="CV145" s="3"/>
      <c r="CW145" s="3"/>
      <c r="CX145" s="3"/>
      <c r="CY145" s="3"/>
      <c r="CZ145" s="3"/>
      <c r="DA145" s="3">
        <v>9</v>
      </c>
      <c r="DB145" s="4">
        <f t="shared" si="89"/>
        <v>9</v>
      </c>
      <c r="DC145" s="3"/>
      <c r="DD145" s="3"/>
      <c r="DE145" s="3"/>
      <c r="DF145" s="3"/>
      <c r="DG145" s="3"/>
      <c r="DH145" s="3"/>
      <c r="DI145" s="3"/>
      <c r="DJ145" s="3"/>
      <c r="DK145" s="3"/>
      <c r="DL145" s="3"/>
      <c r="DM145" s="3"/>
      <c r="DN145" s="3">
        <v>28</v>
      </c>
      <c r="DO145" s="4">
        <f t="shared" si="90"/>
        <v>28</v>
      </c>
      <c r="DP145" s="3"/>
      <c r="DQ145" s="3"/>
      <c r="DR145" s="3"/>
      <c r="DS145" s="3"/>
      <c r="DT145" s="3"/>
      <c r="DU145" s="3"/>
      <c r="DV145" s="3"/>
      <c r="DW145" s="3"/>
      <c r="DX145" s="3"/>
      <c r="DY145" s="3"/>
      <c r="DZ145" s="3"/>
      <c r="EA145" s="3">
        <v>3</v>
      </c>
      <c r="EB145" s="4">
        <f t="shared" si="91"/>
        <v>3</v>
      </c>
      <c r="EC145" s="3"/>
      <c r="ED145" s="3"/>
      <c r="EE145" s="3"/>
      <c r="EF145" s="3"/>
      <c r="EG145" s="3"/>
      <c r="EH145" s="3"/>
      <c r="EI145" s="3"/>
      <c r="EJ145" s="3"/>
      <c r="EK145" s="3"/>
      <c r="EL145" s="3"/>
      <c r="EM145" s="3"/>
      <c r="EN145" s="3">
        <v>28</v>
      </c>
      <c r="EO145" s="4">
        <f t="shared" si="92"/>
        <v>28</v>
      </c>
      <c r="EP145" s="8">
        <f t="shared" si="93"/>
        <v>68</v>
      </c>
      <c r="EQ145" s="181">
        <f>IFERROR(VLOOKUP(I145,CEI_012018!$A$1:$U$509,9,FALSE),0)</f>
        <v>0</v>
      </c>
      <c r="ER145" s="181">
        <f>IFERROR(VLOOKUP(I145,CEI_022018!$A$1:$U$509,9,FALSE),0)</f>
        <v>0</v>
      </c>
      <c r="ES145" s="181">
        <f>IFERROR(VLOOKUP(I145,CEI_032018!$A$1:$U$509,9,FALSE),0)</f>
        <v>0</v>
      </c>
      <c r="ET145" s="181">
        <f>IFERROR(VLOOKUP(I145,CEI_042018!$A$1:$U$491,9,FALSE),0)</f>
        <v>0</v>
      </c>
      <c r="EU145" s="181">
        <f>IFERROR(VLOOKUP(I145,CEI_052018!$A$1:$U$489,9,FALSE),0)</f>
        <v>0</v>
      </c>
      <c r="EV145" s="181">
        <f>IFERROR(VLOOKUP(I145,CEI_062018!$A$1:$U$489,9,FALSE),0)</f>
        <v>0</v>
      </c>
      <c r="EW145" s="181">
        <f>IFERROR(VLOOKUP(I145,CEI_072018!$A$1:$U$489,9,FALSE),0)</f>
        <v>0</v>
      </c>
      <c r="EX145" s="181">
        <f>IFERROR(VLOOKUP(I145,CEI_082018!$A$1:$U$489,9,FALSE),0)</f>
        <v>0</v>
      </c>
      <c r="EY145" s="181">
        <f>IFERROR(VLOOKUP(I145,CEI_092018!$A$1:$U$489,9,FALSE),0)</f>
        <v>0</v>
      </c>
      <c r="EZ145" s="181"/>
      <c r="FA145" s="181"/>
      <c r="FB145" s="181"/>
      <c r="FC145" s="181">
        <f>IFERROR(VLOOKUP(I145,CEI_092018!$A$1:$U$489,12,FALSE),0)</f>
        <v>0</v>
      </c>
      <c r="FD145" s="181">
        <f t="shared" si="94"/>
        <v>0</v>
      </c>
      <c r="FE145" s="181">
        <f t="shared" si="95"/>
        <v>0</v>
      </c>
      <c r="FF145"/>
      <c r="FG145"/>
      <c r="FH145"/>
      <c r="FI145"/>
      <c r="FJ145"/>
      <c r="FK145"/>
      <c r="FL145"/>
      <c r="FM145"/>
      <c r="FN145"/>
      <c r="FO145"/>
      <c r="FP145"/>
      <c r="FQ145"/>
      <c r="FR145"/>
      <c r="FS145"/>
      <c r="FT145"/>
      <c r="FU145"/>
      <c r="FV145"/>
      <c r="FW145"/>
      <c r="FX145"/>
      <c r="FY145"/>
      <c r="FZ145"/>
      <c r="GA145"/>
      <c r="GB145"/>
      <c r="GC145"/>
    </row>
    <row r="146" spans="1:185" ht="12.75" customHeight="1" x14ac:dyDescent="0.25">
      <c r="A146" s="202"/>
      <c r="B146" s="22" t="s">
        <v>57</v>
      </c>
      <c r="C146" s="34" t="s">
        <v>41</v>
      </c>
      <c r="D146" s="22" t="s">
        <v>512</v>
      </c>
      <c r="E146" s="25" t="s">
        <v>1756</v>
      </c>
      <c r="F146" s="25" t="s">
        <v>512</v>
      </c>
      <c r="G146" s="25" t="s">
        <v>1756</v>
      </c>
      <c r="H146" s="22" t="s">
        <v>62</v>
      </c>
      <c r="I146" s="423" t="s">
        <v>1759</v>
      </c>
      <c r="J146" s="37" t="s">
        <v>1761</v>
      </c>
      <c r="K146" s="23" t="s">
        <v>1757</v>
      </c>
      <c r="L146" s="23"/>
      <c r="M146" s="23"/>
      <c r="N146" s="23"/>
      <c r="O146" s="2"/>
      <c r="P146" s="2"/>
      <c r="Q146" s="2"/>
      <c r="R146" s="2">
        <v>115.20000123977661</v>
      </c>
      <c r="S146" s="2">
        <f>125-115.200001239776</f>
        <v>9.7999987602239997</v>
      </c>
      <c r="T146" s="116">
        <f t="shared" si="82"/>
        <v>125.00000000000061</v>
      </c>
      <c r="U146" s="324"/>
      <c r="V146" s="324"/>
      <c r="W146" s="324"/>
      <c r="X146" s="324"/>
      <c r="Y146" s="324"/>
      <c r="Z146" s="324"/>
      <c r="AA146" s="324"/>
      <c r="AB146" s="324"/>
      <c r="AC146" s="324"/>
      <c r="AD146" s="324"/>
      <c r="AE146" s="324"/>
      <c r="AF146" s="324"/>
      <c r="AG146" s="140">
        <f t="shared" si="83"/>
        <v>0</v>
      </c>
      <c r="AH146" s="324"/>
      <c r="AI146" s="324"/>
      <c r="AJ146" s="324"/>
      <c r="AK146" s="324"/>
      <c r="AL146" s="324"/>
      <c r="AM146" s="324"/>
      <c r="AN146" s="324"/>
      <c r="AO146" s="324"/>
      <c r="AP146" s="324"/>
      <c r="AQ146" s="324"/>
      <c r="AR146" s="324"/>
      <c r="AS146" s="324"/>
      <c r="AT146" s="140">
        <f t="shared" si="84"/>
        <v>0</v>
      </c>
      <c r="AU146" s="324"/>
      <c r="AV146" s="324"/>
      <c r="AW146" s="324"/>
      <c r="AX146" s="324"/>
      <c r="AY146" s="324"/>
      <c r="AZ146" s="324"/>
      <c r="BA146" s="324"/>
      <c r="BB146" s="324"/>
      <c r="BC146" s="324"/>
      <c r="BD146" s="324"/>
      <c r="BE146" s="324"/>
      <c r="BF146" s="324"/>
      <c r="BG146" s="140">
        <f t="shared" si="85"/>
        <v>0</v>
      </c>
      <c r="BH146" s="324"/>
      <c r="BI146" s="324"/>
      <c r="BJ146" s="324"/>
      <c r="BK146" s="324"/>
      <c r="BL146" s="324"/>
      <c r="BM146" s="324"/>
      <c r="BN146" s="324"/>
      <c r="BO146" s="324"/>
      <c r="BP146" s="324"/>
      <c r="BQ146" s="324"/>
      <c r="BR146" s="324"/>
      <c r="BS146" s="324"/>
      <c r="BT146" s="140">
        <f t="shared" si="86"/>
        <v>0</v>
      </c>
      <c r="BU146" s="114">
        <f t="shared" si="87"/>
        <v>125.00000000000061</v>
      </c>
      <c r="BV146" s="372">
        <v>1</v>
      </c>
      <c r="BW146" s="372">
        <v>1</v>
      </c>
      <c r="BX146" s="372">
        <v>1</v>
      </c>
      <c r="BY146" s="372">
        <v>-1</v>
      </c>
      <c r="BZ146" s="436">
        <f>IFERROR((EX146/T146%),0)</f>
        <v>0</v>
      </c>
      <c r="CA146" s="428">
        <f>IFERROR((FD146/T146%),0)</f>
        <v>92.160000991820837</v>
      </c>
      <c r="CB146" s="7" t="s">
        <v>73</v>
      </c>
      <c r="CC146" s="3"/>
      <c r="CD146" s="3"/>
      <c r="CE146" s="3"/>
      <c r="CF146" s="3"/>
      <c r="CG146" s="3"/>
      <c r="CH146" s="3"/>
      <c r="CI146" s="3"/>
      <c r="CJ146" s="3"/>
      <c r="CK146" s="3"/>
      <c r="CL146" s="3"/>
      <c r="CM146" s="3"/>
      <c r="CN146" s="3">
        <v>48</v>
      </c>
      <c r="CO146" s="4">
        <f t="shared" si="88"/>
        <v>48</v>
      </c>
      <c r="CP146" s="3"/>
      <c r="CQ146" s="3"/>
      <c r="CR146" s="3"/>
      <c r="CS146" s="3"/>
      <c r="CT146" s="3"/>
      <c r="CU146" s="3"/>
      <c r="CV146" s="3"/>
      <c r="CW146" s="3"/>
      <c r="CX146" s="3"/>
      <c r="CY146" s="3"/>
      <c r="CZ146" s="3"/>
      <c r="DA146" s="3"/>
      <c r="DB146" s="4">
        <f t="shared" si="89"/>
        <v>0</v>
      </c>
      <c r="DC146" s="3"/>
      <c r="DD146" s="3"/>
      <c r="DE146" s="3"/>
      <c r="DF146" s="3"/>
      <c r="DG146" s="3"/>
      <c r="DH146" s="3"/>
      <c r="DI146" s="3"/>
      <c r="DJ146" s="3"/>
      <c r="DK146" s="3"/>
      <c r="DL146" s="3"/>
      <c r="DM146" s="3"/>
      <c r="DN146" s="3"/>
      <c r="DO146" s="4">
        <f t="shared" si="90"/>
        <v>0</v>
      </c>
      <c r="DP146" s="3"/>
      <c r="DQ146" s="3"/>
      <c r="DR146" s="3"/>
      <c r="DS146" s="3"/>
      <c r="DT146" s="3"/>
      <c r="DU146" s="3"/>
      <c r="DV146" s="3"/>
      <c r="DW146" s="3"/>
      <c r="DX146" s="3"/>
      <c r="DY146" s="3"/>
      <c r="DZ146" s="3"/>
      <c r="EA146" s="3"/>
      <c r="EB146" s="4">
        <f t="shared" si="91"/>
        <v>0</v>
      </c>
      <c r="EC146" s="3"/>
      <c r="ED146" s="3"/>
      <c r="EE146" s="3"/>
      <c r="EF146" s="3"/>
      <c r="EG146" s="3"/>
      <c r="EH146" s="3"/>
      <c r="EI146" s="3"/>
      <c r="EJ146" s="3"/>
      <c r="EK146" s="3"/>
      <c r="EL146" s="3"/>
      <c r="EM146" s="3"/>
      <c r="EN146" s="3"/>
      <c r="EO146" s="4">
        <f t="shared" si="92"/>
        <v>0</v>
      </c>
      <c r="EP146" s="8">
        <f t="shared" si="93"/>
        <v>48</v>
      </c>
      <c r="EQ146" s="181">
        <f>IFERROR(VLOOKUP(I146,CEI_012018!$A$1:$U$509,9,FALSE),0)</f>
        <v>0</v>
      </c>
      <c r="ER146" s="181">
        <f>IFERROR(VLOOKUP(I146,CEI_022018!$A$1:$U$509,9,FALSE),0)</f>
        <v>0</v>
      </c>
      <c r="ES146" s="181">
        <f>IFERROR(VLOOKUP(I146,CEI_032018!$A$1:$U$509,9,FALSE),0)</f>
        <v>0</v>
      </c>
      <c r="ET146" s="181">
        <f>IFERROR(VLOOKUP(I146,CEI_042018!$A$1:$U$491,9,FALSE),0)</f>
        <v>0</v>
      </c>
      <c r="EU146" s="181">
        <f>IFERROR(VLOOKUP(I146,CEI_052018!$A$1:$U$489,9,FALSE),0)</f>
        <v>0</v>
      </c>
      <c r="EV146" s="181">
        <f>IFERROR(VLOOKUP(I146,CEI_062018!$A$1:$U$489,9,FALSE),0)</f>
        <v>0</v>
      </c>
      <c r="EW146" s="181">
        <f>IFERROR(VLOOKUP(I146,CEI_072018!$A$1:$U$489,9,FALSE),0)</f>
        <v>0</v>
      </c>
      <c r="EX146" s="181">
        <f>IFERROR(VLOOKUP(I146,CEI_082018!$A$1:$U$489,9,FALSE),0)</f>
        <v>0</v>
      </c>
      <c r="EY146" s="181">
        <f>IFERROR(VLOOKUP(I146,CEI_092018!$A$1:$U$489,9,FALSE),0)</f>
        <v>0</v>
      </c>
      <c r="EZ146" s="181"/>
      <c r="FA146" s="181"/>
      <c r="FB146" s="181"/>
      <c r="FC146" s="181">
        <f>IFERROR(VLOOKUP(I146,CEI_092018!$A$1:$U$489,12,FALSE),0)</f>
        <v>115.20000123977661</v>
      </c>
      <c r="FD146" s="181">
        <f t="shared" si="94"/>
        <v>115.20000123977661</v>
      </c>
      <c r="FE146" s="181">
        <f t="shared" si="95"/>
        <v>9.7999987602239997</v>
      </c>
      <c r="FF146"/>
      <c r="FG146"/>
      <c r="FH146"/>
      <c r="FI146"/>
      <c r="FJ146"/>
      <c r="FK146"/>
      <c r="FL146"/>
      <c r="FM146"/>
      <c r="FN146"/>
      <c r="FO146"/>
      <c r="FP146"/>
      <c r="FQ146"/>
      <c r="FR146"/>
      <c r="FS146"/>
      <c r="FT146"/>
      <c r="FU146"/>
      <c r="FV146"/>
      <c r="FW146"/>
      <c r="FX146"/>
      <c r="FY146"/>
      <c r="FZ146"/>
      <c r="GA146"/>
      <c r="GB146"/>
      <c r="GC146"/>
    </row>
    <row r="147" spans="1:185" ht="12.75" customHeight="1" x14ac:dyDescent="0.25">
      <c r="A147" s="328"/>
      <c r="B147" s="22" t="s">
        <v>57</v>
      </c>
      <c r="C147" s="34" t="s">
        <v>41</v>
      </c>
      <c r="D147" s="22" t="s">
        <v>55</v>
      </c>
      <c r="E147" s="25" t="s">
        <v>611</v>
      </c>
      <c r="F147" s="25" t="s">
        <v>55</v>
      </c>
      <c r="G147" s="25" t="s">
        <v>611</v>
      </c>
      <c r="H147" s="22" t="s">
        <v>56</v>
      </c>
      <c r="I147" s="423" t="s">
        <v>565</v>
      </c>
      <c r="J147" s="37"/>
      <c r="K147" s="23" t="s">
        <v>588</v>
      </c>
      <c r="L147" s="23" t="s">
        <v>590</v>
      </c>
      <c r="M147" s="23" t="s">
        <v>591</v>
      </c>
      <c r="N147" s="23"/>
      <c r="O147" s="2"/>
      <c r="P147" s="2"/>
      <c r="Q147" s="2"/>
      <c r="R147" s="2"/>
      <c r="S147" s="2"/>
      <c r="T147" s="116">
        <f t="shared" si="82"/>
        <v>0</v>
      </c>
      <c r="U147" s="324"/>
      <c r="V147" s="324"/>
      <c r="W147" s="324"/>
      <c r="X147" s="324"/>
      <c r="Y147" s="324"/>
      <c r="Z147" s="324">
        <v>48</v>
      </c>
      <c r="AA147" s="324">
        <v>68.698999999999998</v>
      </c>
      <c r="AB147" s="324"/>
      <c r="AC147" s="324"/>
      <c r="AD147" s="324"/>
      <c r="AE147" s="324"/>
      <c r="AF147" s="324"/>
      <c r="AG147" s="140">
        <f t="shared" si="83"/>
        <v>116.699</v>
      </c>
      <c r="AH147" s="324"/>
      <c r="AI147" s="324"/>
      <c r="AJ147" s="324"/>
      <c r="AK147" s="324"/>
      <c r="AL147" s="324"/>
      <c r="AM147" s="324"/>
      <c r="AN147" s="324"/>
      <c r="AO147" s="324"/>
      <c r="AP147" s="324"/>
      <c r="AQ147" s="324"/>
      <c r="AR147" s="324"/>
      <c r="AS147" s="324"/>
      <c r="AT147" s="140">
        <f t="shared" si="84"/>
        <v>0</v>
      </c>
      <c r="AU147" s="324"/>
      <c r="AV147" s="324"/>
      <c r="AW147" s="324"/>
      <c r="AX147" s="324"/>
      <c r="AY147" s="324"/>
      <c r="AZ147" s="324"/>
      <c r="BA147" s="324"/>
      <c r="BB147" s="324"/>
      <c r="BC147" s="324"/>
      <c r="BD147" s="324"/>
      <c r="BE147" s="324"/>
      <c r="BF147" s="324"/>
      <c r="BG147" s="140">
        <f t="shared" si="85"/>
        <v>0</v>
      </c>
      <c r="BH147" s="324"/>
      <c r="BI147" s="324"/>
      <c r="BJ147" s="324"/>
      <c r="BK147" s="324"/>
      <c r="BL147" s="324"/>
      <c r="BM147" s="324"/>
      <c r="BN147" s="324"/>
      <c r="BO147" s="324"/>
      <c r="BP147" s="324"/>
      <c r="BQ147" s="324"/>
      <c r="BR147" s="324"/>
      <c r="BS147" s="324"/>
      <c r="BT147" s="140">
        <f t="shared" si="86"/>
        <v>0</v>
      </c>
      <c r="BU147" s="488">
        <f t="shared" si="87"/>
        <v>116.699</v>
      </c>
      <c r="BV147" s="372">
        <v>-1</v>
      </c>
      <c r="BW147" s="372">
        <v>-1</v>
      </c>
      <c r="BX147" s="372">
        <v>-1</v>
      </c>
      <c r="BY147" s="372">
        <v>-1</v>
      </c>
      <c r="BZ147" s="436">
        <f>IFERROR((EX147/T147%),0)</f>
        <v>0</v>
      </c>
      <c r="CA147" s="428">
        <f>IFERROR((FD147/T147%),0)</f>
        <v>0</v>
      </c>
      <c r="CB147" s="7" t="s">
        <v>72</v>
      </c>
      <c r="CC147" s="84">
        <v>0</v>
      </c>
      <c r="CD147" s="84">
        <v>0</v>
      </c>
      <c r="CE147" s="84">
        <v>0</v>
      </c>
      <c r="CF147" s="84">
        <v>0</v>
      </c>
      <c r="CG147" s="84">
        <v>0</v>
      </c>
      <c r="CH147" s="84">
        <v>0</v>
      </c>
      <c r="CI147" s="84">
        <v>0</v>
      </c>
      <c r="CJ147" s="84">
        <v>0</v>
      </c>
      <c r="CK147" s="84">
        <v>0</v>
      </c>
      <c r="CL147" s="84">
        <v>0</v>
      </c>
      <c r="CM147" s="84">
        <v>0</v>
      </c>
      <c r="CN147" s="84">
        <v>1.2369724892164346E-2</v>
      </c>
      <c r="CO147" s="4">
        <f t="shared" si="88"/>
        <v>1.2369724892164346E-2</v>
      </c>
      <c r="CP147" s="84">
        <v>0</v>
      </c>
      <c r="CQ147" s="84">
        <v>0</v>
      </c>
      <c r="CR147" s="84">
        <v>0</v>
      </c>
      <c r="CS147" s="84">
        <v>0</v>
      </c>
      <c r="CT147" s="84">
        <v>0</v>
      </c>
      <c r="CU147" s="84">
        <v>0</v>
      </c>
      <c r="CV147" s="84">
        <v>9.6997082511474896E-3</v>
      </c>
      <c r="CW147" s="84">
        <v>0</v>
      </c>
      <c r="CX147" s="84">
        <v>0</v>
      </c>
      <c r="CY147" s="84">
        <v>0</v>
      </c>
      <c r="CZ147" s="84">
        <v>0</v>
      </c>
      <c r="DA147" s="84">
        <v>0</v>
      </c>
      <c r="DB147" s="4">
        <f t="shared" si="89"/>
        <v>9.6997082511474896E-3</v>
      </c>
      <c r="DC147" s="84">
        <v>0</v>
      </c>
      <c r="DD147" s="84">
        <v>0</v>
      </c>
      <c r="DE147" s="84">
        <v>0</v>
      </c>
      <c r="DF147" s="84">
        <v>0</v>
      </c>
      <c r="DG147" s="84">
        <v>0</v>
      </c>
      <c r="DH147" s="84">
        <v>0</v>
      </c>
      <c r="DI147" s="84">
        <v>0</v>
      </c>
      <c r="DJ147" s="84">
        <v>0</v>
      </c>
      <c r="DK147" s="84">
        <v>0</v>
      </c>
      <c r="DL147" s="84">
        <v>0</v>
      </c>
      <c r="DM147" s="84">
        <v>0</v>
      </c>
      <c r="DN147" s="84">
        <v>0</v>
      </c>
      <c r="DO147" s="4">
        <f t="shared" si="90"/>
        <v>0</v>
      </c>
      <c r="DP147" s="84">
        <v>0</v>
      </c>
      <c r="DQ147" s="84">
        <v>0</v>
      </c>
      <c r="DR147" s="84">
        <v>0</v>
      </c>
      <c r="DS147" s="84">
        <v>0</v>
      </c>
      <c r="DT147" s="84">
        <v>0</v>
      </c>
      <c r="DU147" s="84">
        <v>0</v>
      </c>
      <c r="DV147" s="84">
        <v>0</v>
      </c>
      <c r="DW147" s="84">
        <v>0</v>
      </c>
      <c r="DX147" s="84">
        <v>0</v>
      </c>
      <c r="DY147" s="84">
        <v>0</v>
      </c>
      <c r="DZ147" s="84">
        <v>0</v>
      </c>
      <c r="EA147" s="84">
        <v>0</v>
      </c>
      <c r="EB147" s="4">
        <f t="shared" si="91"/>
        <v>0</v>
      </c>
      <c r="EC147" s="84">
        <v>0</v>
      </c>
      <c r="ED147" s="84">
        <v>0</v>
      </c>
      <c r="EE147" s="84">
        <v>0</v>
      </c>
      <c r="EF147" s="84">
        <v>0</v>
      </c>
      <c r="EG147" s="84">
        <v>0</v>
      </c>
      <c r="EH147" s="84">
        <v>0</v>
      </c>
      <c r="EI147" s="84">
        <v>0</v>
      </c>
      <c r="EJ147" s="84">
        <v>0</v>
      </c>
      <c r="EK147" s="84">
        <v>0</v>
      </c>
      <c r="EL147" s="84">
        <v>0</v>
      </c>
      <c r="EM147" s="84">
        <v>0</v>
      </c>
      <c r="EN147" s="84">
        <v>0</v>
      </c>
      <c r="EO147" s="4">
        <f t="shared" si="92"/>
        <v>0</v>
      </c>
      <c r="EP147" s="8">
        <f t="shared" si="93"/>
        <v>2.2069433143311834E-2</v>
      </c>
      <c r="EQ147" s="181">
        <f>IFERROR(VLOOKUP(I147,CEI_012018!$A$1:$U$509,9,FALSE),0)</f>
        <v>0</v>
      </c>
      <c r="ER147" s="181">
        <f>IFERROR(VLOOKUP(I147,CEI_022018!$A$1:$U$509,9,FALSE),0)</f>
        <v>0</v>
      </c>
      <c r="ES147" s="181">
        <f>IFERROR(VLOOKUP(I147,CEI_032018!$A$1:$U$509,9,FALSE),0)</f>
        <v>0</v>
      </c>
      <c r="ET147" s="181">
        <f>IFERROR(VLOOKUP(I147,CEI_042018!$A$1:$U$491,9,FALSE),0)</f>
        <v>0</v>
      </c>
      <c r="EU147" s="181">
        <f>IFERROR(VLOOKUP(I147,CEI_052018!$A$1:$U$489,9,FALSE),0)</f>
        <v>0</v>
      </c>
      <c r="EV147" s="181">
        <f>IFERROR(VLOOKUP(I147,CEI_062018!$A$1:$U$489,9,FALSE),0)</f>
        <v>0</v>
      </c>
      <c r="EW147" s="181">
        <f>IFERROR(VLOOKUP(I147,CEI_072018!$A$1:$U$489,9,FALSE),0)</f>
        <v>0</v>
      </c>
      <c r="EX147" s="181">
        <f>IFERROR(VLOOKUP(I147,CEI_082018!$A$1:$U$489,9,FALSE),0)</f>
        <v>0</v>
      </c>
      <c r="EY147" s="181">
        <f>IFERROR(VLOOKUP(I147,CEI_092018!$A$1:$U$489,9,FALSE),0)</f>
        <v>0</v>
      </c>
      <c r="EZ147" s="181"/>
      <c r="FA147" s="181"/>
      <c r="FB147" s="181"/>
      <c r="FC147" s="181">
        <f>IFERROR(VLOOKUP(I147,CEI_092018!$A$1:$U$489,12,FALSE),0)</f>
        <v>0</v>
      </c>
      <c r="FD147" s="181">
        <f t="shared" si="94"/>
        <v>0</v>
      </c>
      <c r="FE147" s="181">
        <f t="shared" si="95"/>
        <v>0</v>
      </c>
      <c r="FF147"/>
      <c r="FG147"/>
      <c r="FH147"/>
      <c r="FI147"/>
      <c r="FJ147"/>
      <c r="FK147"/>
      <c r="FL147"/>
      <c r="FM147"/>
      <c r="FN147"/>
      <c r="FO147"/>
      <c r="FP147"/>
      <c r="FQ147"/>
      <c r="FR147"/>
      <c r="FS147"/>
      <c r="FT147"/>
      <c r="FU147"/>
      <c r="FV147"/>
      <c r="FW147"/>
      <c r="FX147"/>
      <c r="FY147"/>
      <c r="FZ147"/>
      <c r="GA147"/>
      <c r="GB147"/>
      <c r="GC147"/>
    </row>
    <row r="148" spans="1:185" ht="12.75" customHeight="1" x14ac:dyDescent="0.25">
      <c r="A148" s="328"/>
      <c r="B148" s="22" t="s">
        <v>57</v>
      </c>
      <c r="C148" s="34" t="s">
        <v>41</v>
      </c>
      <c r="D148" s="22" t="s">
        <v>187</v>
      </c>
      <c r="E148" s="25" t="s">
        <v>183</v>
      </c>
      <c r="F148" s="25" t="s">
        <v>187</v>
      </c>
      <c r="G148" s="25" t="s">
        <v>183</v>
      </c>
      <c r="H148" s="22" t="s">
        <v>56</v>
      </c>
      <c r="I148" s="423" t="s">
        <v>1942</v>
      </c>
      <c r="J148" s="37" t="s">
        <v>1943</v>
      </c>
      <c r="K148" s="23" t="s">
        <v>184</v>
      </c>
      <c r="L148" s="23" t="s">
        <v>185</v>
      </c>
      <c r="M148" s="23" t="s">
        <v>186</v>
      </c>
      <c r="N148" s="23"/>
      <c r="O148" s="2"/>
      <c r="P148" s="2"/>
      <c r="Q148" s="2"/>
      <c r="R148" s="2"/>
      <c r="S148" s="2">
        <v>114</v>
      </c>
      <c r="T148" s="116">
        <f t="shared" si="82"/>
        <v>114</v>
      </c>
      <c r="U148" s="324"/>
      <c r="V148" s="324"/>
      <c r="W148" s="324"/>
      <c r="X148" s="324"/>
      <c r="Y148" s="324"/>
      <c r="Z148" s="324"/>
      <c r="AA148" s="324"/>
      <c r="AB148" s="324"/>
      <c r="AC148" s="324"/>
      <c r="AD148" s="324"/>
      <c r="AE148" s="324"/>
      <c r="AF148" s="324"/>
      <c r="AG148" s="140">
        <f t="shared" si="83"/>
        <v>0</v>
      </c>
      <c r="AH148" s="324"/>
      <c r="AI148" s="324"/>
      <c r="AJ148" s="324"/>
      <c r="AK148" s="324"/>
      <c r="AL148" s="324"/>
      <c r="AM148" s="324"/>
      <c r="AN148" s="324"/>
      <c r="AO148" s="324"/>
      <c r="AP148" s="324"/>
      <c r="AQ148" s="324"/>
      <c r="AR148" s="324"/>
      <c r="AS148" s="324"/>
      <c r="AT148" s="140">
        <f t="shared" si="84"/>
        <v>0</v>
      </c>
      <c r="AU148" s="324"/>
      <c r="AV148" s="324"/>
      <c r="AW148" s="324"/>
      <c r="AX148" s="324"/>
      <c r="AY148" s="324"/>
      <c r="AZ148" s="324"/>
      <c r="BA148" s="324"/>
      <c r="BB148" s="324"/>
      <c r="BC148" s="324"/>
      <c r="BD148" s="324"/>
      <c r="BE148" s="324"/>
      <c r="BF148" s="324"/>
      <c r="BG148" s="140">
        <f t="shared" si="85"/>
        <v>0</v>
      </c>
      <c r="BH148" s="324"/>
      <c r="BI148" s="324"/>
      <c r="BJ148" s="324"/>
      <c r="BK148" s="324"/>
      <c r="BL148" s="324"/>
      <c r="BM148" s="324"/>
      <c r="BN148" s="324"/>
      <c r="BO148" s="324"/>
      <c r="BP148" s="324"/>
      <c r="BQ148" s="324"/>
      <c r="BR148" s="324"/>
      <c r="BS148" s="324"/>
      <c r="BT148" s="140">
        <f t="shared" si="86"/>
        <v>0</v>
      </c>
      <c r="BU148" s="114">
        <f t="shared" si="87"/>
        <v>114</v>
      </c>
      <c r="BV148" s="372">
        <v>1</v>
      </c>
      <c r="BW148" s="372">
        <v>0</v>
      </c>
      <c r="BX148" s="372">
        <v>-1</v>
      </c>
      <c r="BY148" s="372">
        <v>-1</v>
      </c>
      <c r="BZ148" s="436">
        <f>IFERROR((EX148/T148%),0)</f>
        <v>0</v>
      </c>
      <c r="CA148" s="428">
        <f>IFERROR((FD148/T148%),0)</f>
        <v>0</v>
      </c>
      <c r="CB148" s="7" t="s">
        <v>73</v>
      </c>
      <c r="CC148" s="3"/>
      <c r="CD148" s="3"/>
      <c r="CE148" s="3"/>
      <c r="CF148" s="3"/>
      <c r="CG148" s="3"/>
      <c r="CH148" s="3"/>
      <c r="CI148" s="3">
        <v>4</v>
      </c>
      <c r="CJ148" s="3"/>
      <c r="CK148" s="3"/>
      <c r="CL148" s="3"/>
      <c r="CM148" s="3"/>
      <c r="CN148" s="3"/>
      <c r="CO148" s="4">
        <f t="shared" si="88"/>
        <v>4</v>
      </c>
      <c r="CP148" s="3"/>
      <c r="CQ148" s="3"/>
      <c r="CR148" s="3"/>
      <c r="CS148" s="3"/>
      <c r="CT148" s="3"/>
      <c r="CU148" s="3"/>
      <c r="CV148" s="3"/>
      <c r="CW148" s="3"/>
      <c r="CX148" s="3"/>
      <c r="CY148" s="3"/>
      <c r="CZ148" s="3"/>
      <c r="DA148" s="3"/>
      <c r="DB148" s="4">
        <f t="shared" si="89"/>
        <v>0</v>
      </c>
      <c r="DC148" s="3"/>
      <c r="DD148" s="3"/>
      <c r="DE148" s="3"/>
      <c r="DF148" s="3"/>
      <c r="DG148" s="3"/>
      <c r="DH148" s="3"/>
      <c r="DI148" s="3"/>
      <c r="DJ148" s="3"/>
      <c r="DK148" s="3"/>
      <c r="DL148" s="3"/>
      <c r="DM148" s="3"/>
      <c r="DN148" s="3"/>
      <c r="DO148" s="4">
        <f t="shared" si="90"/>
        <v>0</v>
      </c>
      <c r="DP148" s="3"/>
      <c r="DQ148" s="3"/>
      <c r="DR148" s="3"/>
      <c r="DS148" s="3"/>
      <c r="DT148" s="3"/>
      <c r="DU148" s="3"/>
      <c r="DV148" s="3"/>
      <c r="DW148" s="3"/>
      <c r="DX148" s="3"/>
      <c r="DY148" s="3"/>
      <c r="DZ148" s="3"/>
      <c r="EA148" s="3"/>
      <c r="EB148" s="4">
        <f t="shared" si="91"/>
        <v>0</v>
      </c>
      <c r="EC148" s="3"/>
      <c r="ED148" s="3"/>
      <c r="EE148" s="3"/>
      <c r="EF148" s="3"/>
      <c r="EG148" s="3"/>
      <c r="EH148" s="3"/>
      <c r="EI148" s="3"/>
      <c r="EJ148" s="3"/>
      <c r="EK148" s="3"/>
      <c r="EL148" s="3"/>
      <c r="EM148" s="3"/>
      <c r="EN148" s="3"/>
      <c r="EO148" s="4">
        <f t="shared" si="92"/>
        <v>0</v>
      </c>
      <c r="EP148" s="8">
        <f t="shared" si="93"/>
        <v>4</v>
      </c>
      <c r="EQ148" s="181">
        <f>IFERROR(VLOOKUP(I148,CEI_012018!$A$1:$U$509,9,FALSE),0)</f>
        <v>0</v>
      </c>
      <c r="ER148" s="181">
        <f>IFERROR(VLOOKUP(I148,CEI_022018!$A$1:$U$509,9,FALSE),0)</f>
        <v>0</v>
      </c>
      <c r="ES148" s="181">
        <f>IFERROR(VLOOKUP(I148,CEI_032018!$A$1:$U$509,9,FALSE),0)</f>
        <v>0</v>
      </c>
      <c r="ET148" s="181">
        <f>IFERROR(VLOOKUP(I148,CEI_042018!$A$1:$U$491,9,FALSE),0)</f>
        <v>0</v>
      </c>
      <c r="EU148" s="181">
        <f>IFERROR(VLOOKUP(I148,CEI_052018!$A$1:$U$489,9,FALSE),0)</f>
        <v>0</v>
      </c>
      <c r="EV148" s="181">
        <f>IFERROR(VLOOKUP(I148,CEI_062018!$A$1:$U$489,9,FALSE),0)</f>
        <v>0</v>
      </c>
      <c r="EW148" s="181">
        <f>IFERROR(VLOOKUP(I148,CEI_072018!$A$1:$U$489,9,FALSE),0)</f>
        <v>0</v>
      </c>
      <c r="EX148" s="181">
        <f>IFERROR(VLOOKUP(I148,CEI_082018!$A$1:$U$489,9,FALSE),0)</f>
        <v>0</v>
      </c>
      <c r="EY148" s="181">
        <f>IFERROR(VLOOKUP(I148,CEI_092018!$A$1:$U$489,9,FALSE),0)</f>
        <v>0</v>
      </c>
      <c r="EZ148" s="181"/>
      <c r="FA148" s="181"/>
      <c r="FB148" s="181"/>
      <c r="FC148" s="181">
        <f>IFERROR(VLOOKUP(I148,CEI_092018!$A$1:$U$489,12,FALSE),0)</f>
        <v>0</v>
      </c>
      <c r="FD148" s="181">
        <f t="shared" si="94"/>
        <v>0</v>
      </c>
      <c r="FE148" s="181">
        <f t="shared" si="95"/>
        <v>114</v>
      </c>
      <c r="FF148"/>
      <c r="FG148"/>
      <c r="FH148"/>
      <c r="FI148"/>
      <c r="FJ148"/>
      <c r="FK148"/>
      <c r="FL148"/>
      <c r="FM148"/>
      <c r="FN148"/>
      <c r="FO148"/>
      <c r="FP148"/>
      <c r="FQ148"/>
      <c r="FR148"/>
      <c r="FS148"/>
      <c r="FT148"/>
      <c r="FU148"/>
      <c r="FV148"/>
      <c r="FW148"/>
      <c r="FX148"/>
      <c r="FY148"/>
      <c r="FZ148"/>
      <c r="GA148"/>
      <c r="GB148"/>
      <c r="GC148"/>
    </row>
    <row r="149" spans="1:185" ht="12.75" customHeight="1" x14ac:dyDescent="0.25">
      <c r="A149" s="202"/>
      <c r="B149" s="22" t="s">
        <v>57</v>
      </c>
      <c r="C149" s="34" t="s">
        <v>41</v>
      </c>
      <c r="D149" s="22" t="s">
        <v>55</v>
      </c>
      <c r="E149" s="25" t="s">
        <v>611</v>
      </c>
      <c r="F149" s="25" t="s">
        <v>55</v>
      </c>
      <c r="G149" s="25" t="s">
        <v>611</v>
      </c>
      <c r="H149" s="22" t="s">
        <v>56</v>
      </c>
      <c r="I149" s="423" t="s">
        <v>565</v>
      </c>
      <c r="J149" s="37"/>
      <c r="K149" s="23" t="s">
        <v>75</v>
      </c>
      <c r="L149" s="23" t="s">
        <v>76</v>
      </c>
      <c r="M149" s="23" t="s">
        <v>77</v>
      </c>
      <c r="N149" s="23"/>
      <c r="O149" s="2">
        <v>0</v>
      </c>
      <c r="P149" s="2">
        <v>0</v>
      </c>
      <c r="Q149" s="2">
        <v>0</v>
      </c>
      <c r="R149" s="2">
        <v>0</v>
      </c>
      <c r="S149" s="2"/>
      <c r="T149" s="116">
        <f t="shared" si="82"/>
        <v>0</v>
      </c>
      <c r="U149" s="324"/>
      <c r="V149" s="324"/>
      <c r="W149" s="324"/>
      <c r="X149" s="324"/>
      <c r="Y149" s="324"/>
      <c r="Z149" s="324"/>
      <c r="AA149" s="324">
        <v>20</v>
      </c>
      <c r="AB149" s="324">
        <v>60</v>
      </c>
      <c r="AC149" s="324">
        <v>32</v>
      </c>
      <c r="AD149" s="324"/>
      <c r="AE149" s="324"/>
      <c r="AF149" s="324"/>
      <c r="AG149" s="140">
        <f t="shared" si="83"/>
        <v>112</v>
      </c>
      <c r="AH149" s="324"/>
      <c r="AI149" s="324"/>
      <c r="AJ149" s="324"/>
      <c r="AK149" s="324"/>
      <c r="AL149" s="324"/>
      <c r="AM149" s="324"/>
      <c r="AN149" s="324"/>
      <c r="AO149" s="324"/>
      <c r="AP149" s="324"/>
      <c r="AQ149" s="324"/>
      <c r="AR149" s="324"/>
      <c r="AS149" s="324"/>
      <c r="AT149" s="140">
        <f t="shared" si="84"/>
        <v>0</v>
      </c>
      <c r="AU149" s="324"/>
      <c r="AV149" s="324"/>
      <c r="AW149" s="324"/>
      <c r="AX149" s="324"/>
      <c r="AY149" s="324"/>
      <c r="AZ149" s="324"/>
      <c r="BA149" s="324"/>
      <c r="BB149" s="324"/>
      <c r="BC149" s="324"/>
      <c r="BD149" s="324"/>
      <c r="BE149" s="324"/>
      <c r="BF149" s="324"/>
      <c r="BG149" s="140">
        <f t="shared" si="85"/>
        <v>0</v>
      </c>
      <c r="BH149" s="324"/>
      <c r="BI149" s="324"/>
      <c r="BJ149" s="324"/>
      <c r="BK149" s="324"/>
      <c r="BL149" s="324"/>
      <c r="BM149" s="324"/>
      <c r="BN149" s="324"/>
      <c r="BO149" s="324"/>
      <c r="BP149" s="324"/>
      <c r="BQ149" s="324"/>
      <c r="BR149" s="324"/>
      <c r="BS149" s="324"/>
      <c r="BT149" s="140">
        <f t="shared" si="86"/>
        <v>0</v>
      </c>
      <c r="BU149" s="488">
        <f t="shared" si="87"/>
        <v>112</v>
      </c>
      <c r="BV149" s="432"/>
      <c r="BW149" s="432"/>
      <c r="BX149" s="432"/>
      <c r="BY149" s="432"/>
      <c r="BZ149" s="433"/>
      <c r="CA149" s="434"/>
      <c r="CB149" s="7" t="s">
        <v>72</v>
      </c>
      <c r="CC149" s="83">
        <v>0</v>
      </c>
      <c r="CD149" s="83">
        <v>0</v>
      </c>
      <c r="CE149" s="83">
        <v>0</v>
      </c>
      <c r="CF149" s="83">
        <v>0</v>
      </c>
      <c r="CG149" s="84">
        <v>0</v>
      </c>
      <c r="CH149" s="84">
        <v>0</v>
      </c>
      <c r="CI149" s="84">
        <v>0</v>
      </c>
      <c r="CJ149" s="84">
        <v>0</v>
      </c>
      <c r="CK149" s="84">
        <v>0</v>
      </c>
      <c r="CL149" s="84">
        <v>0</v>
      </c>
      <c r="CM149" s="84">
        <v>0</v>
      </c>
      <c r="CN149" s="84">
        <v>0</v>
      </c>
      <c r="CO149" s="4">
        <f t="shared" si="88"/>
        <v>0</v>
      </c>
      <c r="CP149" s="84">
        <v>0</v>
      </c>
      <c r="CQ149" s="84">
        <v>0</v>
      </c>
      <c r="CR149" s="84">
        <v>0</v>
      </c>
      <c r="CS149" s="84">
        <v>0</v>
      </c>
      <c r="CT149" s="84">
        <v>0</v>
      </c>
      <c r="CU149" s="84">
        <v>0</v>
      </c>
      <c r="CV149" s="84">
        <v>2.823828076434152E-3</v>
      </c>
      <c r="CW149" s="84">
        <v>8.4714842293024551E-3</v>
      </c>
      <c r="CX149" s="84">
        <v>4.5181249222946427E-3</v>
      </c>
      <c r="CY149" s="84">
        <v>0</v>
      </c>
      <c r="CZ149" s="84">
        <v>0</v>
      </c>
      <c r="DA149" s="84">
        <v>0</v>
      </c>
      <c r="DB149" s="4">
        <f t="shared" si="89"/>
        <v>1.581343722803125E-2</v>
      </c>
      <c r="DC149" s="84">
        <v>0</v>
      </c>
      <c r="DD149" s="84">
        <v>0</v>
      </c>
      <c r="DE149" s="84">
        <v>0</v>
      </c>
      <c r="DF149" s="84">
        <v>0</v>
      </c>
      <c r="DG149" s="84">
        <v>0</v>
      </c>
      <c r="DH149" s="84">
        <v>0</v>
      </c>
      <c r="DI149" s="84">
        <v>0</v>
      </c>
      <c r="DJ149" s="84">
        <v>0</v>
      </c>
      <c r="DK149" s="84">
        <v>0</v>
      </c>
      <c r="DL149" s="84">
        <v>0</v>
      </c>
      <c r="DM149" s="84">
        <v>0</v>
      </c>
      <c r="DN149" s="84">
        <v>0</v>
      </c>
      <c r="DO149" s="4">
        <f t="shared" si="90"/>
        <v>0</v>
      </c>
      <c r="DP149" s="84">
        <v>0</v>
      </c>
      <c r="DQ149" s="84">
        <v>0</v>
      </c>
      <c r="DR149" s="84">
        <v>0</v>
      </c>
      <c r="DS149" s="84">
        <v>0</v>
      </c>
      <c r="DT149" s="84">
        <v>0</v>
      </c>
      <c r="DU149" s="84">
        <v>0</v>
      </c>
      <c r="DV149" s="84">
        <v>0</v>
      </c>
      <c r="DW149" s="84">
        <v>0</v>
      </c>
      <c r="DX149" s="84">
        <v>0</v>
      </c>
      <c r="DY149" s="84">
        <v>0</v>
      </c>
      <c r="DZ149" s="84">
        <v>0</v>
      </c>
      <c r="EA149" s="84">
        <v>0</v>
      </c>
      <c r="EB149" s="4">
        <f t="shared" si="91"/>
        <v>0</v>
      </c>
      <c r="EC149" s="84">
        <v>0</v>
      </c>
      <c r="ED149" s="84">
        <v>0</v>
      </c>
      <c r="EE149" s="84">
        <v>0</v>
      </c>
      <c r="EF149" s="84">
        <v>0</v>
      </c>
      <c r="EG149" s="84">
        <v>0</v>
      </c>
      <c r="EH149" s="84">
        <v>0</v>
      </c>
      <c r="EI149" s="84">
        <v>0</v>
      </c>
      <c r="EJ149" s="84">
        <v>0</v>
      </c>
      <c r="EK149" s="84">
        <v>0</v>
      </c>
      <c r="EL149" s="84">
        <v>0</v>
      </c>
      <c r="EM149" s="84">
        <v>0</v>
      </c>
      <c r="EN149" s="84">
        <v>0</v>
      </c>
      <c r="EO149" s="4">
        <f t="shared" si="92"/>
        <v>0</v>
      </c>
      <c r="EP149" s="8">
        <f t="shared" si="93"/>
        <v>1.581343722803125E-2</v>
      </c>
      <c r="EQ149" s="181">
        <f>IFERROR(VLOOKUP(I149,CEI_012018!$A$1:$U$509,9,FALSE),0)</f>
        <v>0</v>
      </c>
      <c r="ER149" s="181">
        <f>IFERROR(VLOOKUP(I149,CEI_022018!$A$1:$U$509,9,FALSE),0)</f>
        <v>0</v>
      </c>
      <c r="ES149" s="181">
        <f>IFERROR(VLOOKUP(I149,CEI_032018!$A$1:$U$509,9,FALSE),0)</f>
        <v>0</v>
      </c>
      <c r="ET149" s="181">
        <f>IFERROR(VLOOKUP(I149,CEI_042018!$A$1:$U$491,9,FALSE),0)</f>
        <v>0</v>
      </c>
      <c r="EU149" s="181">
        <f>IFERROR(VLOOKUP(I149,CEI_052018!$A$1:$U$489,9,FALSE),0)</f>
        <v>0</v>
      </c>
      <c r="EV149" s="181">
        <f>IFERROR(VLOOKUP(I149,CEI_062018!$A$1:$U$489,9,FALSE),0)</f>
        <v>0</v>
      </c>
      <c r="EW149" s="181">
        <f>IFERROR(VLOOKUP(I149,CEI_072018!$A$1:$U$489,9,FALSE),0)</f>
        <v>0</v>
      </c>
      <c r="EX149" s="181">
        <f>IFERROR(VLOOKUP(I149,CEI_082018!$A$1:$U$489,9,FALSE),0)</f>
        <v>0</v>
      </c>
      <c r="EY149" s="181">
        <f>IFERROR(VLOOKUP(I149,CEI_092018!$A$1:$U$489,9,FALSE),0)</f>
        <v>0</v>
      </c>
      <c r="EZ149" s="181"/>
      <c r="FA149" s="181"/>
      <c r="FB149" s="181"/>
      <c r="FC149" s="181">
        <f>IFERROR(VLOOKUP(I149,CEI_092018!$A$1:$U$489,12,FALSE),0)</f>
        <v>0</v>
      </c>
      <c r="FD149" s="181">
        <f t="shared" si="94"/>
        <v>0</v>
      </c>
      <c r="FE149" s="181">
        <f t="shared" si="95"/>
        <v>0</v>
      </c>
      <c r="FF149"/>
      <c r="FG149"/>
      <c r="FH149"/>
      <c r="FI149"/>
      <c r="FJ149"/>
      <c r="FK149"/>
      <c r="FL149"/>
      <c r="FM149"/>
      <c r="FN149"/>
      <c r="FO149"/>
      <c r="FP149"/>
      <c r="FQ149"/>
      <c r="FR149"/>
      <c r="FS149"/>
      <c r="FT149"/>
      <c r="FU149"/>
      <c r="FV149"/>
      <c r="FW149"/>
      <c r="FX149"/>
      <c r="FY149"/>
      <c r="FZ149"/>
      <c r="GA149"/>
      <c r="GB149"/>
      <c r="GC149"/>
    </row>
    <row r="150" spans="1:185" ht="12.75" customHeight="1" x14ac:dyDescent="0.25">
      <c r="A150" s="202"/>
      <c r="B150" s="22" t="s">
        <v>57</v>
      </c>
      <c r="C150" s="34" t="s">
        <v>41</v>
      </c>
      <c r="D150" s="22" t="s">
        <v>58</v>
      </c>
      <c r="E150" s="25" t="s">
        <v>292</v>
      </c>
      <c r="F150" s="25" t="s">
        <v>58</v>
      </c>
      <c r="G150" s="25" t="s">
        <v>292</v>
      </c>
      <c r="H150" s="22" t="s">
        <v>56</v>
      </c>
      <c r="I150" s="423" t="s">
        <v>565</v>
      </c>
      <c r="J150" s="37"/>
      <c r="K150" s="23" t="s">
        <v>1080</v>
      </c>
      <c r="L150" s="23" t="s">
        <v>293</v>
      </c>
      <c r="M150" s="23" t="s">
        <v>295</v>
      </c>
      <c r="N150" s="23"/>
      <c r="O150" s="2"/>
      <c r="P150" s="2"/>
      <c r="Q150" s="2"/>
      <c r="R150" s="2"/>
      <c r="S150" s="2"/>
      <c r="T150" s="116">
        <f t="shared" si="82"/>
        <v>0</v>
      </c>
      <c r="U150" s="324"/>
      <c r="V150" s="324"/>
      <c r="W150" s="324"/>
      <c r="X150" s="324"/>
      <c r="Y150" s="324"/>
      <c r="Z150" s="324"/>
      <c r="AA150" s="324"/>
      <c r="AB150" s="324"/>
      <c r="AC150" s="324">
        <v>25</v>
      </c>
      <c r="AD150" s="324"/>
      <c r="AE150" s="324"/>
      <c r="AF150" s="324"/>
      <c r="AG150" s="140">
        <f t="shared" si="83"/>
        <v>25</v>
      </c>
      <c r="AH150" s="324"/>
      <c r="AI150" s="324"/>
      <c r="AJ150" s="324"/>
      <c r="AK150" s="324"/>
      <c r="AL150" s="324"/>
      <c r="AM150" s="324"/>
      <c r="AN150" s="324"/>
      <c r="AO150" s="324"/>
      <c r="AP150" s="324">
        <v>25</v>
      </c>
      <c r="AQ150" s="324"/>
      <c r="AR150" s="324"/>
      <c r="AS150" s="324"/>
      <c r="AT150" s="140">
        <f t="shared" si="84"/>
        <v>25</v>
      </c>
      <c r="AU150" s="324"/>
      <c r="AV150" s="324"/>
      <c r="AW150" s="324"/>
      <c r="AX150" s="324"/>
      <c r="AY150" s="324"/>
      <c r="AZ150" s="324"/>
      <c r="BA150" s="324"/>
      <c r="BB150" s="324"/>
      <c r="BC150" s="324">
        <v>25</v>
      </c>
      <c r="BD150" s="324"/>
      <c r="BE150" s="324"/>
      <c r="BF150" s="324"/>
      <c r="BG150" s="140">
        <f t="shared" si="85"/>
        <v>25</v>
      </c>
      <c r="BH150" s="324"/>
      <c r="BI150" s="324"/>
      <c r="BJ150" s="324"/>
      <c r="BK150" s="324"/>
      <c r="BL150" s="324"/>
      <c r="BM150" s="324"/>
      <c r="BN150" s="324"/>
      <c r="BO150" s="324"/>
      <c r="BP150" s="324">
        <v>25</v>
      </c>
      <c r="BQ150" s="324"/>
      <c r="BR150" s="324"/>
      <c r="BS150" s="324"/>
      <c r="BT150" s="140">
        <f t="shared" si="86"/>
        <v>25</v>
      </c>
      <c r="BU150" s="114">
        <f t="shared" si="87"/>
        <v>100</v>
      </c>
      <c r="BV150" s="432"/>
      <c r="BW150" s="432"/>
      <c r="BX150" s="432"/>
      <c r="BY150" s="432"/>
      <c r="BZ150" s="433"/>
      <c r="CA150" s="434"/>
      <c r="CB150" s="7" t="s">
        <v>73</v>
      </c>
      <c r="CC150" s="3"/>
      <c r="CD150" s="3"/>
      <c r="CE150" s="3"/>
      <c r="CF150" s="3"/>
      <c r="CG150" s="3"/>
      <c r="CH150" s="3"/>
      <c r="CI150" s="3"/>
      <c r="CJ150" s="3"/>
      <c r="CK150" s="3"/>
      <c r="CL150" s="3"/>
      <c r="CM150" s="3"/>
      <c r="CN150" s="3"/>
      <c r="CO150" s="4">
        <f t="shared" si="88"/>
        <v>0</v>
      </c>
      <c r="CP150" s="3"/>
      <c r="CQ150" s="3"/>
      <c r="CR150" s="3"/>
      <c r="CS150" s="3"/>
      <c r="CT150" s="3"/>
      <c r="CU150" s="3"/>
      <c r="CV150" s="3"/>
      <c r="CW150" s="3">
        <v>15</v>
      </c>
      <c r="CX150" s="3"/>
      <c r="CY150" s="3"/>
      <c r="CZ150" s="3"/>
      <c r="DA150" s="3"/>
      <c r="DB150" s="4">
        <f t="shared" si="89"/>
        <v>15</v>
      </c>
      <c r="DC150" s="3"/>
      <c r="DD150" s="3"/>
      <c r="DE150" s="3"/>
      <c r="DF150" s="3"/>
      <c r="DG150" s="3"/>
      <c r="DH150" s="3"/>
      <c r="DI150" s="3"/>
      <c r="DJ150" s="3">
        <v>15</v>
      </c>
      <c r="DK150" s="3"/>
      <c r="DL150" s="3"/>
      <c r="DM150" s="3"/>
      <c r="DN150" s="3"/>
      <c r="DO150" s="4">
        <f t="shared" si="90"/>
        <v>15</v>
      </c>
      <c r="DP150" s="3"/>
      <c r="DQ150" s="3"/>
      <c r="DR150" s="3"/>
      <c r="DS150" s="3"/>
      <c r="DT150" s="3"/>
      <c r="DU150" s="3"/>
      <c r="DV150" s="3"/>
      <c r="DW150" s="3">
        <v>15</v>
      </c>
      <c r="DX150" s="3"/>
      <c r="DY150" s="3"/>
      <c r="DZ150" s="3"/>
      <c r="EA150" s="3"/>
      <c r="EB150" s="4">
        <f t="shared" si="91"/>
        <v>15</v>
      </c>
      <c r="EC150" s="3"/>
      <c r="ED150" s="3"/>
      <c r="EE150" s="3"/>
      <c r="EF150" s="3"/>
      <c r="EG150" s="3"/>
      <c r="EH150" s="3"/>
      <c r="EI150" s="3"/>
      <c r="EJ150" s="3">
        <v>0</v>
      </c>
      <c r="EK150" s="3">
        <v>15</v>
      </c>
      <c r="EL150" s="3"/>
      <c r="EM150" s="3"/>
      <c r="EN150" s="3"/>
      <c r="EO150" s="4">
        <f t="shared" si="92"/>
        <v>15</v>
      </c>
      <c r="EP150" s="8">
        <f t="shared" si="93"/>
        <v>60</v>
      </c>
      <c r="EQ150" s="181">
        <f>IFERROR(VLOOKUP(I150,CEI_012018!$A$1:$U$509,9,FALSE),0)</f>
        <v>0</v>
      </c>
      <c r="ER150" s="181">
        <f>IFERROR(VLOOKUP(I150,CEI_022018!$A$1:$U$509,9,FALSE),0)</f>
        <v>0</v>
      </c>
      <c r="ES150" s="181">
        <f>IFERROR(VLOOKUP(I150,CEI_032018!$A$1:$U$509,9,FALSE),0)</f>
        <v>0</v>
      </c>
      <c r="ET150" s="181">
        <f>IFERROR(VLOOKUP(I150,CEI_042018!$A$1:$U$491,9,FALSE),0)</f>
        <v>0</v>
      </c>
      <c r="EU150" s="181">
        <f>IFERROR(VLOOKUP(I150,CEI_052018!$A$1:$U$489,9,FALSE),0)</f>
        <v>0</v>
      </c>
      <c r="EV150" s="181">
        <f>IFERROR(VLOOKUP(I150,CEI_062018!$A$1:$U$489,9,FALSE),0)</f>
        <v>0</v>
      </c>
      <c r="EW150" s="181">
        <f>IFERROR(VLOOKUP(I150,CEI_072018!$A$1:$U$489,9,FALSE),0)</f>
        <v>0</v>
      </c>
      <c r="EX150" s="181">
        <f>IFERROR(VLOOKUP(I150,CEI_082018!$A$1:$U$489,9,FALSE),0)</f>
        <v>0</v>
      </c>
      <c r="EY150" s="181">
        <f>IFERROR(VLOOKUP(I150,CEI_092018!$A$1:$U$489,9,FALSE),0)</f>
        <v>0</v>
      </c>
      <c r="EZ150" s="181"/>
      <c r="FA150" s="181"/>
      <c r="FB150" s="181"/>
      <c r="FC150" s="181">
        <f>IFERROR(VLOOKUP(I150,CEI_092018!$A$1:$U$489,12,FALSE),0)</f>
        <v>0</v>
      </c>
      <c r="FD150" s="181">
        <f t="shared" si="94"/>
        <v>0</v>
      </c>
      <c r="FE150" s="181">
        <f t="shared" si="95"/>
        <v>0</v>
      </c>
      <c r="FF150"/>
      <c r="FG150"/>
      <c r="FH150"/>
      <c r="FI150"/>
      <c r="FJ150"/>
      <c r="FK150"/>
      <c r="FL150"/>
      <c r="FM150"/>
      <c r="FN150"/>
      <c r="FO150"/>
      <c r="FP150"/>
      <c r="FQ150"/>
      <c r="FR150"/>
      <c r="FS150"/>
      <c r="FT150"/>
      <c r="FU150"/>
      <c r="FV150"/>
      <c r="FW150"/>
      <c r="FX150"/>
      <c r="FY150"/>
      <c r="FZ150"/>
      <c r="GA150"/>
      <c r="GB150"/>
      <c r="GC150"/>
    </row>
    <row r="151" spans="1:185" ht="12.75" customHeight="1" x14ac:dyDescent="0.25">
      <c r="A151" s="202"/>
      <c r="B151" s="22" t="s">
        <v>57</v>
      </c>
      <c r="C151" s="34" t="s">
        <v>41</v>
      </c>
      <c r="D151" s="23" t="s">
        <v>1622</v>
      </c>
      <c r="E151" s="25" t="s">
        <v>1624</v>
      </c>
      <c r="F151" s="25" t="s">
        <v>1622</v>
      </c>
      <c r="G151" s="25" t="s">
        <v>1624</v>
      </c>
      <c r="H151" s="22" t="s">
        <v>1623</v>
      </c>
      <c r="I151" s="423" t="s">
        <v>1662</v>
      </c>
      <c r="J151" s="37" t="s">
        <v>1663</v>
      </c>
      <c r="K151" s="23" t="s">
        <v>1625</v>
      </c>
      <c r="L151" s="23"/>
      <c r="M151" s="23"/>
      <c r="N151" s="23"/>
      <c r="O151" s="2"/>
      <c r="P151" s="2"/>
      <c r="Q151" s="2"/>
      <c r="R151" s="2"/>
      <c r="S151" s="2">
        <v>92</v>
      </c>
      <c r="T151" s="116">
        <f t="shared" si="82"/>
        <v>92</v>
      </c>
      <c r="U151" s="324"/>
      <c r="V151" s="324"/>
      <c r="W151" s="324"/>
      <c r="X151" s="324"/>
      <c r="Y151" s="324"/>
      <c r="Z151" s="324"/>
      <c r="AA151" s="324"/>
      <c r="AB151" s="324"/>
      <c r="AC151" s="324"/>
      <c r="AD151" s="324"/>
      <c r="AE151" s="324"/>
      <c r="AF151" s="324"/>
      <c r="AG151" s="140">
        <f t="shared" si="83"/>
        <v>0</v>
      </c>
      <c r="AH151" s="324"/>
      <c r="AI151" s="324"/>
      <c r="AJ151" s="324"/>
      <c r="AK151" s="324"/>
      <c r="AL151" s="324"/>
      <c r="AM151" s="324"/>
      <c r="AN151" s="324"/>
      <c r="AO151" s="324"/>
      <c r="AP151" s="324"/>
      <c r="AQ151" s="324"/>
      <c r="AR151" s="324"/>
      <c r="AS151" s="324"/>
      <c r="AT151" s="140">
        <f t="shared" si="84"/>
        <v>0</v>
      </c>
      <c r="AU151" s="324"/>
      <c r="AV151" s="324"/>
      <c r="AW151" s="324"/>
      <c r="AX151" s="324"/>
      <c r="AY151" s="324"/>
      <c r="AZ151" s="324"/>
      <c r="BA151" s="324"/>
      <c r="BB151" s="324"/>
      <c r="BC151" s="324"/>
      <c r="BD151" s="324"/>
      <c r="BE151" s="324"/>
      <c r="BF151" s="324"/>
      <c r="BG151" s="140">
        <f t="shared" si="85"/>
        <v>0</v>
      </c>
      <c r="BH151" s="324"/>
      <c r="BI151" s="324"/>
      <c r="BJ151" s="324"/>
      <c r="BK151" s="324"/>
      <c r="BL151" s="324"/>
      <c r="BM151" s="324"/>
      <c r="BN151" s="324"/>
      <c r="BO151" s="324"/>
      <c r="BP151" s="324"/>
      <c r="BQ151" s="324"/>
      <c r="BR151" s="324"/>
      <c r="BS151" s="324"/>
      <c r="BT151" s="140">
        <f t="shared" si="86"/>
        <v>0</v>
      </c>
      <c r="BU151" s="114">
        <f t="shared" si="87"/>
        <v>92</v>
      </c>
      <c r="BV151" s="372">
        <v>1</v>
      </c>
      <c r="BW151" s="372">
        <v>1</v>
      </c>
      <c r="BX151" s="372">
        <v>1</v>
      </c>
      <c r="BY151" s="372">
        <v>-1</v>
      </c>
      <c r="BZ151" s="436">
        <f>IFERROR((EX151/T151%),0)</f>
        <v>0</v>
      </c>
      <c r="CA151" s="428">
        <f>IFERROR((FD151/T151%),0)</f>
        <v>97.763044937797204</v>
      </c>
      <c r="CB151" s="7" t="s">
        <v>73</v>
      </c>
      <c r="CC151" s="3"/>
      <c r="CD151" s="3"/>
      <c r="CE151" s="3"/>
      <c r="CF151" s="3"/>
      <c r="CG151" s="3"/>
      <c r="CH151" s="3"/>
      <c r="CI151" s="3"/>
      <c r="CJ151" s="3">
        <v>21</v>
      </c>
      <c r="CK151" s="3"/>
      <c r="CL151" s="3"/>
      <c r="CM151" s="3"/>
      <c r="CN151" s="3"/>
      <c r="CO151" s="4">
        <f t="shared" si="88"/>
        <v>21</v>
      </c>
      <c r="CP151" s="3"/>
      <c r="CQ151" s="3"/>
      <c r="CR151" s="3"/>
      <c r="CS151" s="3"/>
      <c r="CT151" s="3"/>
      <c r="CU151" s="3"/>
      <c r="CV151" s="3"/>
      <c r="CW151" s="3"/>
      <c r="CX151" s="3"/>
      <c r="CY151" s="3"/>
      <c r="CZ151" s="3"/>
      <c r="DA151" s="3"/>
      <c r="DB151" s="4">
        <f t="shared" si="89"/>
        <v>0</v>
      </c>
      <c r="DC151" s="3"/>
      <c r="DD151" s="3"/>
      <c r="DE151" s="3"/>
      <c r="DF151" s="3"/>
      <c r="DG151" s="3"/>
      <c r="DH151" s="3"/>
      <c r="DI151" s="3"/>
      <c r="DJ151" s="3"/>
      <c r="DK151" s="3"/>
      <c r="DL151" s="3"/>
      <c r="DM151" s="3"/>
      <c r="DN151" s="3"/>
      <c r="DO151" s="4">
        <f t="shared" si="90"/>
        <v>0</v>
      </c>
      <c r="DP151" s="3"/>
      <c r="DQ151" s="3"/>
      <c r="DR151" s="3"/>
      <c r="DS151" s="3"/>
      <c r="DT151" s="3"/>
      <c r="DU151" s="3"/>
      <c r="DV151" s="3"/>
      <c r="DW151" s="3"/>
      <c r="DX151" s="3"/>
      <c r="DY151" s="3"/>
      <c r="DZ151" s="3"/>
      <c r="EA151" s="3"/>
      <c r="EB151" s="4">
        <f t="shared" si="91"/>
        <v>0</v>
      </c>
      <c r="EC151" s="3"/>
      <c r="ED151" s="3"/>
      <c r="EE151" s="3"/>
      <c r="EF151" s="3"/>
      <c r="EG151" s="3"/>
      <c r="EH151" s="3"/>
      <c r="EI151" s="3"/>
      <c r="EJ151" s="3"/>
      <c r="EK151" s="3"/>
      <c r="EL151" s="3"/>
      <c r="EM151" s="3"/>
      <c r="EN151" s="3"/>
      <c r="EO151" s="4">
        <f t="shared" si="92"/>
        <v>0</v>
      </c>
      <c r="EP151" s="8">
        <f t="shared" si="93"/>
        <v>21</v>
      </c>
      <c r="EQ151" s="181">
        <f>IFERROR(VLOOKUP(I151,CEI_012018!$A$1:$U$509,9,FALSE),0)</f>
        <v>0</v>
      </c>
      <c r="ER151" s="181">
        <f>IFERROR(VLOOKUP(I151,CEI_022018!$A$1:$U$509,9,FALSE),0)</f>
        <v>0</v>
      </c>
      <c r="ES151" s="181">
        <f>IFERROR(VLOOKUP(I151,CEI_032018!$A$1:$U$509,9,FALSE),0)</f>
        <v>0</v>
      </c>
      <c r="ET151" s="181">
        <f>IFERROR(VLOOKUP(I151,CEI_042018!$A$1:$U$491,9,FALSE),0)</f>
        <v>0</v>
      </c>
      <c r="EU151" s="181">
        <f>IFERROR(VLOOKUP(I151,CEI_052018!$A$1:$U$489,9,FALSE),0)</f>
        <v>0</v>
      </c>
      <c r="EV151" s="181">
        <f>IFERROR(VLOOKUP(I151,CEI_062018!$A$1:$U$489,9,FALSE),0)</f>
        <v>0</v>
      </c>
      <c r="EW151" s="181">
        <f>IFERROR(VLOOKUP(I151,CEI_072018!$A$1:$U$489,9,FALSE),0)</f>
        <v>0</v>
      </c>
      <c r="EX151" s="181">
        <f>IFERROR(VLOOKUP(I151,CEI_082018!$A$1:$U$489,9,FALSE),0)</f>
        <v>0</v>
      </c>
      <c r="EY151" s="181">
        <f>IFERROR(VLOOKUP(I151,CEI_092018!$A$1:$U$489,9,FALSE),0)</f>
        <v>0</v>
      </c>
      <c r="EZ151" s="181"/>
      <c r="FA151" s="181"/>
      <c r="FB151" s="181"/>
      <c r="FC151" s="181">
        <f>IFERROR(VLOOKUP(I151,CEI_092018!$A$1:$U$489,12,FALSE),0)</f>
        <v>89.942001342773438</v>
      </c>
      <c r="FD151" s="181">
        <f t="shared" si="94"/>
        <v>89.942001342773438</v>
      </c>
      <c r="FE151" s="181">
        <f t="shared" si="95"/>
        <v>2.0579986572265625</v>
      </c>
      <c r="FF151"/>
      <c r="FG151"/>
      <c r="FH151"/>
      <c r="FI151"/>
      <c r="FJ151"/>
      <c r="FK151"/>
      <c r="FL151"/>
      <c r="FM151"/>
      <c r="FN151"/>
      <c r="FO151"/>
      <c r="FP151"/>
      <c r="FQ151"/>
      <c r="FR151"/>
      <c r="FS151"/>
      <c r="FT151"/>
      <c r="FU151"/>
      <c r="FV151"/>
      <c r="FW151"/>
      <c r="FX151"/>
      <c r="FY151"/>
      <c r="FZ151"/>
      <c r="GA151"/>
      <c r="GB151"/>
      <c r="GC151"/>
    </row>
    <row r="152" spans="1:185" ht="12.75" customHeight="1" x14ac:dyDescent="0.25">
      <c r="A152" s="202"/>
      <c r="B152" s="22" t="s">
        <v>57</v>
      </c>
      <c r="C152" s="34" t="s">
        <v>41</v>
      </c>
      <c r="D152" s="22" t="s">
        <v>58</v>
      </c>
      <c r="E152" s="25" t="s">
        <v>292</v>
      </c>
      <c r="F152" s="25" t="s">
        <v>58</v>
      </c>
      <c r="G152" s="25" t="s">
        <v>292</v>
      </c>
      <c r="H152" s="22" t="s">
        <v>56</v>
      </c>
      <c r="I152" s="423" t="s">
        <v>565</v>
      </c>
      <c r="J152" s="37"/>
      <c r="K152" s="23" t="s">
        <v>310</v>
      </c>
      <c r="L152" s="23" t="s">
        <v>311</v>
      </c>
      <c r="M152" s="23" t="s">
        <v>312</v>
      </c>
      <c r="N152" s="23" t="s">
        <v>1776</v>
      </c>
      <c r="O152" s="2"/>
      <c r="P152" s="2"/>
      <c r="Q152" s="2"/>
      <c r="R152" s="2"/>
      <c r="S152" s="2"/>
      <c r="T152" s="116">
        <f t="shared" si="82"/>
        <v>0</v>
      </c>
      <c r="U152" s="324"/>
      <c r="V152" s="324"/>
      <c r="W152" s="324"/>
      <c r="X152" s="324"/>
      <c r="Y152" s="324"/>
      <c r="Z152" s="324"/>
      <c r="AA152" s="324"/>
      <c r="AB152" s="324">
        <v>80</v>
      </c>
      <c r="AC152" s="324"/>
      <c r="AD152" s="324"/>
      <c r="AE152" s="324"/>
      <c r="AF152" s="324"/>
      <c r="AG152" s="140">
        <f t="shared" si="83"/>
        <v>80</v>
      </c>
      <c r="AH152" s="324"/>
      <c r="AI152" s="324"/>
      <c r="AJ152" s="324"/>
      <c r="AK152" s="324"/>
      <c r="AL152" s="324"/>
      <c r="AM152" s="324"/>
      <c r="AN152" s="324"/>
      <c r="AO152" s="324"/>
      <c r="AP152" s="324"/>
      <c r="AQ152" s="324"/>
      <c r="AR152" s="324"/>
      <c r="AS152" s="324"/>
      <c r="AT152" s="140">
        <f t="shared" si="84"/>
        <v>0</v>
      </c>
      <c r="AU152" s="324"/>
      <c r="AV152" s="324"/>
      <c r="AW152" s="324"/>
      <c r="AX152" s="324"/>
      <c r="AY152" s="324"/>
      <c r="AZ152" s="324"/>
      <c r="BA152" s="324"/>
      <c r="BB152" s="324"/>
      <c r="BC152" s="324"/>
      <c r="BD152" s="324"/>
      <c r="BE152" s="324"/>
      <c r="BF152" s="324"/>
      <c r="BG152" s="140">
        <f t="shared" si="85"/>
        <v>0</v>
      </c>
      <c r="BH152" s="324"/>
      <c r="BI152" s="324"/>
      <c r="BJ152" s="324"/>
      <c r="BK152" s="324"/>
      <c r="BL152" s="324"/>
      <c r="BM152" s="324"/>
      <c r="BN152" s="324"/>
      <c r="BO152" s="324"/>
      <c r="BP152" s="324"/>
      <c r="BQ152" s="324"/>
      <c r="BR152" s="324"/>
      <c r="BS152" s="324"/>
      <c r="BT152" s="140">
        <f t="shared" si="86"/>
        <v>0</v>
      </c>
      <c r="BU152" s="114">
        <f t="shared" si="87"/>
        <v>80</v>
      </c>
      <c r="BV152" s="432"/>
      <c r="BW152" s="432"/>
      <c r="BX152" s="432"/>
      <c r="BY152" s="432"/>
      <c r="BZ152" s="433"/>
      <c r="CA152" s="434"/>
      <c r="CB152" s="7" t="s">
        <v>73</v>
      </c>
      <c r="CC152" s="3"/>
      <c r="CD152" s="3"/>
      <c r="CE152" s="3"/>
      <c r="CF152" s="3"/>
      <c r="CG152" s="3"/>
      <c r="CH152" s="3"/>
      <c r="CI152" s="3"/>
      <c r="CJ152" s="3"/>
      <c r="CK152" s="3"/>
      <c r="CL152" s="3"/>
      <c r="CM152" s="3">
        <v>1</v>
      </c>
      <c r="CN152" s="3"/>
      <c r="CO152" s="4">
        <f t="shared" si="88"/>
        <v>1</v>
      </c>
      <c r="CP152" s="3"/>
      <c r="CQ152" s="3"/>
      <c r="CR152" s="3"/>
      <c r="CS152" s="3"/>
      <c r="CT152" s="3"/>
      <c r="CU152" s="3"/>
      <c r="CV152" s="3"/>
      <c r="CW152" s="3">
        <v>0</v>
      </c>
      <c r="CX152" s="3"/>
      <c r="CY152" s="3"/>
      <c r="CZ152" s="3"/>
      <c r="DA152" s="3"/>
      <c r="DB152" s="4">
        <f t="shared" si="89"/>
        <v>0</v>
      </c>
      <c r="DC152" s="3"/>
      <c r="DD152" s="3"/>
      <c r="DE152" s="3"/>
      <c r="DF152" s="3"/>
      <c r="DG152" s="3"/>
      <c r="DH152" s="3"/>
      <c r="DI152" s="3"/>
      <c r="DJ152" s="3">
        <v>0</v>
      </c>
      <c r="DK152" s="3"/>
      <c r="DL152" s="3"/>
      <c r="DM152" s="3"/>
      <c r="DN152" s="3"/>
      <c r="DO152" s="4">
        <f t="shared" si="90"/>
        <v>0</v>
      </c>
      <c r="DP152" s="3"/>
      <c r="DQ152" s="3"/>
      <c r="DR152" s="3"/>
      <c r="DS152" s="3"/>
      <c r="DT152" s="3"/>
      <c r="DU152" s="3"/>
      <c r="DV152" s="3"/>
      <c r="DW152" s="3">
        <v>0</v>
      </c>
      <c r="DX152" s="3"/>
      <c r="DY152" s="3"/>
      <c r="DZ152" s="3"/>
      <c r="EA152" s="3"/>
      <c r="EB152" s="4">
        <f t="shared" si="91"/>
        <v>0</v>
      </c>
      <c r="EC152" s="3"/>
      <c r="ED152" s="3"/>
      <c r="EE152" s="3"/>
      <c r="EF152" s="3"/>
      <c r="EG152" s="3"/>
      <c r="EH152" s="3"/>
      <c r="EI152" s="3"/>
      <c r="EJ152" s="3">
        <v>0</v>
      </c>
      <c r="EK152" s="3"/>
      <c r="EL152" s="3"/>
      <c r="EM152" s="3"/>
      <c r="EN152" s="3"/>
      <c r="EO152" s="4">
        <f t="shared" si="92"/>
        <v>0</v>
      </c>
      <c r="EP152" s="8">
        <f t="shared" si="93"/>
        <v>1</v>
      </c>
      <c r="EQ152" s="181">
        <f>IFERROR(VLOOKUP(I152,CEI_012018!$A$1:$U$509,9,FALSE),0)</f>
        <v>0</v>
      </c>
      <c r="ER152" s="181">
        <f>IFERROR(VLOOKUP(I152,CEI_022018!$A$1:$U$509,9,FALSE),0)</f>
        <v>0</v>
      </c>
      <c r="ES152" s="181">
        <f>IFERROR(VLOOKUP(I152,CEI_032018!$A$1:$U$509,9,FALSE),0)</f>
        <v>0</v>
      </c>
      <c r="ET152" s="181">
        <f>IFERROR(VLOOKUP(I152,CEI_042018!$A$1:$U$491,9,FALSE),0)</f>
        <v>0</v>
      </c>
      <c r="EU152" s="181">
        <f>IFERROR(VLOOKUP(I152,CEI_052018!$A$1:$U$489,9,FALSE),0)</f>
        <v>0</v>
      </c>
      <c r="EV152" s="181">
        <f>IFERROR(VLOOKUP(I152,CEI_062018!$A$1:$U$489,9,FALSE),0)</f>
        <v>0</v>
      </c>
      <c r="EW152" s="181">
        <f>IFERROR(VLOOKUP(I152,CEI_072018!$A$1:$U$489,9,FALSE),0)</f>
        <v>0</v>
      </c>
      <c r="EX152" s="181">
        <f>IFERROR(VLOOKUP(I152,CEI_082018!$A$1:$U$489,9,FALSE),0)</f>
        <v>0</v>
      </c>
      <c r="EY152" s="181">
        <f>IFERROR(VLOOKUP(I152,CEI_092018!$A$1:$U$489,9,FALSE),0)</f>
        <v>0</v>
      </c>
      <c r="EZ152" s="181"/>
      <c r="FA152" s="181"/>
      <c r="FB152" s="181"/>
      <c r="FC152" s="181">
        <f>IFERROR(VLOOKUP(I152,CEI_092018!$A$1:$U$489,12,FALSE),0)</f>
        <v>0</v>
      </c>
      <c r="FD152" s="181">
        <f t="shared" si="94"/>
        <v>0</v>
      </c>
      <c r="FE152" s="181">
        <f t="shared" si="95"/>
        <v>0</v>
      </c>
      <c r="FF152"/>
      <c r="FG152"/>
      <c r="FH152"/>
      <c r="FI152"/>
      <c r="FJ152"/>
      <c r="FK152"/>
      <c r="FL152"/>
      <c r="FM152"/>
      <c r="FN152"/>
      <c r="FO152"/>
      <c r="FP152"/>
      <c r="FQ152"/>
      <c r="FR152"/>
      <c r="FS152"/>
      <c r="FT152"/>
      <c r="FU152"/>
      <c r="FV152"/>
      <c r="FW152"/>
      <c r="FX152"/>
      <c r="FY152"/>
      <c r="FZ152"/>
      <c r="GA152"/>
      <c r="GB152"/>
      <c r="GC152"/>
    </row>
    <row r="153" spans="1:185" ht="12.75" customHeight="1" x14ac:dyDescent="0.25">
      <c r="A153" s="202"/>
      <c r="B153" s="22" t="s">
        <v>57</v>
      </c>
      <c r="C153" s="34" t="s">
        <v>41</v>
      </c>
      <c r="D153" s="22" t="s">
        <v>58</v>
      </c>
      <c r="E153" s="25" t="s">
        <v>433</v>
      </c>
      <c r="F153" s="25" t="s">
        <v>58</v>
      </c>
      <c r="G153" s="25" t="s">
        <v>433</v>
      </c>
      <c r="H153" s="22" t="s">
        <v>56</v>
      </c>
      <c r="I153" s="423" t="s">
        <v>565</v>
      </c>
      <c r="J153" s="37"/>
      <c r="K153" s="23" t="s">
        <v>638</v>
      </c>
      <c r="L153" s="23" t="s">
        <v>635</v>
      </c>
      <c r="M153" s="23" t="s">
        <v>633</v>
      </c>
      <c r="N153" s="23"/>
      <c r="O153" s="2"/>
      <c r="P153" s="2"/>
      <c r="Q153" s="2"/>
      <c r="R153" s="2"/>
      <c r="S153" s="2"/>
      <c r="T153" s="116">
        <f t="shared" si="82"/>
        <v>0</v>
      </c>
      <c r="U153" s="324"/>
      <c r="V153" s="324"/>
      <c r="W153" s="324"/>
      <c r="X153" s="324"/>
      <c r="Y153" s="324"/>
      <c r="Z153" s="324"/>
      <c r="AA153" s="324"/>
      <c r="AB153" s="324"/>
      <c r="AC153" s="324"/>
      <c r="AD153" s="324"/>
      <c r="AE153" s="324"/>
      <c r="AF153" s="324"/>
      <c r="AG153" s="140">
        <f t="shared" si="83"/>
        <v>0</v>
      </c>
      <c r="AH153" s="324"/>
      <c r="AI153" s="324"/>
      <c r="AJ153" s="324"/>
      <c r="AK153" s="324"/>
      <c r="AL153" s="324"/>
      <c r="AM153" s="324"/>
      <c r="AN153" s="324"/>
      <c r="AO153" s="324"/>
      <c r="AP153" s="324"/>
      <c r="AQ153" s="324"/>
      <c r="AR153" s="324"/>
      <c r="AS153" s="324">
        <v>60</v>
      </c>
      <c r="AT153" s="140">
        <f t="shared" si="84"/>
        <v>60</v>
      </c>
      <c r="AU153" s="324"/>
      <c r="AV153" s="324"/>
      <c r="AW153" s="324"/>
      <c r="AX153" s="324"/>
      <c r="AY153" s="324"/>
      <c r="AZ153" s="324"/>
      <c r="BA153" s="324"/>
      <c r="BB153" s="324"/>
      <c r="BC153" s="324"/>
      <c r="BD153" s="324"/>
      <c r="BE153" s="324"/>
      <c r="BF153" s="324"/>
      <c r="BG153" s="140">
        <f t="shared" si="85"/>
        <v>0</v>
      </c>
      <c r="BH153" s="324"/>
      <c r="BI153" s="324"/>
      <c r="BJ153" s="324"/>
      <c r="BK153" s="324"/>
      <c r="BL153" s="324"/>
      <c r="BM153" s="324"/>
      <c r="BN153" s="324"/>
      <c r="BO153" s="324"/>
      <c r="BP153" s="324"/>
      <c r="BQ153" s="324"/>
      <c r="BR153" s="324"/>
      <c r="BS153" s="324"/>
      <c r="BT153" s="140">
        <f t="shared" si="86"/>
        <v>0</v>
      </c>
      <c r="BU153" s="114">
        <f t="shared" si="87"/>
        <v>60</v>
      </c>
      <c r="BV153" s="432"/>
      <c r="BW153" s="432"/>
      <c r="BX153" s="432"/>
      <c r="BY153" s="432"/>
      <c r="BZ153" s="433"/>
      <c r="CA153" s="434"/>
      <c r="CB153" s="7" t="s">
        <v>483</v>
      </c>
      <c r="CC153" s="3"/>
      <c r="CD153" s="3"/>
      <c r="CE153" s="3"/>
      <c r="CF153" s="3"/>
      <c r="CG153" s="3"/>
      <c r="CH153" s="3"/>
      <c r="CI153" s="3"/>
      <c r="CJ153" s="3"/>
      <c r="CK153" s="3"/>
      <c r="CL153" s="3"/>
      <c r="CM153" s="3"/>
      <c r="CN153" s="3"/>
      <c r="CO153" s="4">
        <f t="shared" si="88"/>
        <v>0</v>
      </c>
      <c r="CP153" s="3"/>
      <c r="CQ153" s="3"/>
      <c r="CR153" s="3"/>
      <c r="CS153" s="3"/>
      <c r="CT153" s="3"/>
      <c r="CU153" s="3"/>
      <c r="CV153" s="3"/>
      <c r="CW153" s="3"/>
      <c r="CX153" s="3"/>
      <c r="CY153" s="3"/>
      <c r="CZ153" s="3"/>
      <c r="DA153" s="3"/>
      <c r="DB153" s="4">
        <f t="shared" si="89"/>
        <v>0</v>
      </c>
      <c r="DC153" s="3"/>
      <c r="DD153" s="3"/>
      <c r="DE153" s="3"/>
      <c r="DF153" s="3"/>
      <c r="DG153" s="3"/>
      <c r="DH153" s="3"/>
      <c r="DI153" s="3"/>
      <c r="DJ153" s="3"/>
      <c r="DK153" s="3"/>
      <c r="DL153" s="3"/>
      <c r="DM153" s="3"/>
      <c r="DN153" s="3">
        <v>817</v>
      </c>
      <c r="DO153" s="4">
        <f t="shared" si="90"/>
        <v>817</v>
      </c>
      <c r="DP153" s="3"/>
      <c r="DQ153" s="3"/>
      <c r="DR153" s="3"/>
      <c r="DS153" s="3"/>
      <c r="DT153" s="3"/>
      <c r="DU153" s="3"/>
      <c r="DV153" s="3"/>
      <c r="DW153" s="3"/>
      <c r="DX153" s="3"/>
      <c r="DY153" s="3"/>
      <c r="DZ153" s="3"/>
      <c r="EA153" s="3"/>
      <c r="EB153" s="4">
        <f t="shared" si="91"/>
        <v>0</v>
      </c>
      <c r="EC153" s="3"/>
      <c r="ED153" s="3"/>
      <c r="EE153" s="3"/>
      <c r="EF153" s="3"/>
      <c r="EG153" s="3"/>
      <c r="EH153" s="3"/>
      <c r="EI153" s="3"/>
      <c r="EJ153" s="3"/>
      <c r="EK153" s="3"/>
      <c r="EL153" s="3"/>
      <c r="EM153" s="3"/>
      <c r="EN153" s="3"/>
      <c r="EO153" s="4">
        <f t="shared" si="92"/>
        <v>0</v>
      </c>
      <c r="EP153" s="8">
        <f t="shared" si="93"/>
        <v>817</v>
      </c>
      <c r="EQ153" s="181">
        <f>IFERROR(VLOOKUP(I153,CEI_012018!$A$1:$U$509,9,FALSE),0)</f>
        <v>0</v>
      </c>
      <c r="ER153" s="181">
        <f>IFERROR(VLOOKUP(I153,CEI_022018!$A$1:$U$509,9,FALSE),0)</f>
        <v>0</v>
      </c>
      <c r="ES153" s="181">
        <f>IFERROR(VLOOKUP(I153,CEI_032018!$A$1:$U$509,9,FALSE),0)</f>
        <v>0</v>
      </c>
      <c r="ET153" s="181">
        <f>IFERROR(VLOOKUP(I153,CEI_042018!$A$1:$U$491,9,FALSE),0)</f>
        <v>0</v>
      </c>
      <c r="EU153" s="181">
        <f>IFERROR(VLOOKUP(I153,CEI_052018!$A$1:$U$489,9,FALSE),0)</f>
        <v>0</v>
      </c>
      <c r="EV153" s="181">
        <f>IFERROR(VLOOKUP(I153,CEI_062018!$A$1:$U$489,9,FALSE),0)</f>
        <v>0</v>
      </c>
      <c r="EW153" s="181">
        <f>IFERROR(VLOOKUP(I153,CEI_072018!$A$1:$U$489,9,FALSE),0)</f>
        <v>0</v>
      </c>
      <c r="EX153" s="181">
        <f>IFERROR(VLOOKUP(I153,CEI_082018!$A$1:$U$489,9,FALSE),0)</f>
        <v>0</v>
      </c>
      <c r="EY153" s="181">
        <f>IFERROR(VLOOKUP(I153,CEI_092018!$A$1:$U$489,9,FALSE),0)</f>
        <v>0</v>
      </c>
      <c r="EZ153" s="181"/>
      <c r="FA153" s="181"/>
      <c r="FB153" s="181"/>
      <c r="FC153" s="181">
        <f>IFERROR(VLOOKUP(I153,CEI_092018!$A$1:$U$489,12,FALSE),0)</f>
        <v>0</v>
      </c>
      <c r="FD153" s="181">
        <f t="shared" si="94"/>
        <v>0</v>
      </c>
      <c r="FE153" s="181">
        <f t="shared" si="95"/>
        <v>0</v>
      </c>
      <c r="FF153"/>
      <c r="FG153"/>
      <c r="FH153"/>
      <c r="FI153"/>
      <c r="FJ153"/>
      <c r="FK153"/>
      <c r="FL153"/>
      <c r="FM153"/>
      <c r="FN153"/>
      <c r="FO153"/>
      <c r="FP153"/>
      <c r="FQ153"/>
      <c r="FR153"/>
      <c r="FS153"/>
      <c r="FT153"/>
      <c r="FU153"/>
      <c r="FV153"/>
      <c r="FW153"/>
      <c r="FX153"/>
      <c r="FY153"/>
      <c r="FZ153"/>
      <c r="GA153"/>
      <c r="GB153"/>
      <c r="GC153"/>
    </row>
    <row r="154" spans="1:185" ht="12.75" customHeight="1" x14ac:dyDescent="0.25">
      <c r="A154" s="202"/>
      <c r="B154" s="22" t="s">
        <v>57</v>
      </c>
      <c r="C154" s="34" t="s">
        <v>41</v>
      </c>
      <c r="D154" s="22" t="s">
        <v>58</v>
      </c>
      <c r="E154" s="25" t="s">
        <v>1618</v>
      </c>
      <c r="F154" s="25" t="s">
        <v>58</v>
      </c>
      <c r="G154" s="25" t="s">
        <v>1618</v>
      </c>
      <c r="H154" s="22" t="s">
        <v>56</v>
      </c>
      <c r="I154" s="423" t="s">
        <v>1157</v>
      </c>
      <c r="J154" s="37" t="s">
        <v>1158</v>
      </c>
      <c r="K154" s="23" t="s">
        <v>1159</v>
      </c>
      <c r="L154" s="23" t="s">
        <v>1159</v>
      </c>
      <c r="M154" s="23" t="s">
        <v>1159</v>
      </c>
      <c r="N154" s="23"/>
      <c r="O154" s="2">
        <v>54.296999216079712</v>
      </c>
      <c r="P154" s="2"/>
      <c r="Q154" s="2"/>
      <c r="R154" s="2"/>
      <c r="S154" s="340"/>
      <c r="T154" s="116">
        <f t="shared" si="82"/>
        <v>54.296999216079712</v>
      </c>
      <c r="U154" s="324"/>
      <c r="V154" s="324"/>
      <c r="W154" s="324"/>
      <c r="X154" s="324"/>
      <c r="Y154" s="324"/>
      <c r="Z154" s="324"/>
      <c r="AA154" s="324"/>
      <c r="AB154" s="324"/>
      <c r="AC154" s="324"/>
      <c r="AD154" s="324"/>
      <c r="AE154" s="324"/>
      <c r="AF154" s="324"/>
      <c r="AG154" s="140">
        <f t="shared" si="83"/>
        <v>0</v>
      </c>
      <c r="AH154" s="324"/>
      <c r="AI154" s="324"/>
      <c r="AJ154" s="324"/>
      <c r="AK154" s="324"/>
      <c r="AL154" s="324"/>
      <c r="AM154" s="324"/>
      <c r="AN154" s="324"/>
      <c r="AO154" s="324"/>
      <c r="AP154" s="324"/>
      <c r="AQ154" s="324"/>
      <c r="AR154" s="324"/>
      <c r="AS154" s="324"/>
      <c r="AT154" s="140">
        <f t="shared" si="84"/>
        <v>0</v>
      </c>
      <c r="AU154" s="324"/>
      <c r="AV154" s="324"/>
      <c r="AW154" s="324"/>
      <c r="AX154" s="324"/>
      <c r="AY154" s="324"/>
      <c r="AZ154" s="324"/>
      <c r="BA154" s="324"/>
      <c r="BB154" s="324"/>
      <c r="BC154" s="324"/>
      <c r="BD154" s="324"/>
      <c r="BE154" s="324"/>
      <c r="BF154" s="324"/>
      <c r="BG154" s="140">
        <f t="shared" si="85"/>
        <v>0</v>
      </c>
      <c r="BH154" s="324"/>
      <c r="BI154" s="324"/>
      <c r="BJ154" s="324"/>
      <c r="BK154" s="324"/>
      <c r="BL154" s="324"/>
      <c r="BM154" s="324"/>
      <c r="BN154" s="324"/>
      <c r="BO154" s="324"/>
      <c r="BP154" s="324"/>
      <c r="BQ154" s="324"/>
      <c r="BR154" s="324"/>
      <c r="BS154" s="324"/>
      <c r="BT154" s="140">
        <f t="shared" si="86"/>
        <v>0</v>
      </c>
      <c r="BU154" s="114">
        <f t="shared" si="87"/>
        <v>54.296999216079712</v>
      </c>
      <c r="BV154" s="372">
        <v>1</v>
      </c>
      <c r="BW154" s="372">
        <v>1</v>
      </c>
      <c r="BX154" s="372">
        <v>1</v>
      </c>
      <c r="BY154" s="372">
        <v>1</v>
      </c>
      <c r="BZ154" s="436">
        <f>IFERROR((EX154/T154%),0)</f>
        <v>100</v>
      </c>
      <c r="CA154" s="436">
        <f>IFERROR((FD154/T154%),0)</f>
        <v>100</v>
      </c>
      <c r="CB154" s="7" t="s">
        <v>73</v>
      </c>
      <c r="CC154" s="3"/>
      <c r="CD154" s="3"/>
      <c r="CE154" s="3">
        <v>27</v>
      </c>
      <c r="CF154" s="3"/>
      <c r="CG154" s="3"/>
      <c r="CH154" s="3"/>
      <c r="CI154" s="3"/>
      <c r="CJ154" s="3"/>
      <c r="CK154" s="3"/>
      <c r="CL154" s="3"/>
      <c r="CM154" s="3"/>
      <c r="CN154" s="3"/>
      <c r="CO154" s="4">
        <f t="shared" si="88"/>
        <v>27</v>
      </c>
      <c r="CP154" s="3"/>
      <c r="CQ154" s="3"/>
      <c r="CR154" s="3"/>
      <c r="CS154" s="3"/>
      <c r="CT154" s="3"/>
      <c r="CU154" s="3"/>
      <c r="CV154" s="3"/>
      <c r="CW154" s="3"/>
      <c r="CX154" s="3"/>
      <c r="CY154" s="3"/>
      <c r="CZ154" s="3"/>
      <c r="DA154" s="3"/>
      <c r="DB154" s="4">
        <f t="shared" si="89"/>
        <v>0</v>
      </c>
      <c r="DC154" s="3"/>
      <c r="DD154" s="3"/>
      <c r="DE154" s="3"/>
      <c r="DF154" s="3"/>
      <c r="DG154" s="3"/>
      <c r="DH154" s="3"/>
      <c r="DI154" s="3"/>
      <c r="DJ154" s="3"/>
      <c r="DK154" s="3"/>
      <c r="DL154" s="3"/>
      <c r="DM154" s="3"/>
      <c r="DN154" s="3"/>
      <c r="DO154" s="4">
        <f t="shared" si="90"/>
        <v>0</v>
      </c>
      <c r="DP154" s="3"/>
      <c r="DQ154" s="3"/>
      <c r="DR154" s="3"/>
      <c r="DS154" s="3"/>
      <c r="DT154" s="3"/>
      <c r="DU154" s="3"/>
      <c r="DV154" s="3"/>
      <c r="DW154" s="3"/>
      <c r="DX154" s="3"/>
      <c r="DY154" s="3"/>
      <c r="DZ154" s="3"/>
      <c r="EA154" s="3"/>
      <c r="EB154" s="4">
        <f t="shared" si="91"/>
        <v>0</v>
      </c>
      <c r="EC154" s="3"/>
      <c r="ED154" s="3"/>
      <c r="EE154" s="3"/>
      <c r="EF154" s="3"/>
      <c r="EG154" s="3"/>
      <c r="EH154" s="3"/>
      <c r="EI154" s="3"/>
      <c r="EJ154" s="3"/>
      <c r="EK154" s="3"/>
      <c r="EL154" s="3"/>
      <c r="EM154" s="3"/>
      <c r="EN154" s="3"/>
      <c r="EO154" s="4">
        <f t="shared" si="92"/>
        <v>0</v>
      </c>
      <c r="EP154" s="8">
        <f t="shared" si="93"/>
        <v>27</v>
      </c>
      <c r="EQ154" s="181">
        <f>IFERROR(VLOOKUP(I154,CEI_012018!$A$1:$U$509,9,FALSE),0)</f>
        <v>0</v>
      </c>
      <c r="ER154" s="181">
        <f>IFERROR(VLOOKUP(I154,CEI_022018!$A$1:$U$509,9,FALSE),0)</f>
        <v>0</v>
      </c>
      <c r="ES154" s="181">
        <f>IFERROR(VLOOKUP(I154,CEI_032018!$A$1:$U$509,9,FALSE),0)</f>
        <v>54.296999216079712</v>
      </c>
      <c r="ET154" s="181">
        <f>IFERROR(VLOOKUP(I154,CEI_042018!$A$1:$U$491,9,FALSE),0)</f>
        <v>54.296999216079712</v>
      </c>
      <c r="EU154" s="181">
        <f>IFERROR(VLOOKUP(I154,CEI_052018!$A$1:$U$489,9,FALSE),0)</f>
        <v>54.296999216079712</v>
      </c>
      <c r="EV154" s="181">
        <f>IFERROR(VLOOKUP(I154,CEI_062018!$A$1:$U$489,9,FALSE),0)</f>
        <v>54.296999216079712</v>
      </c>
      <c r="EW154" s="181">
        <f>IFERROR(VLOOKUP(I154,CEI_072018!$A$1:$U$489,9,FALSE),0)</f>
        <v>54.296999216079712</v>
      </c>
      <c r="EX154" s="181">
        <f>IFERROR(VLOOKUP(I154,CEI_082018!$A$1:$U$489,9,FALSE),0)</f>
        <v>54.296999216079712</v>
      </c>
      <c r="EY154" s="181">
        <f>IFERROR(VLOOKUP(I154,CEI_092018!$A$1:$U$489,9,FALSE),0)</f>
        <v>54.296999216079712</v>
      </c>
      <c r="EZ154" s="181"/>
      <c r="FA154" s="181"/>
      <c r="FB154" s="181"/>
      <c r="FC154" s="181">
        <f>IFERROR(VLOOKUP(I154,CEI_092018!$A$1:$U$489,12,FALSE),0)</f>
        <v>0</v>
      </c>
      <c r="FD154" s="181">
        <f t="shared" si="94"/>
        <v>54.296999216079712</v>
      </c>
      <c r="FE154" s="181">
        <f t="shared" si="95"/>
        <v>0</v>
      </c>
      <c r="FF154"/>
      <c r="FG154"/>
      <c r="FH154"/>
      <c r="FI154"/>
      <c r="FJ154"/>
      <c r="FK154"/>
      <c r="FL154"/>
      <c r="FM154"/>
      <c r="FN154"/>
      <c r="FO154"/>
      <c r="FP154"/>
      <c r="FQ154"/>
      <c r="FR154"/>
      <c r="FS154"/>
      <c r="FT154"/>
      <c r="FU154"/>
      <c r="FV154"/>
      <c r="FW154"/>
      <c r="FX154"/>
      <c r="FY154"/>
      <c r="FZ154"/>
      <c r="GA154"/>
      <c r="GB154"/>
      <c r="GC154"/>
    </row>
    <row r="155" spans="1:185" ht="12.75" customHeight="1" x14ac:dyDescent="0.25">
      <c r="A155" s="202"/>
      <c r="B155" s="22" t="s">
        <v>57</v>
      </c>
      <c r="C155" s="34" t="s">
        <v>41</v>
      </c>
      <c r="D155" s="22" t="s">
        <v>55</v>
      </c>
      <c r="E155" s="25" t="s">
        <v>616</v>
      </c>
      <c r="F155" s="25" t="s">
        <v>55</v>
      </c>
      <c r="G155" s="25" t="s">
        <v>616</v>
      </c>
      <c r="H155" s="22" t="s">
        <v>56</v>
      </c>
      <c r="I155" s="423" t="s">
        <v>565</v>
      </c>
      <c r="J155" s="37"/>
      <c r="K155" s="23" t="s">
        <v>85</v>
      </c>
      <c r="L155" s="23" t="s">
        <v>86</v>
      </c>
      <c r="M155" s="23" t="s">
        <v>79</v>
      </c>
      <c r="N155" s="23"/>
      <c r="O155" s="2"/>
      <c r="P155" s="2"/>
      <c r="Q155" s="2"/>
      <c r="R155" s="2"/>
      <c r="S155" s="2"/>
      <c r="T155" s="116">
        <f t="shared" si="82"/>
        <v>0</v>
      </c>
      <c r="U155" s="324"/>
      <c r="V155" s="324">
        <v>51.1</v>
      </c>
      <c r="W155" s="324"/>
      <c r="X155" s="324"/>
      <c r="Y155" s="324"/>
      <c r="Z155" s="324"/>
      <c r="AA155" s="324"/>
      <c r="AB155" s="324"/>
      <c r="AC155" s="324"/>
      <c r="AD155" s="324"/>
      <c r="AE155" s="324"/>
      <c r="AF155" s="324"/>
      <c r="AG155" s="140">
        <f t="shared" si="83"/>
        <v>51.1</v>
      </c>
      <c r="AH155" s="324"/>
      <c r="AI155" s="324"/>
      <c r="AJ155" s="324"/>
      <c r="AK155" s="324"/>
      <c r="AL155" s="324"/>
      <c r="AM155" s="324"/>
      <c r="AN155" s="324"/>
      <c r="AO155" s="324"/>
      <c r="AP155" s="324"/>
      <c r="AQ155" s="324"/>
      <c r="AR155" s="324"/>
      <c r="AS155" s="324"/>
      <c r="AT155" s="140">
        <f t="shared" si="84"/>
        <v>0</v>
      </c>
      <c r="AU155" s="324"/>
      <c r="AV155" s="324"/>
      <c r="AW155" s="324"/>
      <c r="AX155" s="324"/>
      <c r="AY155" s="324"/>
      <c r="AZ155" s="324"/>
      <c r="BA155" s="324"/>
      <c r="BB155" s="324"/>
      <c r="BC155" s="324"/>
      <c r="BD155" s="324"/>
      <c r="BE155" s="324"/>
      <c r="BF155" s="324"/>
      <c r="BG155" s="140">
        <f t="shared" si="85"/>
        <v>0</v>
      </c>
      <c r="BH155" s="324"/>
      <c r="BI155" s="324"/>
      <c r="BJ155" s="324"/>
      <c r="BK155" s="324"/>
      <c r="BL155" s="324"/>
      <c r="BM155" s="324"/>
      <c r="BN155" s="324"/>
      <c r="BO155" s="324"/>
      <c r="BP155" s="324"/>
      <c r="BQ155" s="324"/>
      <c r="BR155" s="324"/>
      <c r="BS155" s="324"/>
      <c r="BT155" s="140">
        <f t="shared" si="86"/>
        <v>0</v>
      </c>
      <c r="BU155" s="488">
        <f t="shared" si="87"/>
        <v>51.1</v>
      </c>
      <c r="BV155" s="432"/>
      <c r="BW155" s="432"/>
      <c r="BX155" s="432"/>
      <c r="BY155" s="432"/>
      <c r="BZ155" s="433"/>
      <c r="CA155" s="434"/>
      <c r="CB155" s="7" t="s">
        <v>72</v>
      </c>
      <c r="CC155" s="83">
        <v>0</v>
      </c>
      <c r="CD155" s="83">
        <v>0</v>
      </c>
      <c r="CE155" s="83">
        <v>0</v>
      </c>
      <c r="CF155" s="83">
        <v>0</v>
      </c>
      <c r="CG155" s="84">
        <v>0</v>
      </c>
      <c r="CH155" s="84">
        <v>0</v>
      </c>
      <c r="CI155" s="84">
        <v>0</v>
      </c>
      <c r="CJ155" s="84">
        <v>0</v>
      </c>
      <c r="CK155" s="84">
        <v>0</v>
      </c>
      <c r="CL155" s="84">
        <v>0</v>
      </c>
      <c r="CM155" s="84">
        <v>0</v>
      </c>
      <c r="CN155" s="84">
        <v>0</v>
      </c>
      <c r="CO155" s="4">
        <f t="shared" si="88"/>
        <v>0</v>
      </c>
      <c r="CP155" s="84">
        <v>0</v>
      </c>
      <c r="CQ155" s="84">
        <v>7.2148807352892582E-3</v>
      </c>
      <c r="CR155" s="84">
        <v>0</v>
      </c>
      <c r="CS155" s="84">
        <v>0</v>
      </c>
      <c r="CT155" s="84">
        <v>0</v>
      </c>
      <c r="CU155" s="84">
        <v>0</v>
      </c>
      <c r="CV155" s="84">
        <v>0</v>
      </c>
      <c r="CW155" s="84">
        <v>0</v>
      </c>
      <c r="CX155" s="84">
        <v>0</v>
      </c>
      <c r="CY155" s="84">
        <v>0</v>
      </c>
      <c r="CZ155" s="84">
        <v>0</v>
      </c>
      <c r="DA155" s="84">
        <v>0</v>
      </c>
      <c r="DB155" s="4">
        <f t="shared" si="89"/>
        <v>7.2148807352892582E-3</v>
      </c>
      <c r="DC155" s="84">
        <v>0</v>
      </c>
      <c r="DD155" s="84">
        <v>0</v>
      </c>
      <c r="DE155" s="84">
        <v>0</v>
      </c>
      <c r="DF155" s="84">
        <v>0</v>
      </c>
      <c r="DG155" s="84">
        <v>0</v>
      </c>
      <c r="DH155" s="84">
        <v>0</v>
      </c>
      <c r="DI155" s="84">
        <v>0</v>
      </c>
      <c r="DJ155" s="84">
        <v>0</v>
      </c>
      <c r="DK155" s="84">
        <v>0</v>
      </c>
      <c r="DL155" s="84">
        <v>0</v>
      </c>
      <c r="DM155" s="84">
        <v>0</v>
      </c>
      <c r="DN155" s="84">
        <v>0</v>
      </c>
      <c r="DO155" s="4">
        <f t="shared" si="90"/>
        <v>0</v>
      </c>
      <c r="DP155" s="84">
        <v>0</v>
      </c>
      <c r="DQ155" s="84">
        <v>0</v>
      </c>
      <c r="DR155" s="84">
        <v>0</v>
      </c>
      <c r="DS155" s="84">
        <v>0</v>
      </c>
      <c r="DT155" s="84">
        <v>0</v>
      </c>
      <c r="DU155" s="84">
        <v>0</v>
      </c>
      <c r="DV155" s="84">
        <v>0</v>
      </c>
      <c r="DW155" s="84">
        <v>0</v>
      </c>
      <c r="DX155" s="84">
        <v>0</v>
      </c>
      <c r="DY155" s="84">
        <v>0</v>
      </c>
      <c r="DZ155" s="84">
        <v>0</v>
      </c>
      <c r="EA155" s="84">
        <v>0</v>
      </c>
      <c r="EB155" s="4">
        <f t="shared" si="91"/>
        <v>0</v>
      </c>
      <c r="EC155" s="84">
        <v>0</v>
      </c>
      <c r="ED155" s="84">
        <v>0</v>
      </c>
      <c r="EE155" s="84">
        <v>0</v>
      </c>
      <c r="EF155" s="84">
        <v>0</v>
      </c>
      <c r="EG155" s="84">
        <v>0</v>
      </c>
      <c r="EH155" s="84">
        <v>0</v>
      </c>
      <c r="EI155" s="84">
        <v>0</v>
      </c>
      <c r="EJ155" s="84">
        <v>0</v>
      </c>
      <c r="EK155" s="84">
        <v>0</v>
      </c>
      <c r="EL155" s="84">
        <v>0</v>
      </c>
      <c r="EM155" s="84">
        <v>0</v>
      </c>
      <c r="EN155" s="84">
        <v>0</v>
      </c>
      <c r="EO155" s="4">
        <f t="shared" si="92"/>
        <v>0</v>
      </c>
      <c r="EP155" s="8">
        <f t="shared" si="93"/>
        <v>7.2148807352892582E-3</v>
      </c>
      <c r="EQ155" s="181">
        <f>IFERROR(VLOOKUP(I155,CEI_012018!$A$1:$U$509,9,FALSE),0)</f>
        <v>0</v>
      </c>
      <c r="ER155" s="181">
        <f>IFERROR(VLOOKUP(I155,CEI_022018!$A$1:$U$509,9,FALSE),0)</f>
        <v>0</v>
      </c>
      <c r="ES155" s="181">
        <f>IFERROR(VLOOKUP(I155,CEI_032018!$A$1:$U$509,9,FALSE),0)</f>
        <v>0</v>
      </c>
      <c r="ET155" s="181">
        <f>IFERROR(VLOOKUP(I155,CEI_042018!$A$1:$U$491,9,FALSE),0)</f>
        <v>0</v>
      </c>
      <c r="EU155" s="181">
        <f>IFERROR(VLOOKUP(I155,CEI_052018!$A$1:$U$489,9,FALSE),0)</f>
        <v>0</v>
      </c>
      <c r="EV155" s="181">
        <f>IFERROR(VLOOKUP(I155,CEI_062018!$A$1:$U$489,9,FALSE),0)</f>
        <v>0</v>
      </c>
      <c r="EW155" s="181">
        <f>IFERROR(VLOOKUP(I155,CEI_072018!$A$1:$U$489,9,FALSE),0)</f>
        <v>0</v>
      </c>
      <c r="EX155" s="181">
        <f>IFERROR(VLOOKUP(I155,CEI_082018!$A$1:$U$489,9,FALSE),0)</f>
        <v>0</v>
      </c>
      <c r="EY155" s="181">
        <f>IFERROR(VLOOKUP(I155,CEI_092018!$A$1:$U$489,9,FALSE),0)</f>
        <v>0</v>
      </c>
      <c r="EZ155" s="181"/>
      <c r="FA155" s="181"/>
      <c r="FB155" s="181"/>
      <c r="FC155" s="181">
        <f>IFERROR(VLOOKUP(I155,CEI_092018!$A$1:$U$489,12,FALSE),0)</f>
        <v>0</v>
      </c>
      <c r="FD155" s="181">
        <f t="shared" si="94"/>
        <v>0</v>
      </c>
      <c r="FE155" s="181">
        <f t="shared" si="95"/>
        <v>0</v>
      </c>
      <c r="FF155"/>
      <c r="FG155"/>
      <c r="FH155"/>
      <c r="FI155"/>
      <c r="FJ155"/>
      <c r="FK155"/>
      <c r="FL155"/>
      <c r="FM155"/>
      <c r="FN155"/>
      <c r="FO155"/>
      <c r="FP155"/>
      <c r="FQ155"/>
      <c r="FR155"/>
      <c r="FS155"/>
      <c r="FT155"/>
      <c r="FU155"/>
      <c r="FV155"/>
      <c r="FW155"/>
      <c r="FX155"/>
      <c r="FY155"/>
      <c r="FZ155"/>
      <c r="GA155"/>
      <c r="GB155"/>
      <c r="GC155"/>
    </row>
    <row r="156" spans="1:185" ht="12.75" customHeight="1" x14ac:dyDescent="0.25">
      <c r="A156" s="202"/>
      <c r="B156" s="22" t="s">
        <v>57</v>
      </c>
      <c r="C156" s="34" t="s">
        <v>41</v>
      </c>
      <c r="D156" s="22" t="s">
        <v>58</v>
      </c>
      <c r="E156" s="25" t="s">
        <v>1040</v>
      </c>
      <c r="F156" s="25" t="s">
        <v>58</v>
      </c>
      <c r="G156" s="25" t="s">
        <v>1040</v>
      </c>
      <c r="H156" s="22" t="s">
        <v>56</v>
      </c>
      <c r="I156" s="423" t="s">
        <v>565</v>
      </c>
      <c r="J156" s="37"/>
      <c r="K156" s="23" t="s">
        <v>315</v>
      </c>
      <c r="L156" s="23" t="s">
        <v>316</v>
      </c>
      <c r="M156" s="23" t="s">
        <v>317</v>
      </c>
      <c r="N156" s="23"/>
      <c r="O156" s="2"/>
      <c r="P156" s="2"/>
      <c r="Q156" s="2"/>
      <c r="R156" s="2"/>
      <c r="S156" s="2"/>
      <c r="T156" s="116">
        <f t="shared" si="82"/>
        <v>0</v>
      </c>
      <c r="U156" s="324"/>
      <c r="V156" s="324"/>
      <c r="W156" s="324"/>
      <c r="X156" s="324"/>
      <c r="Y156" s="324"/>
      <c r="Z156" s="324"/>
      <c r="AA156" s="324"/>
      <c r="AB156" s="324"/>
      <c r="AC156" s="324"/>
      <c r="AD156" s="324"/>
      <c r="AE156" s="324"/>
      <c r="AF156" s="324"/>
      <c r="AG156" s="140">
        <f t="shared" si="83"/>
        <v>0</v>
      </c>
      <c r="AH156" s="324"/>
      <c r="AI156" s="324"/>
      <c r="AJ156" s="324"/>
      <c r="AK156" s="324"/>
      <c r="AL156" s="324"/>
      <c r="AM156" s="324"/>
      <c r="AN156" s="324"/>
      <c r="AO156" s="324">
        <v>30</v>
      </c>
      <c r="AP156" s="324">
        <v>20</v>
      </c>
      <c r="AQ156" s="324"/>
      <c r="AR156" s="324"/>
      <c r="AS156" s="324"/>
      <c r="AT156" s="140">
        <f t="shared" si="84"/>
        <v>50</v>
      </c>
      <c r="AU156" s="324"/>
      <c r="AV156" s="324"/>
      <c r="AW156" s="324"/>
      <c r="AX156" s="324"/>
      <c r="AY156" s="324"/>
      <c r="AZ156" s="324"/>
      <c r="BA156" s="324"/>
      <c r="BB156" s="324"/>
      <c r="BC156" s="324"/>
      <c r="BD156" s="324"/>
      <c r="BE156" s="324"/>
      <c r="BF156" s="324"/>
      <c r="BG156" s="140">
        <f t="shared" si="85"/>
        <v>0</v>
      </c>
      <c r="BH156" s="324"/>
      <c r="BI156" s="324"/>
      <c r="BJ156" s="324"/>
      <c r="BK156" s="324"/>
      <c r="BL156" s="324"/>
      <c r="BM156" s="324"/>
      <c r="BN156" s="324"/>
      <c r="BO156" s="324"/>
      <c r="BP156" s="324"/>
      <c r="BQ156" s="324"/>
      <c r="BR156" s="324"/>
      <c r="BS156" s="324"/>
      <c r="BT156" s="140">
        <f t="shared" si="86"/>
        <v>0</v>
      </c>
      <c r="BU156" s="114">
        <f t="shared" si="87"/>
        <v>50</v>
      </c>
      <c r="BV156" s="432"/>
      <c r="BW156" s="432"/>
      <c r="BX156" s="432"/>
      <c r="BY156" s="432"/>
      <c r="BZ156" s="433"/>
      <c r="CA156" s="434"/>
      <c r="CB156" s="7" t="s">
        <v>313</v>
      </c>
      <c r="CC156" s="3"/>
      <c r="CD156" s="3"/>
      <c r="CE156" s="3"/>
      <c r="CF156" s="3"/>
      <c r="CG156" s="3"/>
      <c r="CH156" s="3"/>
      <c r="CI156" s="3"/>
      <c r="CJ156" s="3"/>
      <c r="CK156" s="3"/>
      <c r="CL156" s="3"/>
      <c r="CM156" s="3"/>
      <c r="CN156" s="3"/>
      <c r="CO156" s="4">
        <f t="shared" si="88"/>
        <v>0</v>
      </c>
      <c r="CP156" s="3"/>
      <c r="CQ156" s="3"/>
      <c r="CR156" s="3"/>
      <c r="CS156" s="3"/>
      <c r="CT156" s="3"/>
      <c r="CU156" s="3"/>
      <c r="CV156" s="3"/>
      <c r="CW156" s="3">
        <v>0</v>
      </c>
      <c r="CX156" s="3"/>
      <c r="CY156" s="3"/>
      <c r="CZ156" s="3"/>
      <c r="DA156" s="3"/>
      <c r="DB156" s="4">
        <f t="shared" si="89"/>
        <v>0</v>
      </c>
      <c r="DC156" s="3"/>
      <c r="DD156" s="3"/>
      <c r="DE156" s="3"/>
      <c r="DF156" s="3"/>
      <c r="DG156" s="3"/>
      <c r="DH156" s="3"/>
      <c r="DI156" s="3"/>
      <c r="DJ156" s="3">
        <v>0</v>
      </c>
      <c r="DK156" s="3">
        <v>1</v>
      </c>
      <c r="DL156" s="3"/>
      <c r="DM156" s="3"/>
      <c r="DN156" s="3"/>
      <c r="DO156" s="4">
        <f t="shared" si="90"/>
        <v>1</v>
      </c>
      <c r="DP156" s="3"/>
      <c r="DQ156" s="3"/>
      <c r="DR156" s="3"/>
      <c r="DS156" s="3"/>
      <c r="DT156" s="3"/>
      <c r="DU156" s="3"/>
      <c r="DV156" s="3"/>
      <c r="DW156" s="3">
        <v>0</v>
      </c>
      <c r="DX156" s="3"/>
      <c r="DY156" s="3"/>
      <c r="DZ156" s="3"/>
      <c r="EA156" s="3"/>
      <c r="EB156" s="4">
        <f t="shared" si="91"/>
        <v>0</v>
      </c>
      <c r="EC156" s="3"/>
      <c r="ED156" s="3"/>
      <c r="EE156" s="3"/>
      <c r="EF156" s="3"/>
      <c r="EG156" s="3"/>
      <c r="EH156" s="3"/>
      <c r="EI156" s="3"/>
      <c r="EJ156" s="3">
        <v>0</v>
      </c>
      <c r="EK156" s="3"/>
      <c r="EL156" s="3"/>
      <c r="EM156" s="3"/>
      <c r="EN156" s="3"/>
      <c r="EO156" s="4">
        <f t="shared" si="92"/>
        <v>0</v>
      </c>
      <c r="EP156" s="8">
        <f t="shared" si="93"/>
        <v>1</v>
      </c>
      <c r="EQ156" s="181">
        <f>IFERROR(VLOOKUP(I156,CEI_012018!$A$1:$U$509,9,FALSE),0)</f>
        <v>0</v>
      </c>
      <c r="ER156" s="181">
        <f>IFERROR(VLOOKUP(I156,CEI_022018!$A$1:$U$509,9,FALSE),0)</f>
        <v>0</v>
      </c>
      <c r="ES156" s="181">
        <f>IFERROR(VLOOKUP(I156,CEI_032018!$A$1:$U$509,9,FALSE),0)</f>
        <v>0</v>
      </c>
      <c r="ET156" s="181">
        <f>IFERROR(VLOOKUP(I156,CEI_042018!$A$1:$U$491,9,FALSE),0)</f>
        <v>0</v>
      </c>
      <c r="EU156" s="181">
        <f>IFERROR(VLOOKUP(I156,CEI_052018!$A$1:$U$489,9,FALSE),0)</f>
        <v>0</v>
      </c>
      <c r="EV156" s="181">
        <f>IFERROR(VLOOKUP(I156,CEI_062018!$A$1:$U$489,9,FALSE),0)</f>
        <v>0</v>
      </c>
      <c r="EW156" s="181">
        <f>IFERROR(VLOOKUP(I156,CEI_072018!$A$1:$U$489,9,FALSE),0)</f>
        <v>0</v>
      </c>
      <c r="EX156" s="181">
        <f>IFERROR(VLOOKUP(I156,CEI_082018!$A$1:$U$489,9,FALSE),0)</f>
        <v>0</v>
      </c>
      <c r="EY156" s="181">
        <f>IFERROR(VLOOKUP(I156,CEI_092018!$A$1:$U$489,9,FALSE),0)</f>
        <v>0</v>
      </c>
      <c r="EZ156" s="181"/>
      <c r="FA156" s="181"/>
      <c r="FB156" s="181"/>
      <c r="FC156" s="181">
        <f>IFERROR(VLOOKUP(I156,CEI_092018!$A$1:$U$489,12,FALSE),0)</f>
        <v>0</v>
      </c>
      <c r="FD156" s="181">
        <f t="shared" si="94"/>
        <v>0</v>
      </c>
      <c r="FE156" s="181">
        <f t="shared" si="95"/>
        <v>0</v>
      </c>
      <c r="FF156"/>
      <c r="FG156"/>
      <c r="FH156"/>
      <c r="FI156"/>
      <c r="FJ156"/>
      <c r="FK156"/>
      <c r="FL156"/>
      <c r="FM156"/>
      <c r="FN156"/>
      <c r="FO156"/>
      <c r="FP156"/>
      <c r="FQ156"/>
      <c r="FR156"/>
      <c r="FS156"/>
      <c r="FT156"/>
      <c r="FU156"/>
      <c r="FV156"/>
      <c r="FW156"/>
      <c r="FX156"/>
      <c r="FY156"/>
      <c r="FZ156"/>
      <c r="GA156"/>
      <c r="GB156"/>
      <c r="GC156"/>
    </row>
    <row r="157" spans="1:185" ht="12.75" customHeight="1" x14ac:dyDescent="0.25">
      <c r="A157" s="202"/>
      <c r="B157" s="22" t="s">
        <v>57</v>
      </c>
      <c r="C157" s="34" t="s">
        <v>41</v>
      </c>
      <c r="D157" s="22" t="s">
        <v>58</v>
      </c>
      <c r="E157" s="25" t="s">
        <v>433</v>
      </c>
      <c r="F157" s="25" t="s">
        <v>58</v>
      </c>
      <c r="G157" s="25" t="s">
        <v>433</v>
      </c>
      <c r="H157" s="22" t="s">
        <v>56</v>
      </c>
      <c r="I157" s="423" t="s">
        <v>565</v>
      </c>
      <c r="J157" s="37"/>
      <c r="K157" s="23" t="s">
        <v>441</v>
      </c>
      <c r="L157" s="23" t="s">
        <v>442</v>
      </c>
      <c r="M157" s="23" t="s">
        <v>443</v>
      </c>
      <c r="N157" s="23"/>
      <c r="O157" s="2"/>
      <c r="P157" s="2"/>
      <c r="Q157" s="2"/>
      <c r="R157" s="2"/>
      <c r="S157" s="2"/>
      <c r="T157" s="116">
        <f t="shared" si="82"/>
        <v>0</v>
      </c>
      <c r="U157" s="324"/>
      <c r="V157" s="324"/>
      <c r="W157" s="324"/>
      <c r="X157" s="324"/>
      <c r="Y157" s="324"/>
      <c r="Z157" s="324"/>
      <c r="AA157" s="324"/>
      <c r="AB157" s="324"/>
      <c r="AC157" s="324"/>
      <c r="AD157" s="324"/>
      <c r="AE157" s="324"/>
      <c r="AF157" s="324"/>
      <c r="AG157" s="140">
        <f t="shared" si="83"/>
        <v>0</v>
      </c>
      <c r="AH157" s="324"/>
      <c r="AI157" s="324"/>
      <c r="AJ157" s="324"/>
      <c r="AK157" s="324"/>
      <c r="AL157" s="324"/>
      <c r="AM157" s="324"/>
      <c r="AN157" s="324"/>
      <c r="AO157" s="324"/>
      <c r="AP157" s="324"/>
      <c r="AQ157" s="324"/>
      <c r="AR157" s="324"/>
      <c r="AS157" s="324"/>
      <c r="AT157" s="140">
        <f t="shared" si="84"/>
        <v>0</v>
      </c>
      <c r="AU157" s="324"/>
      <c r="AV157" s="324"/>
      <c r="AW157" s="324"/>
      <c r="AX157" s="324"/>
      <c r="AY157" s="324"/>
      <c r="AZ157" s="324"/>
      <c r="BA157" s="324"/>
      <c r="BB157" s="324"/>
      <c r="BC157" s="324"/>
      <c r="BD157" s="324"/>
      <c r="BE157" s="324"/>
      <c r="BF157" s="324">
        <v>20</v>
      </c>
      <c r="BG157" s="140">
        <f t="shared" si="85"/>
        <v>20</v>
      </c>
      <c r="BH157" s="324"/>
      <c r="BI157" s="324"/>
      <c r="BJ157" s="324"/>
      <c r="BK157" s="324"/>
      <c r="BL157" s="324"/>
      <c r="BM157" s="324">
        <v>20</v>
      </c>
      <c r="BN157" s="324"/>
      <c r="BO157" s="324"/>
      <c r="BP157" s="324"/>
      <c r="BQ157" s="324"/>
      <c r="BR157" s="324"/>
      <c r="BS157" s="324"/>
      <c r="BT157" s="140">
        <f t="shared" si="86"/>
        <v>20</v>
      </c>
      <c r="BU157" s="114">
        <f t="shared" si="87"/>
        <v>40</v>
      </c>
      <c r="BV157" s="432"/>
      <c r="BW157" s="432"/>
      <c r="BX157" s="432"/>
      <c r="BY157" s="432"/>
      <c r="BZ157" s="433"/>
      <c r="CA157" s="434"/>
      <c r="CB157" s="7" t="s">
        <v>73</v>
      </c>
      <c r="CC157" s="3"/>
      <c r="CD157" s="3"/>
      <c r="CE157" s="3"/>
      <c r="CF157" s="3"/>
      <c r="CG157" s="3"/>
      <c r="CH157" s="3"/>
      <c r="CI157" s="3"/>
      <c r="CJ157" s="3"/>
      <c r="CK157" s="3"/>
      <c r="CL157" s="3"/>
      <c r="CM157" s="3"/>
      <c r="CN157" s="3"/>
      <c r="CO157" s="4">
        <f t="shared" si="88"/>
        <v>0</v>
      </c>
      <c r="CP157" s="3"/>
      <c r="CQ157" s="3"/>
      <c r="CR157" s="3"/>
      <c r="CS157" s="3"/>
      <c r="CT157" s="3"/>
      <c r="CU157" s="3"/>
      <c r="CV157" s="3"/>
      <c r="CW157" s="3"/>
      <c r="CX157" s="3"/>
      <c r="CY157" s="3"/>
      <c r="CZ157" s="3"/>
      <c r="DA157" s="3"/>
      <c r="DB157" s="4">
        <f t="shared" si="89"/>
        <v>0</v>
      </c>
      <c r="DC157" s="3"/>
      <c r="DD157" s="3"/>
      <c r="DE157" s="3"/>
      <c r="DF157" s="3"/>
      <c r="DG157" s="3"/>
      <c r="DH157" s="3"/>
      <c r="DI157" s="3"/>
      <c r="DJ157" s="3"/>
      <c r="DK157" s="3"/>
      <c r="DL157" s="3"/>
      <c r="DM157" s="3"/>
      <c r="DN157" s="3"/>
      <c r="DO157" s="4">
        <f t="shared" si="90"/>
        <v>0</v>
      </c>
      <c r="DP157" s="3"/>
      <c r="DQ157" s="3"/>
      <c r="DR157" s="3"/>
      <c r="DS157" s="3"/>
      <c r="DT157" s="3"/>
      <c r="DU157" s="3"/>
      <c r="DV157" s="3"/>
      <c r="DW157" s="3"/>
      <c r="DX157" s="3"/>
      <c r="DY157" s="3"/>
      <c r="DZ157" s="3"/>
      <c r="EA157" s="3">
        <v>9</v>
      </c>
      <c r="EB157" s="4">
        <f t="shared" si="91"/>
        <v>9</v>
      </c>
      <c r="EC157" s="3"/>
      <c r="ED157" s="3"/>
      <c r="EE157" s="3"/>
      <c r="EF157" s="3"/>
      <c r="EG157" s="3"/>
      <c r="EH157" s="3">
        <v>9</v>
      </c>
      <c r="EI157" s="3"/>
      <c r="EJ157" s="3"/>
      <c r="EK157" s="3"/>
      <c r="EL157" s="3"/>
      <c r="EM157" s="3"/>
      <c r="EN157" s="3"/>
      <c r="EO157" s="4">
        <f t="shared" si="92"/>
        <v>9</v>
      </c>
      <c r="EP157" s="8">
        <f t="shared" si="93"/>
        <v>18</v>
      </c>
      <c r="EQ157" s="181">
        <f>IFERROR(VLOOKUP(I157,CEI_012018!$A$1:$U$509,9,FALSE),0)</f>
        <v>0</v>
      </c>
      <c r="ER157" s="181">
        <f>IFERROR(VLOOKUP(I157,CEI_022018!$A$1:$U$509,9,FALSE),0)</f>
        <v>0</v>
      </c>
      <c r="ES157" s="181">
        <f>IFERROR(VLOOKUP(I157,CEI_032018!$A$1:$U$509,9,FALSE),0)</f>
        <v>0</v>
      </c>
      <c r="ET157" s="181">
        <f>IFERROR(VLOOKUP(I157,CEI_042018!$A$1:$U$491,9,FALSE),0)</f>
        <v>0</v>
      </c>
      <c r="EU157" s="181">
        <f>IFERROR(VLOOKUP(I157,CEI_052018!$A$1:$U$489,9,FALSE),0)</f>
        <v>0</v>
      </c>
      <c r="EV157" s="181">
        <f>IFERROR(VLOOKUP(I157,CEI_062018!$A$1:$U$489,9,FALSE),0)</f>
        <v>0</v>
      </c>
      <c r="EW157" s="181">
        <f>IFERROR(VLOOKUP(I157,CEI_072018!$A$1:$U$489,9,FALSE),0)</f>
        <v>0</v>
      </c>
      <c r="EX157" s="181">
        <f>IFERROR(VLOOKUP(I157,CEI_082018!$A$1:$U$489,9,FALSE),0)</f>
        <v>0</v>
      </c>
      <c r="EY157" s="181">
        <f>IFERROR(VLOOKUP(I157,CEI_092018!$A$1:$U$489,9,FALSE),0)</f>
        <v>0</v>
      </c>
      <c r="EZ157" s="181"/>
      <c r="FA157" s="181"/>
      <c r="FB157" s="181"/>
      <c r="FC157" s="181">
        <f>IFERROR(VLOOKUP(I157,CEI_092018!$A$1:$U$489,12,FALSE),0)</f>
        <v>0</v>
      </c>
      <c r="FD157" s="181">
        <f t="shared" si="94"/>
        <v>0</v>
      </c>
      <c r="FE157" s="181">
        <f t="shared" si="95"/>
        <v>0</v>
      </c>
      <c r="FF157"/>
      <c r="FG157"/>
      <c r="FH157"/>
      <c r="FI157"/>
      <c r="FJ157"/>
      <c r="FK157"/>
      <c r="FL157"/>
      <c r="FM157"/>
      <c r="FN157"/>
      <c r="FO157"/>
      <c r="FP157"/>
      <c r="FQ157"/>
      <c r="FR157"/>
      <c r="FS157"/>
      <c r="FT157"/>
      <c r="FU157"/>
      <c r="FV157"/>
      <c r="FW157"/>
      <c r="FX157"/>
      <c r="FY157"/>
      <c r="FZ157"/>
      <c r="GA157"/>
      <c r="GB157"/>
      <c r="GC157"/>
    </row>
    <row r="158" spans="1:185" ht="12.75" customHeight="1" x14ac:dyDescent="0.25">
      <c r="A158" s="202"/>
      <c r="B158" s="22" t="s">
        <v>57</v>
      </c>
      <c r="C158" s="34" t="s">
        <v>41</v>
      </c>
      <c r="D158" s="22" t="s">
        <v>58</v>
      </c>
      <c r="E158" s="25" t="s">
        <v>1618</v>
      </c>
      <c r="F158" s="25" t="s">
        <v>58</v>
      </c>
      <c r="G158" s="25" t="s">
        <v>1618</v>
      </c>
      <c r="H158" s="22" t="s">
        <v>56</v>
      </c>
      <c r="I158" s="423" t="s">
        <v>1619</v>
      </c>
      <c r="J158" s="37" t="s">
        <v>1620</v>
      </c>
      <c r="K158" s="23" t="s">
        <v>1621</v>
      </c>
      <c r="L158" s="23"/>
      <c r="M158" s="23"/>
      <c r="N158" s="23"/>
      <c r="O158" s="2"/>
      <c r="P158" s="2"/>
      <c r="Q158" s="2"/>
      <c r="R158" s="2">
        <v>23.331</v>
      </c>
      <c r="S158" s="2"/>
      <c r="T158" s="116">
        <f t="shared" si="82"/>
        <v>23.331</v>
      </c>
      <c r="U158" s="324"/>
      <c r="V158" s="324"/>
      <c r="W158" s="324"/>
      <c r="X158" s="324"/>
      <c r="Y158" s="324"/>
      <c r="Z158" s="324"/>
      <c r="AA158" s="324"/>
      <c r="AB158" s="324"/>
      <c r="AC158" s="324"/>
      <c r="AD158" s="324"/>
      <c r="AE158" s="324"/>
      <c r="AF158" s="324"/>
      <c r="AG158" s="140">
        <f t="shared" si="83"/>
        <v>0</v>
      </c>
      <c r="AH158" s="324"/>
      <c r="AI158" s="324"/>
      <c r="AJ158" s="324"/>
      <c r="AK158" s="324"/>
      <c r="AL158" s="324"/>
      <c r="AM158" s="324"/>
      <c r="AN158" s="324"/>
      <c r="AO158" s="324"/>
      <c r="AP158" s="324"/>
      <c r="AQ158" s="324"/>
      <c r="AR158" s="324"/>
      <c r="AS158" s="324"/>
      <c r="AT158" s="140">
        <f t="shared" si="84"/>
        <v>0</v>
      </c>
      <c r="AU158" s="324"/>
      <c r="AV158" s="324"/>
      <c r="AW158" s="324"/>
      <c r="AX158" s="324"/>
      <c r="AY158" s="324"/>
      <c r="AZ158" s="324"/>
      <c r="BA158" s="324"/>
      <c r="BB158" s="324"/>
      <c r="BC158" s="324"/>
      <c r="BD158" s="324"/>
      <c r="BE158" s="324"/>
      <c r="BF158" s="324"/>
      <c r="BG158" s="140">
        <f t="shared" si="85"/>
        <v>0</v>
      </c>
      <c r="BH158" s="324"/>
      <c r="BI158" s="324"/>
      <c r="BJ158" s="324"/>
      <c r="BK158" s="324"/>
      <c r="BL158" s="324"/>
      <c r="BM158" s="324"/>
      <c r="BN158" s="324"/>
      <c r="BO158" s="324"/>
      <c r="BP158" s="324"/>
      <c r="BQ158" s="324"/>
      <c r="BR158" s="324"/>
      <c r="BS158" s="324"/>
      <c r="BT158" s="140">
        <f t="shared" si="86"/>
        <v>0</v>
      </c>
      <c r="BU158" s="114">
        <f t="shared" si="87"/>
        <v>23.331</v>
      </c>
      <c r="BV158" s="372">
        <v>1</v>
      </c>
      <c r="BW158" s="372">
        <v>1</v>
      </c>
      <c r="BX158" s="372">
        <v>1</v>
      </c>
      <c r="BY158" s="372">
        <v>-1</v>
      </c>
      <c r="BZ158" s="436">
        <f>IFERROR((EX158/T158%),0)</f>
        <v>0</v>
      </c>
      <c r="CA158" s="436">
        <f>IFERROR((FD158/T158%),0)</f>
        <v>93.352193261361919</v>
      </c>
      <c r="CB158" s="7" t="s">
        <v>73</v>
      </c>
      <c r="CC158" s="3"/>
      <c r="CD158" s="3"/>
      <c r="CE158" s="3"/>
      <c r="CF158" s="3"/>
      <c r="CG158" s="3"/>
      <c r="CH158" s="3"/>
      <c r="CI158" s="3"/>
      <c r="CJ158" s="3">
        <v>11</v>
      </c>
      <c r="CK158" s="3"/>
      <c r="CL158" s="3"/>
      <c r="CM158" s="3"/>
      <c r="CN158" s="3"/>
      <c r="CO158" s="4">
        <f t="shared" si="88"/>
        <v>11</v>
      </c>
      <c r="CP158" s="3"/>
      <c r="CQ158" s="3"/>
      <c r="CR158" s="3"/>
      <c r="CS158" s="3"/>
      <c r="CT158" s="3"/>
      <c r="CU158" s="3"/>
      <c r="CV158" s="3"/>
      <c r="CW158" s="3"/>
      <c r="CX158" s="3"/>
      <c r="CY158" s="3"/>
      <c r="CZ158" s="3"/>
      <c r="DA158" s="3"/>
      <c r="DB158" s="4">
        <f t="shared" si="89"/>
        <v>0</v>
      </c>
      <c r="DC158" s="3"/>
      <c r="DD158" s="3"/>
      <c r="DE158" s="3"/>
      <c r="DF158" s="3"/>
      <c r="DG158" s="3"/>
      <c r="DH158" s="3"/>
      <c r="DI158" s="3"/>
      <c r="DJ158" s="3"/>
      <c r="DK158" s="3"/>
      <c r="DL158" s="3"/>
      <c r="DM158" s="3"/>
      <c r="DN158" s="3"/>
      <c r="DO158" s="4">
        <f t="shared" si="90"/>
        <v>0</v>
      </c>
      <c r="DP158" s="3"/>
      <c r="DQ158" s="3"/>
      <c r="DR158" s="3"/>
      <c r="DS158" s="3"/>
      <c r="DT158" s="3"/>
      <c r="DU158" s="3"/>
      <c r="DV158" s="3"/>
      <c r="DW158" s="3"/>
      <c r="DX158" s="3"/>
      <c r="DY158" s="3"/>
      <c r="DZ158" s="3"/>
      <c r="EA158" s="3"/>
      <c r="EB158" s="4">
        <f t="shared" si="91"/>
        <v>0</v>
      </c>
      <c r="EC158" s="3"/>
      <c r="ED158" s="3"/>
      <c r="EE158" s="3"/>
      <c r="EF158" s="3"/>
      <c r="EG158" s="3"/>
      <c r="EH158" s="3"/>
      <c r="EI158" s="3"/>
      <c r="EJ158" s="3"/>
      <c r="EK158" s="3"/>
      <c r="EL158" s="3"/>
      <c r="EM158" s="3"/>
      <c r="EN158" s="3"/>
      <c r="EO158" s="4">
        <f t="shared" si="92"/>
        <v>0</v>
      </c>
      <c r="EP158" s="8">
        <f t="shared" si="93"/>
        <v>11</v>
      </c>
      <c r="EQ158" s="181">
        <f>IFERROR(VLOOKUP(I158,CEI_012018!$A$1:$U$509,9,FALSE),0)</f>
        <v>0</v>
      </c>
      <c r="ER158" s="181">
        <f>IFERROR(VLOOKUP(I158,CEI_022018!$A$1:$U$509,9,FALSE),0)</f>
        <v>0</v>
      </c>
      <c r="ES158" s="181">
        <f>IFERROR(VLOOKUP(I158,CEI_032018!$A$1:$U$509,9,FALSE),0)</f>
        <v>0</v>
      </c>
      <c r="ET158" s="181">
        <f>IFERROR(VLOOKUP(I158,CEI_042018!$A$1:$U$491,9,FALSE),0)</f>
        <v>0</v>
      </c>
      <c r="EU158" s="181">
        <f>IFERROR(VLOOKUP(I158,CEI_052018!$A$1:$U$489,9,FALSE),0)</f>
        <v>0</v>
      </c>
      <c r="EV158" s="181">
        <f>IFERROR(VLOOKUP(I158,CEI_062018!$A$1:$U$489,9,FALSE),0)</f>
        <v>0</v>
      </c>
      <c r="EW158" s="181">
        <f>IFERROR(VLOOKUP(I158,CEI_072018!$A$1:$U$489,9,FALSE),0)</f>
        <v>0</v>
      </c>
      <c r="EX158" s="181">
        <f>IFERROR(VLOOKUP(I158,CEI_082018!$A$1:$U$489,9,FALSE),0)</f>
        <v>0</v>
      </c>
      <c r="EY158" s="181">
        <f>IFERROR(VLOOKUP(I158,CEI_092018!$A$1:$U$489,9,FALSE),0)</f>
        <v>0</v>
      </c>
      <c r="EZ158" s="181"/>
      <c r="FA158" s="181"/>
      <c r="FB158" s="181"/>
      <c r="FC158" s="181">
        <f>IFERROR(VLOOKUP(I158,CEI_092018!$A$1:$U$489,12,FALSE),0)</f>
        <v>21.78000020980835</v>
      </c>
      <c r="FD158" s="181">
        <f t="shared" si="94"/>
        <v>21.78000020980835</v>
      </c>
      <c r="FE158" s="181">
        <f t="shared" si="95"/>
        <v>1.5509997901916499</v>
      </c>
      <c r="FF158"/>
      <c r="FG158"/>
      <c r="FH158"/>
      <c r="FI158"/>
      <c r="FJ158"/>
      <c r="FK158"/>
      <c r="FL158"/>
      <c r="FM158"/>
      <c r="FN158"/>
      <c r="FO158"/>
      <c r="FP158"/>
      <c r="FQ158"/>
      <c r="FR158"/>
      <c r="FS158"/>
      <c r="FT158"/>
      <c r="FU158"/>
      <c r="FV158"/>
      <c r="FW158"/>
      <c r="FX158"/>
      <c r="FY158"/>
      <c r="FZ158"/>
      <c r="GA158"/>
      <c r="GB158"/>
      <c r="GC158"/>
    </row>
    <row r="159" spans="1:185" ht="12.75" customHeight="1" x14ac:dyDescent="0.25">
      <c r="A159" s="202"/>
      <c r="B159" s="22" t="s">
        <v>57</v>
      </c>
      <c r="C159" s="34" t="s">
        <v>41</v>
      </c>
      <c r="D159" s="22" t="s">
        <v>61</v>
      </c>
      <c r="E159" s="25" t="s">
        <v>259</v>
      </c>
      <c r="F159" s="25" t="s">
        <v>61</v>
      </c>
      <c r="G159" s="25" t="s">
        <v>259</v>
      </c>
      <c r="H159" s="22" t="s">
        <v>226</v>
      </c>
      <c r="I159" s="423" t="s">
        <v>565</v>
      </c>
      <c r="J159" s="37"/>
      <c r="K159" s="23" t="s">
        <v>260</v>
      </c>
      <c r="L159" s="23" t="s">
        <v>261</v>
      </c>
      <c r="M159" s="23" t="s">
        <v>262</v>
      </c>
      <c r="N159" s="23"/>
      <c r="O159" s="2"/>
      <c r="P159" s="2"/>
      <c r="Q159" s="2"/>
      <c r="R159" s="2"/>
      <c r="S159" s="2"/>
      <c r="T159" s="116">
        <f t="shared" si="82"/>
        <v>0</v>
      </c>
      <c r="U159" s="324"/>
      <c r="V159" s="324"/>
      <c r="W159" s="324"/>
      <c r="X159" s="324"/>
      <c r="Y159" s="324"/>
      <c r="Z159" s="324"/>
      <c r="AA159" s="324"/>
      <c r="AB159" s="324"/>
      <c r="AC159" s="324"/>
      <c r="AD159" s="324"/>
      <c r="AE159" s="324"/>
      <c r="AF159" s="324">
        <v>21</v>
      </c>
      <c r="AG159" s="140">
        <f t="shared" si="83"/>
        <v>21</v>
      </c>
      <c r="AH159" s="324"/>
      <c r="AI159" s="324"/>
      <c r="AJ159" s="324"/>
      <c r="AK159" s="324"/>
      <c r="AL159" s="324"/>
      <c r="AM159" s="324"/>
      <c r="AN159" s="324"/>
      <c r="AO159" s="324"/>
      <c r="AP159" s="324"/>
      <c r="AQ159" s="324"/>
      <c r="AR159" s="324"/>
      <c r="AS159" s="324"/>
      <c r="AT159" s="140">
        <f t="shared" si="84"/>
        <v>0</v>
      </c>
      <c r="AU159" s="324"/>
      <c r="AV159" s="324"/>
      <c r="AW159" s="324"/>
      <c r="AX159" s="324"/>
      <c r="AY159" s="324"/>
      <c r="AZ159" s="324"/>
      <c r="BA159" s="324"/>
      <c r="BB159" s="324"/>
      <c r="BC159" s="324"/>
      <c r="BD159" s="324"/>
      <c r="BE159" s="324"/>
      <c r="BF159" s="324"/>
      <c r="BG159" s="140">
        <f t="shared" si="85"/>
        <v>0</v>
      </c>
      <c r="BH159" s="324"/>
      <c r="BI159" s="324"/>
      <c r="BJ159" s="324"/>
      <c r="BK159" s="324"/>
      <c r="BL159" s="324"/>
      <c r="BM159" s="324"/>
      <c r="BN159" s="324"/>
      <c r="BO159" s="324"/>
      <c r="BP159" s="324"/>
      <c r="BQ159" s="324"/>
      <c r="BR159" s="324"/>
      <c r="BS159" s="324"/>
      <c r="BT159" s="140">
        <f t="shared" si="86"/>
        <v>0</v>
      </c>
      <c r="BU159" s="114">
        <f t="shared" si="87"/>
        <v>21</v>
      </c>
      <c r="BV159" s="432"/>
      <c r="BW159" s="432"/>
      <c r="BX159" s="432"/>
      <c r="BY159" s="432"/>
      <c r="BZ159" s="433"/>
      <c r="CA159" s="434"/>
      <c r="CB159" s="7" t="s">
        <v>73</v>
      </c>
      <c r="CC159" s="3"/>
      <c r="CD159" s="3"/>
      <c r="CE159" s="3"/>
      <c r="CF159" s="3"/>
      <c r="CG159" s="3"/>
      <c r="CH159" s="3"/>
      <c r="CI159" s="3"/>
      <c r="CJ159" s="3"/>
      <c r="CK159" s="3"/>
      <c r="CL159" s="3"/>
      <c r="CM159" s="3"/>
      <c r="CN159" s="3"/>
      <c r="CO159" s="4">
        <f t="shared" si="88"/>
        <v>0</v>
      </c>
      <c r="CP159" s="3"/>
      <c r="CQ159" s="3"/>
      <c r="CR159" s="3"/>
      <c r="CS159" s="3"/>
      <c r="CT159" s="3"/>
      <c r="CU159" s="3"/>
      <c r="CV159" s="3"/>
      <c r="CW159" s="3"/>
      <c r="CX159" s="3"/>
      <c r="CY159" s="3"/>
      <c r="CZ159" s="3"/>
      <c r="DA159" s="3">
        <v>1</v>
      </c>
      <c r="DB159" s="4">
        <f t="shared" si="89"/>
        <v>1</v>
      </c>
      <c r="DC159" s="3"/>
      <c r="DD159" s="3"/>
      <c r="DE159" s="3"/>
      <c r="DF159" s="3"/>
      <c r="DG159" s="3"/>
      <c r="DH159" s="3"/>
      <c r="DI159" s="3"/>
      <c r="DJ159" s="3"/>
      <c r="DK159" s="3"/>
      <c r="DL159" s="3"/>
      <c r="DM159" s="3"/>
      <c r="DN159" s="3"/>
      <c r="DO159" s="4">
        <f t="shared" si="90"/>
        <v>0</v>
      </c>
      <c r="DP159" s="3"/>
      <c r="DQ159" s="3"/>
      <c r="DR159" s="3"/>
      <c r="DS159" s="3"/>
      <c r="DT159" s="3"/>
      <c r="DU159" s="3"/>
      <c r="DV159" s="3"/>
      <c r="DW159" s="3"/>
      <c r="DX159" s="3"/>
      <c r="DY159" s="3"/>
      <c r="DZ159" s="3"/>
      <c r="EA159" s="3"/>
      <c r="EB159" s="4">
        <f t="shared" si="91"/>
        <v>0</v>
      </c>
      <c r="EC159" s="3"/>
      <c r="ED159" s="3"/>
      <c r="EE159" s="3"/>
      <c r="EF159" s="3"/>
      <c r="EG159" s="3"/>
      <c r="EH159" s="3"/>
      <c r="EI159" s="3"/>
      <c r="EJ159" s="3"/>
      <c r="EK159" s="3"/>
      <c r="EL159" s="3"/>
      <c r="EM159" s="3"/>
      <c r="EN159" s="3"/>
      <c r="EO159" s="4">
        <f t="shared" si="92"/>
        <v>0</v>
      </c>
      <c r="EP159" s="8">
        <f t="shared" si="93"/>
        <v>1</v>
      </c>
      <c r="EQ159" s="181">
        <f>IFERROR(VLOOKUP(I159,CEI_012018!$A$1:$U$509,9,FALSE),0)</f>
        <v>0</v>
      </c>
      <c r="ER159" s="181">
        <f>IFERROR(VLOOKUP(I159,CEI_022018!$A$1:$U$509,9,FALSE),0)</f>
        <v>0</v>
      </c>
      <c r="ES159" s="181">
        <f>IFERROR(VLOOKUP(I159,CEI_032018!$A$1:$U$509,9,FALSE),0)</f>
        <v>0</v>
      </c>
      <c r="ET159" s="181">
        <f>IFERROR(VLOOKUP(I159,CEI_042018!$A$1:$U$491,9,FALSE),0)</f>
        <v>0</v>
      </c>
      <c r="EU159" s="181">
        <f>IFERROR(VLOOKUP(I159,CEI_052018!$A$1:$U$489,9,FALSE),0)</f>
        <v>0</v>
      </c>
      <c r="EV159" s="181">
        <f>IFERROR(VLOOKUP(I159,CEI_062018!$A$1:$U$489,9,FALSE),0)</f>
        <v>0</v>
      </c>
      <c r="EW159" s="181">
        <f>IFERROR(VLOOKUP(I159,CEI_072018!$A$1:$U$489,9,FALSE),0)</f>
        <v>0</v>
      </c>
      <c r="EX159" s="181">
        <f>IFERROR(VLOOKUP(I159,CEI_082018!$A$1:$U$489,9,FALSE),0)</f>
        <v>0</v>
      </c>
      <c r="EY159" s="181">
        <f>IFERROR(VLOOKUP(I159,CEI_092018!$A$1:$U$489,9,FALSE),0)</f>
        <v>0</v>
      </c>
      <c r="EZ159" s="181"/>
      <c r="FA159" s="181"/>
      <c r="FB159" s="181"/>
      <c r="FC159" s="181">
        <f>IFERROR(VLOOKUP(I159,CEI_092018!$A$1:$U$489,12,FALSE),0)</f>
        <v>0</v>
      </c>
      <c r="FD159" s="181">
        <f t="shared" si="94"/>
        <v>0</v>
      </c>
      <c r="FE159" s="181">
        <f t="shared" si="95"/>
        <v>0</v>
      </c>
      <c r="FF159"/>
      <c r="FG159"/>
      <c r="FH159"/>
      <c r="FI159"/>
      <c r="FJ159"/>
      <c r="FK159"/>
      <c r="FL159"/>
      <c r="FM159"/>
      <c r="FN159"/>
      <c r="FO159"/>
      <c r="FP159"/>
      <c r="FQ159"/>
      <c r="FR159"/>
      <c r="FS159"/>
      <c r="FT159"/>
      <c r="FU159"/>
      <c r="FV159"/>
      <c r="FW159"/>
      <c r="FX159"/>
      <c r="FY159"/>
      <c r="FZ159"/>
      <c r="GA159"/>
      <c r="GB159"/>
      <c r="GC159"/>
    </row>
    <row r="160" spans="1:185" ht="12.75" customHeight="1" x14ac:dyDescent="0.25">
      <c r="A160" s="416"/>
      <c r="B160" s="94" t="s">
        <v>57</v>
      </c>
      <c r="C160" s="330" t="s">
        <v>41</v>
      </c>
      <c r="D160" s="22" t="s">
        <v>1963</v>
      </c>
      <c r="E160" s="25" t="s">
        <v>1986</v>
      </c>
      <c r="F160" s="22" t="s">
        <v>1963</v>
      </c>
      <c r="G160" s="25" t="s">
        <v>1986</v>
      </c>
      <c r="H160" s="22" t="s">
        <v>56</v>
      </c>
      <c r="I160" s="404" t="s">
        <v>1998</v>
      </c>
      <c r="J160" s="136" t="s">
        <v>1999</v>
      </c>
      <c r="K160" s="23" t="s">
        <v>1982</v>
      </c>
      <c r="L160" s="23"/>
      <c r="M160" s="23"/>
      <c r="N160" s="23"/>
      <c r="O160" s="2"/>
      <c r="P160" s="2"/>
      <c r="Q160" s="2"/>
      <c r="R160" s="2"/>
      <c r="S160" s="2">
        <v>25</v>
      </c>
      <c r="T160" s="116">
        <f t="shared" si="82"/>
        <v>25</v>
      </c>
      <c r="U160" s="324"/>
      <c r="V160" s="324"/>
      <c r="W160" s="324"/>
      <c r="X160" s="324"/>
      <c r="Y160" s="324"/>
      <c r="Z160" s="324"/>
      <c r="AA160" s="324"/>
      <c r="AB160" s="324"/>
      <c r="AC160" s="324"/>
      <c r="AD160" s="324"/>
      <c r="AE160" s="324"/>
      <c r="AF160" s="324"/>
      <c r="AG160" s="140">
        <f t="shared" si="83"/>
        <v>0</v>
      </c>
      <c r="AH160" s="324"/>
      <c r="AI160" s="324"/>
      <c r="AJ160" s="324"/>
      <c r="AK160" s="324"/>
      <c r="AL160" s="324"/>
      <c r="AM160" s="324"/>
      <c r="AN160" s="324"/>
      <c r="AO160" s="324"/>
      <c r="AP160" s="324"/>
      <c r="AQ160" s="324"/>
      <c r="AR160" s="324"/>
      <c r="AS160" s="324"/>
      <c r="AT160" s="140">
        <f t="shared" si="84"/>
        <v>0</v>
      </c>
      <c r="AU160" s="324"/>
      <c r="AV160" s="324"/>
      <c r="AW160" s="324"/>
      <c r="AX160" s="324"/>
      <c r="AY160" s="324"/>
      <c r="AZ160" s="324"/>
      <c r="BA160" s="324"/>
      <c r="BB160" s="324"/>
      <c r="BC160" s="324"/>
      <c r="BD160" s="324"/>
      <c r="BE160" s="324"/>
      <c r="BF160" s="324"/>
      <c r="BG160" s="140">
        <f t="shared" si="85"/>
        <v>0</v>
      </c>
      <c r="BH160" s="324"/>
      <c r="BI160" s="324"/>
      <c r="BJ160" s="324"/>
      <c r="BK160" s="324"/>
      <c r="BL160" s="324"/>
      <c r="BM160" s="324"/>
      <c r="BN160" s="324"/>
      <c r="BO160" s="324"/>
      <c r="BP160" s="324"/>
      <c r="BQ160" s="324"/>
      <c r="BR160" s="324"/>
      <c r="BS160" s="324"/>
      <c r="BT160" s="140">
        <f t="shared" si="86"/>
        <v>0</v>
      </c>
      <c r="BU160" s="114">
        <f t="shared" si="87"/>
        <v>25</v>
      </c>
      <c r="BV160" s="372"/>
      <c r="BW160" s="372"/>
      <c r="BX160" s="372"/>
      <c r="BY160" s="372"/>
      <c r="BZ160" s="436">
        <f t="shared" ref="BZ160:BZ166" si="96">IFERROR((EX160/T160%),0)</f>
        <v>0</v>
      </c>
      <c r="CA160" s="428"/>
      <c r="CB160" s="7"/>
      <c r="CC160" s="3"/>
      <c r="CD160" s="3"/>
      <c r="CE160" s="3"/>
      <c r="CF160" s="3"/>
      <c r="CG160" s="3"/>
      <c r="CH160" s="3"/>
      <c r="CI160" s="3"/>
      <c r="CJ160" s="3"/>
      <c r="CK160" s="3"/>
      <c r="CL160" s="3"/>
      <c r="CM160" s="3"/>
      <c r="CN160" s="3"/>
      <c r="CO160" s="4"/>
      <c r="CP160" s="3"/>
      <c r="CQ160" s="3"/>
      <c r="CR160" s="3"/>
      <c r="CS160" s="3"/>
      <c r="CT160" s="3"/>
      <c r="CU160" s="3"/>
      <c r="CV160" s="3"/>
      <c r="CW160" s="3"/>
      <c r="CX160" s="3"/>
      <c r="CY160" s="3"/>
      <c r="CZ160" s="3"/>
      <c r="DA160" s="3"/>
      <c r="DB160" s="4"/>
      <c r="DC160" s="3"/>
      <c r="DD160" s="3"/>
      <c r="DE160" s="3"/>
      <c r="DF160" s="3"/>
      <c r="DG160" s="3"/>
      <c r="DH160" s="3"/>
      <c r="DI160" s="3"/>
      <c r="DJ160" s="3"/>
      <c r="DK160" s="3"/>
      <c r="DL160" s="3"/>
      <c r="DM160" s="3"/>
      <c r="DN160" s="3"/>
      <c r="DO160" s="4"/>
      <c r="DP160" s="3"/>
      <c r="DQ160" s="3"/>
      <c r="DR160" s="3"/>
      <c r="DS160" s="3"/>
      <c r="DT160" s="3"/>
      <c r="DU160" s="3"/>
      <c r="DV160" s="3"/>
      <c r="DW160" s="3"/>
      <c r="DX160" s="3"/>
      <c r="DY160" s="3"/>
      <c r="DZ160" s="3"/>
      <c r="EA160" s="3"/>
      <c r="EB160" s="4"/>
      <c r="EC160" s="3"/>
      <c r="ED160" s="3"/>
      <c r="EE160" s="3"/>
      <c r="EF160" s="3"/>
      <c r="EG160" s="3"/>
      <c r="EH160" s="3"/>
      <c r="EI160" s="3"/>
      <c r="EJ160" s="3"/>
      <c r="EK160" s="3"/>
      <c r="EL160" s="3"/>
      <c r="EM160" s="3"/>
      <c r="EN160" s="3"/>
      <c r="EO160" s="4"/>
      <c r="EP160" s="8"/>
      <c r="EQ160" s="181">
        <f>IFERROR(VLOOKUP(I160,CEI_012018!$A$1:$U$509,9,FALSE),0)</f>
        <v>0</v>
      </c>
      <c r="ER160" s="181">
        <f>IFERROR(VLOOKUP(I160,CEI_022018!$A$1:$U$509,9,FALSE),0)</f>
        <v>0</v>
      </c>
      <c r="ES160" s="181">
        <f>IFERROR(VLOOKUP(I160,CEI_032018!$A$1:$U$509,9,FALSE),0)</f>
        <v>0</v>
      </c>
      <c r="ET160" s="181">
        <f>IFERROR(VLOOKUP(I160,CEI_042018!$A$1:$U$491,9,FALSE),0)</f>
        <v>0</v>
      </c>
      <c r="EU160" s="181">
        <f>IFERROR(VLOOKUP(I160,CEI_052018!$A$1:$U$489,9,FALSE),0)</f>
        <v>0</v>
      </c>
      <c r="EV160" s="181">
        <f>IFERROR(VLOOKUP(I160,CEI_062018!$A$1:$U$489,9,FALSE),0)</f>
        <v>0</v>
      </c>
      <c r="EW160" s="181">
        <f>IFERROR(VLOOKUP(I160,CEI_072018!$A$1:$U$489,9,FALSE),0)</f>
        <v>0</v>
      </c>
      <c r="EX160" s="181">
        <f>IFERROR(VLOOKUP(I160,CEI_082018!$A$1:$U$489,9,FALSE),0)</f>
        <v>0</v>
      </c>
      <c r="EY160" s="181">
        <f>IFERROR(VLOOKUP(I160,CEI_092018!$A$1:$U$489,9,FALSE),0)</f>
        <v>0</v>
      </c>
      <c r="EZ160" s="181"/>
      <c r="FA160" s="181"/>
      <c r="FB160" s="181"/>
      <c r="FC160" s="181">
        <f>IFERROR(VLOOKUP(I160,CEI_092018!$A$1:$U$489,12,FALSE),0)</f>
        <v>0</v>
      </c>
      <c r="FD160" s="181">
        <f t="shared" si="94"/>
        <v>0</v>
      </c>
      <c r="FE160" s="181">
        <f t="shared" si="95"/>
        <v>25</v>
      </c>
      <c r="FF160"/>
      <c r="FG160"/>
      <c r="FH160"/>
      <c r="FI160"/>
      <c r="FJ160"/>
      <c r="FK160"/>
      <c r="FL160"/>
      <c r="FM160"/>
      <c r="FN160"/>
      <c r="FO160"/>
      <c r="FP160"/>
      <c r="FQ160"/>
      <c r="FR160"/>
      <c r="FS160"/>
      <c r="FT160"/>
      <c r="FU160"/>
      <c r="FV160"/>
      <c r="FW160"/>
      <c r="FX160"/>
      <c r="FY160"/>
      <c r="FZ160"/>
      <c r="GA160"/>
      <c r="GB160"/>
      <c r="GC160"/>
    </row>
    <row r="161" spans="1:185" ht="12.75" customHeight="1" x14ac:dyDescent="0.25">
      <c r="A161" s="202"/>
      <c r="B161" s="22" t="s">
        <v>57</v>
      </c>
      <c r="C161" s="34" t="s">
        <v>41</v>
      </c>
      <c r="D161" s="22" t="s">
        <v>318</v>
      </c>
      <c r="E161" s="25" t="s">
        <v>1035</v>
      </c>
      <c r="F161" s="25" t="s">
        <v>318</v>
      </c>
      <c r="G161" s="25" t="s">
        <v>1035</v>
      </c>
      <c r="H161" s="22" t="s">
        <v>56</v>
      </c>
      <c r="I161" s="423" t="s">
        <v>1538</v>
      </c>
      <c r="J161" s="37" t="s">
        <v>1539</v>
      </c>
      <c r="K161" s="23" t="s">
        <v>1036</v>
      </c>
      <c r="L161" s="23" t="s">
        <v>1039</v>
      </c>
      <c r="M161" s="23" t="s">
        <v>1037</v>
      </c>
      <c r="N161" s="23"/>
      <c r="O161" s="2">
        <v>11.725610017776489</v>
      </c>
      <c r="P161" s="2"/>
      <c r="Q161" s="2"/>
      <c r="R161" s="2"/>
      <c r="S161" s="2"/>
      <c r="T161" s="116">
        <f t="shared" si="82"/>
        <v>11.725610017776489</v>
      </c>
      <c r="U161" s="324"/>
      <c r="V161" s="324"/>
      <c r="W161" s="324"/>
      <c r="X161" s="324"/>
      <c r="Y161" s="324"/>
      <c r="Z161" s="324"/>
      <c r="AA161" s="324"/>
      <c r="AB161" s="324"/>
      <c r="AC161" s="324"/>
      <c r="AD161" s="324"/>
      <c r="AE161" s="324"/>
      <c r="AF161" s="324"/>
      <c r="AG161" s="140">
        <f t="shared" si="83"/>
        <v>0</v>
      </c>
      <c r="AH161" s="324"/>
      <c r="AI161" s="324"/>
      <c r="AJ161" s="324"/>
      <c r="AK161" s="324"/>
      <c r="AL161" s="324"/>
      <c r="AM161" s="324"/>
      <c r="AN161" s="324"/>
      <c r="AO161" s="324"/>
      <c r="AP161" s="324"/>
      <c r="AQ161" s="324"/>
      <c r="AR161" s="324"/>
      <c r="AS161" s="324"/>
      <c r="AT161" s="140">
        <f t="shared" si="84"/>
        <v>0</v>
      </c>
      <c r="AU161" s="324"/>
      <c r="AV161" s="324"/>
      <c r="AW161" s="324"/>
      <c r="AX161" s="324"/>
      <c r="AY161" s="324"/>
      <c r="AZ161" s="324"/>
      <c r="BA161" s="324"/>
      <c r="BB161" s="324"/>
      <c r="BC161" s="324"/>
      <c r="BD161" s="324"/>
      <c r="BE161" s="324"/>
      <c r="BF161" s="324"/>
      <c r="BG161" s="140">
        <f t="shared" si="85"/>
        <v>0</v>
      </c>
      <c r="BH161" s="324"/>
      <c r="BI161" s="324"/>
      <c r="BJ161" s="324"/>
      <c r="BK161" s="324"/>
      <c r="BL161" s="324"/>
      <c r="BM161" s="324"/>
      <c r="BN161" s="324"/>
      <c r="BO161" s="324"/>
      <c r="BP161" s="324"/>
      <c r="BQ161" s="324"/>
      <c r="BR161" s="324"/>
      <c r="BS161" s="324"/>
      <c r="BT161" s="140">
        <f t="shared" si="86"/>
        <v>0</v>
      </c>
      <c r="BU161" s="114">
        <f t="shared" si="87"/>
        <v>11.725610017776489</v>
      </c>
      <c r="BV161" s="372">
        <v>1</v>
      </c>
      <c r="BW161" s="372">
        <v>1</v>
      </c>
      <c r="BX161" s="372">
        <v>1</v>
      </c>
      <c r="BY161" s="372">
        <v>1</v>
      </c>
      <c r="BZ161" s="436">
        <f t="shared" si="96"/>
        <v>100</v>
      </c>
      <c r="CA161" s="428">
        <f>IFERROR((FD161/T161%),0)</f>
        <v>100</v>
      </c>
      <c r="CB161" s="7" t="s">
        <v>1038</v>
      </c>
      <c r="CC161" s="3"/>
      <c r="CD161" s="3"/>
      <c r="CE161" s="3"/>
      <c r="CF161" s="3"/>
      <c r="CG161" s="3"/>
      <c r="CH161" s="3">
        <v>7</v>
      </c>
      <c r="CI161" s="3"/>
      <c r="CJ161" s="3"/>
      <c r="CK161" s="3"/>
      <c r="CL161" s="3"/>
      <c r="CM161" s="3"/>
      <c r="CN161" s="3"/>
      <c r="CO161" s="4">
        <f t="shared" ref="CO161:CO192" si="97">SUM(CC161:CN161)</f>
        <v>7</v>
      </c>
      <c r="CP161" s="3"/>
      <c r="CQ161" s="3"/>
      <c r="CR161" s="3"/>
      <c r="CS161" s="3"/>
      <c r="CT161" s="3"/>
      <c r="CU161" s="3"/>
      <c r="CV161" s="3"/>
      <c r="CW161" s="3"/>
      <c r="CX161" s="3"/>
      <c r="CY161" s="3"/>
      <c r="CZ161" s="3"/>
      <c r="DA161" s="3"/>
      <c r="DB161" s="4">
        <f t="shared" ref="DB161:DB192" si="98">SUM(CP161:DA161)</f>
        <v>0</v>
      </c>
      <c r="DC161" s="3"/>
      <c r="DD161" s="3"/>
      <c r="DE161" s="3"/>
      <c r="DF161" s="3"/>
      <c r="DG161" s="3"/>
      <c r="DH161" s="3"/>
      <c r="DI161" s="3"/>
      <c r="DJ161" s="3"/>
      <c r="DK161" s="3"/>
      <c r="DL161" s="3"/>
      <c r="DM161" s="3"/>
      <c r="DN161" s="3"/>
      <c r="DO161" s="4">
        <f t="shared" ref="DO161:DO192" si="99">SUM(DC161:DN161)</f>
        <v>0</v>
      </c>
      <c r="DP161" s="3"/>
      <c r="DQ161" s="3"/>
      <c r="DR161" s="3"/>
      <c r="DS161" s="3"/>
      <c r="DT161" s="3"/>
      <c r="DU161" s="3"/>
      <c r="DV161" s="3"/>
      <c r="DW161" s="3"/>
      <c r="DX161" s="3"/>
      <c r="DY161" s="3"/>
      <c r="DZ161" s="3"/>
      <c r="EA161" s="3"/>
      <c r="EB161" s="4">
        <f t="shared" ref="EB161:EB192" si="100">SUM(DP161:EA161)</f>
        <v>0</v>
      </c>
      <c r="EC161" s="3"/>
      <c r="ED161" s="3"/>
      <c r="EE161" s="3"/>
      <c r="EF161" s="3"/>
      <c r="EG161" s="3"/>
      <c r="EH161" s="3"/>
      <c r="EI161" s="3"/>
      <c r="EJ161" s="3"/>
      <c r="EK161" s="3"/>
      <c r="EL161" s="3"/>
      <c r="EM161" s="3"/>
      <c r="EN161" s="3"/>
      <c r="EO161" s="4">
        <f t="shared" ref="EO161:EO192" si="101">SUM(EC161:EN161)</f>
        <v>0</v>
      </c>
      <c r="EP161" s="8">
        <f t="shared" ref="EP161:EP192" si="102">SUM(EO161,EB161,DO161,DB161,CO161)</f>
        <v>7</v>
      </c>
      <c r="EQ161" s="181">
        <f>IFERROR(VLOOKUP(I161,CEI_012018!$A$1:$U$509,9,FALSE),0)</f>
        <v>0</v>
      </c>
      <c r="ER161" s="181">
        <f>IFERROR(VLOOKUP(I161,CEI_022018!$A$1:$U$509,9,FALSE),0)</f>
        <v>0</v>
      </c>
      <c r="ES161" s="181">
        <f>IFERROR(VLOOKUP(I161,CEI_032018!$A$1:$U$509,9,FALSE),0)</f>
        <v>0</v>
      </c>
      <c r="ET161" s="181">
        <f>IFERROR(VLOOKUP(I161,CEI_042018!$A$1:$U$491,9,FALSE),0)</f>
        <v>0</v>
      </c>
      <c r="EU161" s="181">
        <f>IFERROR(VLOOKUP(I161,CEI_052018!$A$1:$U$489,9,FALSE),0)</f>
        <v>0</v>
      </c>
      <c r="EV161" s="181">
        <f>IFERROR(VLOOKUP(I161,CEI_062018!$A$1:$U$489,9,FALSE),0)</f>
        <v>0</v>
      </c>
      <c r="EW161" s="181">
        <f>IFERROR(VLOOKUP(I161,CEI_072018!$A$1:$U$489,9,FALSE),0)</f>
        <v>11.725610017776489</v>
      </c>
      <c r="EX161" s="181">
        <f>IFERROR(VLOOKUP(I161,CEI_082018!$A$1:$U$489,9,FALSE),0)</f>
        <v>11.725610017776489</v>
      </c>
      <c r="EY161" s="181">
        <f>IFERROR(VLOOKUP(I161,CEI_092018!$A$1:$U$489,9,FALSE),0)</f>
        <v>11.725610017776489</v>
      </c>
      <c r="EZ161" s="181"/>
      <c r="FA161" s="181"/>
      <c r="FB161" s="181"/>
      <c r="FC161" s="181">
        <f>IFERROR(VLOOKUP(I161,CEI_092018!$A$1:$U$489,12,FALSE),0)</f>
        <v>0</v>
      </c>
      <c r="FD161" s="181">
        <f t="shared" si="94"/>
        <v>11.725610017776489</v>
      </c>
      <c r="FE161" s="181">
        <f t="shared" si="95"/>
        <v>0</v>
      </c>
      <c r="FF161"/>
      <c r="FG161"/>
      <c r="FH161"/>
      <c r="FI161"/>
      <c r="FJ161"/>
      <c r="FK161"/>
      <c r="FL161"/>
      <c r="FM161"/>
      <c r="FN161"/>
      <c r="FO161"/>
      <c r="FP161"/>
      <c r="FQ161"/>
      <c r="FR161"/>
      <c r="FS161"/>
      <c r="FT161"/>
      <c r="FU161"/>
      <c r="FV161"/>
      <c r="FW161"/>
      <c r="FX161"/>
      <c r="FY161"/>
      <c r="FZ161"/>
      <c r="GA161"/>
      <c r="GB161"/>
      <c r="GC161"/>
    </row>
    <row r="162" spans="1:185" ht="12.75" customHeight="1" x14ac:dyDescent="0.25">
      <c r="A162" s="202"/>
      <c r="B162" s="22" t="s">
        <v>57</v>
      </c>
      <c r="C162" s="34" t="s">
        <v>41</v>
      </c>
      <c r="D162" s="22" t="s">
        <v>58</v>
      </c>
      <c r="E162" s="25" t="s">
        <v>292</v>
      </c>
      <c r="F162" s="25" t="s">
        <v>58</v>
      </c>
      <c r="G162" s="25" t="s">
        <v>292</v>
      </c>
      <c r="H162" s="22" t="s">
        <v>56</v>
      </c>
      <c r="I162" s="404" t="s">
        <v>1927</v>
      </c>
      <c r="J162" s="37" t="s">
        <v>1928</v>
      </c>
      <c r="K162" s="23" t="s">
        <v>1929</v>
      </c>
      <c r="L162" s="23" t="s">
        <v>1930</v>
      </c>
      <c r="M162" s="23" t="s">
        <v>1931</v>
      </c>
      <c r="N162" s="23"/>
      <c r="O162" s="2">
        <v>2.8900001049041748</v>
      </c>
      <c r="P162" s="2"/>
      <c r="Q162" s="2"/>
      <c r="R162" s="2"/>
      <c r="S162" s="2">
        <v>3.6099998950958252</v>
      </c>
      <c r="T162" s="116">
        <f t="shared" si="82"/>
        <v>6.5</v>
      </c>
      <c r="U162" s="324"/>
      <c r="V162" s="324"/>
      <c r="W162" s="324"/>
      <c r="X162" s="324"/>
      <c r="Y162" s="324"/>
      <c r="Z162" s="324"/>
      <c r="AA162" s="324"/>
      <c r="AB162" s="324"/>
      <c r="AC162" s="324"/>
      <c r="AD162" s="324"/>
      <c r="AE162" s="324"/>
      <c r="AF162" s="324"/>
      <c r="AG162" s="140">
        <f t="shared" si="83"/>
        <v>0</v>
      </c>
      <c r="AH162" s="324"/>
      <c r="AI162" s="324"/>
      <c r="AJ162" s="324"/>
      <c r="AK162" s="324"/>
      <c r="AL162" s="324"/>
      <c r="AM162" s="324"/>
      <c r="AN162" s="324"/>
      <c r="AO162" s="324"/>
      <c r="AP162" s="324"/>
      <c r="AQ162" s="324"/>
      <c r="AR162" s="324"/>
      <c r="AS162" s="324"/>
      <c r="AT162" s="140">
        <f t="shared" si="84"/>
        <v>0</v>
      </c>
      <c r="AU162" s="324"/>
      <c r="AV162" s="324"/>
      <c r="AW162" s="324"/>
      <c r="AX162" s="324"/>
      <c r="AY162" s="324"/>
      <c r="AZ162" s="324"/>
      <c r="BA162" s="324"/>
      <c r="BB162" s="324"/>
      <c r="BC162" s="324"/>
      <c r="BD162" s="324"/>
      <c r="BE162" s="324"/>
      <c r="BF162" s="324"/>
      <c r="BG162" s="140">
        <f t="shared" si="85"/>
        <v>0</v>
      </c>
      <c r="BH162" s="324"/>
      <c r="BI162" s="324"/>
      <c r="BJ162" s="324"/>
      <c r="BK162" s="324"/>
      <c r="BL162" s="324"/>
      <c r="BM162" s="324"/>
      <c r="BN162" s="324"/>
      <c r="BO162" s="324"/>
      <c r="BP162" s="324"/>
      <c r="BQ162" s="324"/>
      <c r="BR162" s="324"/>
      <c r="BS162" s="324"/>
      <c r="BT162" s="140">
        <f t="shared" si="86"/>
        <v>0</v>
      </c>
      <c r="BU162" s="114">
        <f t="shared" si="87"/>
        <v>6.5</v>
      </c>
      <c r="BV162" s="372">
        <v>1</v>
      </c>
      <c r="BW162" s="372">
        <v>1</v>
      </c>
      <c r="BX162" s="372">
        <v>-1</v>
      </c>
      <c r="BY162" s="372">
        <v>-1</v>
      </c>
      <c r="BZ162" s="436">
        <f t="shared" si="96"/>
        <v>44.461540075448845</v>
      </c>
      <c r="CA162" s="436">
        <f>IFERROR((FD162/T162%),0)</f>
        <v>0</v>
      </c>
      <c r="CB162" s="7" t="s">
        <v>73</v>
      </c>
      <c r="CC162" s="3"/>
      <c r="CD162" s="3"/>
      <c r="CE162" s="3"/>
      <c r="CF162" s="3"/>
      <c r="CG162" s="3"/>
      <c r="CH162" s="3"/>
      <c r="CI162" s="3"/>
      <c r="CJ162" s="3"/>
      <c r="CK162" s="3"/>
      <c r="CL162" s="3"/>
      <c r="CM162" s="3"/>
      <c r="CN162" s="3">
        <v>2</v>
      </c>
      <c r="CO162" s="4">
        <f t="shared" si="97"/>
        <v>2</v>
      </c>
      <c r="CP162" s="3"/>
      <c r="CQ162" s="3"/>
      <c r="CR162" s="3"/>
      <c r="CS162" s="3"/>
      <c r="CT162" s="3"/>
      <c r="CU162" s="3"/>
      <c r="CV162" s="3"/>
      <c r="CW162" s="3"/>
      <c r="CX162" s="3"/>
      <c r="CY162" s="3"/>
      <c r="CZ162" s="3"/>
      <c r="DA162" s="3"/>
      <c r="DB162" s="4">
        <f t="shared" si="98"/>
        <v>0</v>
      </c>
      <c r="DC162" s="3"/>
      <c r="DD162" s="3"/>
      <c r="DE162" s="3"/>
      <c r="DF162" s="3"/>
      <c r="DG162" s="3"/>
      <c r="DH162" s="3"/>
      <c r="DI162" s="3"/>
      <c r="DJ162" s="3"/>
      <c r="DK162" s="3"/>
      <c r="DL162" s="3"/>
      <c r="DM162" s="3"/>
      <c r="DN162" s="3"/>
      <c r="DO162" s="4">
        <f t="shared" si="99"/>
        <v>0</v>
      </c>
      <c r="DP162" s="3"/>
      <c r="DQ162" s="3"/>
      <c r="DR162" s="3"/>
      <c r="DS162" s="3"/>
      <c r="DT162" s="3"/>
      <c r="DU162" s="3"/>
      <c r="DV162" s="3"/>
      <c r="DW162" s="3"/>
      <c r="DX162" s="3"/>
      <c r="DY162" s="3"/>
      <c r="DZ162" s="3"/>
      <c r="EA162" s="3"/>
      <c r="EB162" s="4">
        <f t="shared" si="100"/>
        <v>0</v>
      </c>
      <c r="EC162" s="3"/>
      <c r="ED162" s="3"/>
      <c r="EE162" s="3"/>
      <c r="EF162" s="3"/>
      <c r="EG162" s="3"/>
      <c r="EH162" s="3"/>
      <c r="EI162" s="3"/>
      <c r="EJ162" s="3"/>
      <c r="EK162" s="3"/>
      <c r="EL162" s="3"/>
      <c r="EM162" s="3"/>
      <c r="EN162" s="3"/>
      <c r="EO162" s="4">
        <f t="shared" si="101"/>
        <v>0</v>
      </c>
      <c r="EP162" s="8">
        <f t="shared" si="102"/>
        <v>2</v>
      </c>
      <c r="EQ162" s="181">
        <f>IFERROR(VLOOKUP(I162,CEI_012018!$A$1:$U$509,9,FALSE),0)</f>
        <v>0</v>
      </c>
      <c r="ER162" s="181">
        <f>IFERROR(VLOOKUP(I162,CEI_022018!$A$1:$U$509,9,FALSE),0)</f>
        <v>0</v>
      </c>
      <c r="ES162" s="181">
        <f>IFERROR(VLOOKUP(I162,CEI_032018!$A$1:$U$509,9,FALSE),0)</f>
        <v>0</v>
      </c>
      <c r="ET162" s="181">
        <f>IFERROR(VLOOKUP(I162,CEI_042018!$A$1:$U$491,9,FALSE),0)</f>
        <v>0</v>
      </c>
      <c r="EU162" s="181">
        <f>IFERROR(VLOOKUP(I162,CEI_052018!$A$1:$U$489,9,FALSE),0)</f>
        <v>0</v>
      </c>
      <c r="EV162" s="181">
        <f>IFERROR(VLOOKUP(I162,CEI_062018!$A$1:$U$489,9,FALSE),0)</f>
        <v>0</v>
      </c>
      <c r="EW162" s="181">
        <f>IFERROR(VLOOKUP(I162,CEI_072018!$A$1:$U$489,9,FALSE),0)</f>
        <v>0</v>
      </c>
      <c r="EX162" s="181">
        <f>IFERROR(VLOOKUP(I162,CEI_082018!$A$1:$U$489,9,FALSE),0)</f>
        <v>2.8900001049041748</v>
      </c>
      <c r="EY162" s="181">
        <f>IFERROR(VLOOKUP(I162,CEI_092018!$A$1:$U$489,9,FALSE),0)</f>
        <v>2.8900001049041748</v>
      </c>
      <c r="EZ162" s="181"/>
      <c r="FA162" s="181"/>
      <c r="FB162" s="181"/>
      <c r="FC162" s="181">
        <f>IFERROR(VLOOKUP(I162,CEI_092018!$A$1:$U$489,12,FALSE),0)</f>
        <v>0</v>
      </c>
      <c r="FD162" s="181">
        <f t="shared" si="94"/>
        <v>0</v>
      </c>
      <c r="FE162" s="181">
        <f t="shared" si="95"/>
        <v>6.5</v>
      </c>
      <c r="FF162"/>
      <c r="FG162"/>
      <c r="FH162"/>
      <c r="FI162"/>
      <c r="FJ162"/>
      <c r="FK162"/>
      <c r="FL162"/>
      <c r="FM162"/>
      <c r="FN162"/>
      <c r="FO162"/>
      <c r="FP162"/>
      <c r="FQ162"/>
      <c r="FR162"/>
      <c r="FS162"/>
      <c r="FT162"/>
      <c r="FU162"/>
      <c r="FV162"/>
      <c r="FW162"/>
      <c r="FX162"/>
      <c r="FY162"/>
      <c r="FZ162"/>
      <c r="GA162"/>
      <c r="GB162"/>
      <c r="GC162"/>
    </row>
    <row r="163" spans="1:185" ht="12.75" customHeight="1" x14ac:dyDescent="0.25">
      <c r="A163" s="202"/>
      <c r="B163" s="94" t="s">
        <v>57</v>
      </c>
      <c r="C163" s="330" t="s">
        <v>41</v>
      </c>
      <c r="D163" s="94" t="s">
        <v>58</v>
      </c>
      <c r="E163" s="330" t="s">
        <v>1154</v>
      </c>
      <c r="F163" s="330" t="s">
        <v>58</v>
      </c>
      <c r="G163" s="330" t="s">
        <v>1154</v>
      </c>
      <c r="H163" s="94" t="s">
        <v>56</v>
      </c>
      <c r="I163" s="423" t="s">
        <v>1161</v>
      </c>
      <c r="J163" s="423" t="s">
        <v>1302</v>
      </c>
      <c r="K163" s="23" t="s">
        <v>1160</v>
      </c>
      <c r="L163" s="145" t="s">
        <v>1160</v>
      </c>
      <c r="M163" s="145" t="s">
        <v>1160</v>
      </c>
      <c r="N163" s="145"/>
      <c r="O163" s="2">
        <v>-6.9145699739456177</v>
      </c>
      <c r="P163" s="2"/>
      <c r="Q163" s="2"/>
      <c r="R163" s="2"/>
      <c r="S163" s="2">
        <v>6.9145699739456177</v>
      </c>
      <c r="T163" s="116">
        <f t="shared" si="82"/>
        <v>0</v>
      </c>
      <c r="U163" s="325"/>
      <c r="V163" s="325"/>
      <c r="W163" s="325"/>
      <c r="X163" s="325"/>
      <c r="Y163" s="325"/>
      <c r="Z163" s="325"/>
      <c r="AA163" s="325"/>
      <c r="AB163" s="325"/>
      <c r="AC163" s="325"/>
      <c r="AD163" s="325"/>
      <c r="AE163" s="325"/>
      <c r="AF163" s="325"/>
      <c r="AG163" s="140">
        <f t="shared" si="83"/>
        <v>0</v>
      </c>
      <c r="AH163" s="325"/>
      <c r="AI163" s="325"/>
      <c r="AJ163" s="325"/>
      <c r="AK163" s="325"/>
      <c r="AL163" s="325"/>
      <c r="AM163" s="325"/>
      <c r="AN163" s="325"/>
      <c r="AO163" s="325"/>
      <c r="AP163" s="325"/>
      <c r="AQ163" s="325"/>
      <c r="AR163" s="325"/>
      <c r="AS163" s="325"/>
      <c r="AT163" s="140">
        <f t="shared" si="84"/>
        <v>0</v>
      </c>
      <c r="AU163" s="325"/>
      <c r="AV163" s="325"/>
      <c r="AW163" s="325"/>
      <c r="AX163" s="325"/>
      <c r="AY163" s="325"/>
      <c r="AZ163" s="325"/>
      <c r="BA163" s="325"/>
      <c r="BB163" s="325"/>
      <c r="BC163" s="325"/>
      <c r="BD163" s="325"/>
      <c r="BE163" s="325"/>
      <c r="BF163" s="325"/>
      <c r="BG163" s="140">
        <f t="shared" si="85"/>
        <v>0</v>
      </c>
      <c r="BH163" s="325"/>
      <c r="BI163" s="325"/>
      <c r="BJ163" s="325"/>
      <c r="BK163" s="325"/>
      <c r="BL163" s="325"/>
      <c r="BM163" s="325"/>
      <c r="BN163" s="325"/>
      <c r="BO163" s="325"/>
      <c r="BP163" s="325"/>
      <c r="BQ163" s="325"/>
      <c r="BR163" s="325"/>
      <c r="BS163" s="325"/>
      <c r="BT163" s="140">
        <f t="shared" si="86"/>
        <v>0</v>
      </c>
      <c r="BU163" s="114">
        <f t="shared" si="87"/>
        <v>0</v>
      </c>
      <c r="BV163" s="372">
        <v>1</v>
      </c>
      <c r="BW163" s="372">
        <v>1</v>
      </c>
      <c r="BX163" s="372">
        <v>1</v>
      </c>
      <c r="BY163" s="372">
        <v>1</v>
      </c>
      <c r="BZ163" s="436">
        <f t="shared" si="96"/>
        <v>0</v>
      </c>
      <c r="CA163" s="436">
        <f>IFERROR((FD163/T163%),0)</f>
        <v>0</v>
      </c>
      <c r="CB163" s="147" t="s">
        <v>73</v>
      </c>
      <c r="CC163" s="148"/>
      <c r="CD163" s="148"/>
      <c r="CE163" s="148">
        <v>7</v>
      </c>
      <c r="CF163" s="148"/>
      <c r="CG163" s="148"/>
      <c r="CH163" s="148"/>
      <c r="CI163" s="148"/>
      <c r="CJ163" s="148"/>
      <c r="CK163" s="148"/>
      <c r="CL163" s="148"/>
      <c r="CM163" s="148"/>
      <c r="CN163" s="148"/>
      <c r="CO163" s="4">
        <f t="shared" si="97"/>
        <v>7</v>
      </c>
      <c r="CP163" s="148"/>
      <c r="CQ163" s="148"/>
      <c r="CR163" s="148"/>
      <c r="CS163" s="148"/>
      <c r="CT163" s="148"/>
      <c r="CU163" s="148"/>
      <c r="CV163" s="148"/>
      <c r="CW163" s="148"/>
      <c r="CX163" s="148"/>
      <c r="CY163" s="148"/>
      <c r="CZ163" s="148"/>
      <c r="DA163" s="148"/>
      <c r="DB163" s="4">
        <f t="shared" si="98"/>
        <v>0</v>
      </c>
      <c r="DC163" s="148"/>
      <c r="DD163" s="148"/>
      <c r="DE163" s="148"/>
      <c r="DF163" s="148"/>
      <c r="DG163" s="148"/>
      <c r="DH163" s="148"/>
      <c r="DI163" s="148"/>
      <c r="DJ163" s="148"/>
      <c r="DK163" s="148"/>
      <c r="DL163" s="148"/>
      <c r="DM163" s="148"/>
      <c r="DN163" s="148"/>
      <c r="DO163" s="4">
        <f t="shared" si="99"/>
        <v>0</v>
      </c>
      <c r="DP163" s="148"/>
      <c r="DQ163" s="148"/>
      <c r="DR163" s="148"/>
      <c r="DS163" s="148"/>
      <c r="DT163" s="148"/>
      <c r="DU163" s="148"/>
      <c r="DV163" s="148"/>
      <c r="DW163" s="148"/>
      <c r="DX163" s="148"/>
      <c r="DY163" s="148"/>
      <c r="DZ163" s="148"/>
      <c r="EA163" s="148"/>
      <c r="EB163" s="4">
        <f t="shared" si="100"/>
        <v>0</v>
      </c>
      <c r="EC163" s="148"/>
      <c r="ED163" s="148"/>
      <c r="EE163" s="148"/>
      <c r="EF163" s="148"/>
      <c r="EG163" s="148"/>
      <c r="EH163" s="148"/>
      <c r="EI163" s="148"/>
      <c r="EJ163" s="148"/>
      <c r="EK163" s="148"/>
      <c r="EL163" s="148"/>
      <c r="EM163" s="148"/>
      <c r="EN163" s="148"/>
      <c r="EO163" s="4">
        <f t="shared" si="101"/>
        <v>0</v>
      </c>
      <c r="EP163" s="8">
        <f t="shared" si="102"/>
        <v>7</v>
      </c>
      <c r="EQ163" s="181">
        <f>IFERROR(VLOOKUP(I163,CEI_012018!$A$1:$U$509,9,FALSE),0)</f>
        <v>0</v>
      </c>
      <c r="ER163" s="181">
        <f>IFERROR(VLOOKUP(I163,CEI_022018!$A$1:$U$509,9,FALSE),0)</f>
        <v>0</v>
      </c>
      <c r="ES163" s="181">
        <f>IFERROR(VLOOKUP(I163,CEI_032018!$A$1:$U$509,9,FALSE),0)</f>
        <v>1.7749999761581421</v>
      </c>
      <c r="ET163" s="181">
        <f>IFERROR(VLOOKUP(I163,CEI_042018!$A$1:$U$491,9,FALSE),0)</f>
        <v>1.7749999761581421</v>
      </c>
      <c r="EU163" s="181">
        <f>IFERROR(VLOOKUP(I163,CEI_052018!$A$1:$U$489,9,FALSE),0)</f>
        <v>1.7749999761581421</v>
      </c>
      <c r="EV163" s="181">
        <f>IFERROR(VLOOKUP(I163,CEI_062018!$A$1:$U$489,9,FALSE),0)</f>
        <v>8.2119101285934448</v>
      </c>
      <c r="EW163" s="181">
        <f>IFERROR(VLOOKUP(I163,CEI_072018!$A$1:$U$489,9,FALSE),0)</f>
        <v>-6.9145699739456177</v>
      </c>
      <c r="EX163" s="181">
        <f>IFERROR(VLOOKUP(I163,CEI_082018!$A$1:$U$489,9,FALSE),0)</f>
        <v>-6.9145699739456177</v>
      </c>
      <c r="EY163" s="181">
        <f>IFERROR(VLOOKUP(I163,CEI_092018!$A$1:$U$489,9,FALSE),0)</f>
        <v>-6.9145699739456177</v>
      </c>
      <c r="EZ163" s="181"/>
      <c r="FA163" s="181"/>
      <c r="FB163" s="181"/>
      <c r="FC163" s="181">
        <f>IFERROR(VLOOKUP(I163,CEI_092018!$A$1:$U$489,12,FALSE),0)</f>
        <v>0</v>
      </c>
      <c r="FD163" s="181">
        <f t="shared" si="94"/>
        <v>-6.9145699739456177</v>
      </c>
      <c r="FE163" s="181">
        <f t="shared" si="95"/>
        <v>6.9145699739456177</v>
      </c>
      <c r="FF163"/>
      <c r="FG163"/>
      <c r="FH163"/>
      <c r="FI163"/>
      <c r="FJ163"/>
      <c r="FK163"/>
      <c r="FL163"/>
      <c r="FM163"/>
      <c r="FN163"/>
      <c r="FO163"/>
      <c r="FP163"/>
      <c r="FQ163"/>
      <c r="FR163"/>
      <c r="FS163"/>
      <c r="FT163"/>
      <c r="FU163"/>
      <c r="FV163"/>
      <c r="FW163"/>
      <c r="FX163"/>
      <c r="FY163"/>
      <c r="FZ163"/>
      <c r="GA163"/>
      <c r="GB163"/>
      <c r="GC163"/>
    </row>
    <row r="164" spans="1:185" ht="12.75" customHeight="1" x14ac:dyDescent="0.25">
      <c r="A164" s="202"/>
      <c r="B164" s="22" t="s">
        <v>57</v>
      </c>
      <c r="C164" s="34" t="s">
        <v>42</v>
      </c>
      <c r="D164" s="22" t="s">
        <v>318</v>
      </c>
      <c r="E164" s="25" t="s">
        <v>1061</v>
      </c>
      <c r="F164" s="25" t="s">
        <v>318</v>
      </c>
      <c r="G164" s="25" t="s">
        <v>1061</v>
      </c>
      <c r="H164" s="22" t="s">
        <v>56</v>
      </c>
      <c r="I164" s="423" t="s">
        <v>1668</v>
      </c>
      <c r="J164" s="37" t="s">
        <v>1669</v>
      </c>
      <c r="K164" s="23" t="s">
        <v>745</v>
      </c>
      <c r="L164" s="23" t="s">
        <v>746</v>
      </c>
      <c r="M164" s="23" t="s">
        <v>726</v>
      </c>
      <c r="N164" s="23" t="s">
        <v>1875</v>
      </c>
      <c r="O164" s="2">
        <v>19.600669860839844</v>
      </c>
      <c r="P164" s="2">
        <v>0</v>
      </c>
      <c r="Q164" s="2">
        <v>1027.2611999999999</v>
      </c>
      <c r="R164" s="2">
        <v>0</v>
      </c>
      <c r="S164" s="2">
        <v>1150.3993301391602</v>
      </c>
      <c r="T164" s="116">
        <f t="shared" si="82"/>
        <v>2197.2611999999999</v>
      </c>
      <c r="U164" s="324">
        <v>0</v>
      </c>
      <c r="V164" s="324">
        <v>0</v>
      </c>
      <c r="W164" s="324">
        <v>0</v>
      </c>
      <c r="X164" s="324">
        <v>0</v>
      </c>
      <c r="Y164" s="324">
        <v>0</v>
      </c>
      <c r="Z164" s="324">
        <v>0</v>
      </c>
      <c r="AA164" s="324">
        <v>0</v>
      </c>
      <c r="AB164" s="324">
        <v>0</v>
      </c>
      <c r="AC164" s="324">
        <v>0</v>
      </c>
      <c r="AD164" s="324">
        <v>500</v>
      </c>
      <c r="AE164" s="324">
        <v>500</v>
      </c>
      <c r="AF164" s="324">
        <v>1000</v>
      </c>
      <c r="AG164" s="140">
        <f t="shared" si="83"/>
        <v>2000</v>
      </c>
      <c r="AH164" s="324">
        <v>0</v>
      </c>
      <c r="AI164" s="324">
        <v>0</v>
      </c>
      <c r="AJ164" s="324">
        <v>0</v>
      </c>
      <c r="AK164" s="324">
        <v>0</v>
      </c>
      <c r="AL164" s="324">
        <v>0</v>
      </c>
      <c r="AM164" s="324">
        <v>0</v>
      </c>
      <c r="AN164" s="324">
        <v>0</v>
      </c>
      <c r="AO164" s="324">
        <v>0</v>
      </c>
      <c r="AP164" s="324">
        <v>1000</v>
      </c>
      <c r="AQ164" s="324">
        <v>1000</v>
      </c>
      <c r="AR164" s="324">
        <v>1000</v>
      </c>
      <c r="AS164" s="324">
        <v>1000</v>
      </c>
      <c r="AT164" s="140">
        <f t="shared" si="84"/>
        <v>4000</v>
      </c>
      <c r="AU164" s="324">
        <v>0</v>
      </c>
      <c r="AV164" s="324">
        <v>0</v>
      </c>
      <c r="AW164" s="324">
        <v>0</v>
      </c>
      <c r="AX164" s="324">
        <v>0</v>
      </c>
      <c r="AY164" s="324">
        <v>0</v>
      </c>
      <c r="AZ164" s="324">
        <v>0</v>
      </c>
      <c r="BA164" s="324">
        <v>0</v>
      </c>
      <c r="BB164" s="324">
        <v>0</v>
      </c>
      <c r="BC164" s="324">
        <v>0</v>
      </c>
      <c r="BD164" s="324">
        <v>2000</v>
      </c>
      <c r="BE164" s="324">
        <v>2000</v>
      </c>
      <c r="BF164" s="324">
        <v>1000</v>
      </c>
      <c r="BG164" s="140">
        <f t="shared" si="85"/>
        <v>5000</v>
      </c>
      <c r="BH164" s="324">
        <v>0</v>
      </c>
      <c r="BI164" s="324">
        <v>0</v>
      </c>
      <c r="BJ164" s="324">
        <v>0</v>
      </c>
      <c r="BK164" s="324">
        <v>0</v>
      </c>
      <c r="BL164" s="324">
        <v>0</v>
      </c>
      <c r="BM164" s="324">
        <v>0</v>
      </c>
      <c r="BN164" s="324">
        <v>0</v>
      </c>
      <c r="BO164" s="324">
        <v>0</v>
      </c>
      <c r="BP164" s="324">
        <v>2000</v>
      </c>
      <c r="BQ164" s="324">
        <v>2000</v>
      </c>
      <c r="BR164" s="324">
        <v>2000</v>
      </c>
      <c r="BS164" s="324">
        <v>2000</v>
      </c>
      <c r="BT164" s="140">
        <f t="shared" si="86"/>
        <v>8000</v>
      </c>
      <c r="BU164" s="114">
        <f t="shared" si="87"/>
        <v>21197.261200000001</v>
      </c>
      <c r="BV164" s="372">
        <v>1</v>
      </c>
      <c r="BW164" s="372">
        <v>1</v>
      </c>
      <c r="BX164" s="372">
        <v>1</v>
      </c>
      <c r="BY164" s="372">
        <v>1</v>
      </c>
      <c r="BZ164" s="436">
        <f t="shared" si="96"/>
        <v>0.89205006035877055</v>
      </c>
      <c r="CA164" s="428">
        <f>IFERROR((FD164/T164%),0)</f>
        <v>22.282044656392195</v>
      </c>
      <c r="CB164" s="7" t="s">
        <v>1681</v>
      </c>
      <c r="CC164" s="3">
        <v>0</v>
      </c>
      <c r="CD164" s="3">
        <v>0</v>
      </c>
      <c r="CE164" s="3">
        <v>0</v>
      </c>
      <c r="CF164" s="3">
        <v>0</v>
      </c>
      <c r="CG164" s="3">
        <v>0</v>
      </c>
      <c r="CH164" s="3">
        <v>0</v>
      </c>
      <c r="CI164" s="3">
        <v>0</v>
      </c>
      <c r="CJ164" s="3">
        <v>0</v>
      </c>
      <c r="CK164" s="3">
        <v>13.818897637795276</v>
      </c>
      <c r="CL164" s="3">
        <v>0</v>
      </c>
      <c r="CM164" s="3">
        <v>9.21259842519685</v>
      </c>
      <c r="CN164" s="3">
        <v>0</v>
      </c>
      <c r="CO164" s="4">
        <f t="shared" si="97"/>
        <v>23.031496062992126</v>
      </c>
      <c r="CP164" s="3">
        <v>0</v>
      </c>
      <c r="CQ164" s="3">
        <v>0</v>
      </c>
      <c r="CR164" s="3">
        <v>0</v>
      </c>
      <c r="CS164" s="3">
        <v>0</v>
      </c>
      <c r="CT164" s="3">
        <v>0</v>
      </c>
      <c r="CU164" s="3">
        <v>0</v>
      </c>
      <c r="CV164" s="3">
        <v>0</v>
      </c>
      <c r="CW164" s="3">
        <v>0</v>
      </c>
      <c r="CX164" s="3">
        <v>0</v>
      </c>
      <c r="CY164" s="3">
        <v>3.9370078740157481</v>
      </c>
      <c r="CZ164" s="3">
        <v>3.9370078740157481</v>
      </c>
      <c r="DA164" s="3">
        <v>7.8740157480314963</v>
      </c>
      <c r="DB164" s="4">
        <f t="shared" si="98"/>
        <v>15.748031496062993</v>
      </c>
      <c r="DC164" s="3">
        <v>0</v>
      </c>
      <c r="DD164" s="3">
        <v>0</v>
      </c>
      <c r="DE164" s="3">
        <v>0</v>
      </c>
      <c r="DF164" s="3">
        <v>0</v>
      </c>
      <c r="DG164" s="3">
        <v>0</v>
      </c>
      <c r="DH164" s="3">
        <v>0</v>
      </c>
      <c r="DI164" s="3">
        <v>0</v>
      </c>
      <c r="DJ164" s="3">
        <v>0</v>
      </c>
      <c r="DK164" s="3">
        <v>7.8740157480314963</v>
      </c>
      <c r="DL164" s="3">
        <v>7.8740157480314963</v>
      </c>
      <c r="DM164" s="3">
        <v>7.8740157480314963</v>
      </c>
      <c r="DN164" s="3">
        <v>7.8740157480314963</v>
      </c>
      <c r="DO164" s="4">
        <f t="shared" si="99"/>
        <v>31.496062992125985</v>
      </c>
      <c r="DP164" s="3">
        <v>0</v>
      </c>
      <c r="DQ164" s="3">
        <v>0</v>
      </c>
      <c r="DR164" s="3">
        <v>0</v>
      </c>
      <c r="DS164" s="3">
        <v>0</v>
      </c>
      <c r="DT164" s="3">
        <v>0</v>
      </c>
      <c r="DU164" s="3">
        <v>0</v>
      </c>
      <c r="DV164" s="3">
        <v>0</v>
      </c>
      <c r="DW164" s="3">
        <v>0</v>
      </c>
      <c r="DX164" s="3">
        <v>0</v>
      </c>
      <c r="DY164" s="3">
        <v>15.748031496062993</v>
      </c>
      <c r="DZ164" s="3">
        <v>15.748031496062993</v>
      </c>
      <c r="EA164" s="3">
        <v>7.8740157480314963</v>
      </c>
      <c r="EB164" s="4">
        <f t="shared" si="100"/>
        <v>39.370078740157481</v>
      </c>
      <c r="EC164" s="3">
        <v>0</v>
      </c>
      <c r="ED164" s="3">
        <v>0</v>
      </c>
      <c r="EE164" s="3">
        <v>0</v>
      </c>
      <c r="EF164" s="3">
        <v>0</v>
      </c>
      <c r="EG164" s="3">
        <v>0</v>
      </c>
      <c r="EH164" s="3">
        <v>0</v>
      </c>
      <c r="EI164" s="3">
        <v>0</v>
      </c>
      <c r="EJ164" s="3">
        <v>0</v>
      </c>
      <c r="EK164" s="3">
        <v>15.748031496062993</v>
      </c>
      <c r="EL164" s="3">
        <v>15.748031496062993</v>
      </c>
      <c r="EM164" s="3">
        <v>15.748031496062993</v>
      </c>
      <c r="EN164" s="3">
        <v>15.748031496062993</v>
      </c>
      <c r="EO164" s="4">
        <f t="shared" si="101"/>
        <v>62.99212598425197</v>
      </c>
      <c r="EP164" s="8">
        <f t="shared" si="102"/>
        <v>172.63779527559055</v>
      </c>
      <c r="EQ164" s="181">
        <f>IFERROR(VLOOKUP(I164,CEI_012018!$A$1:$U$509,9,FALSE),0)</f>
        <v>0</v>
      </c>
      <c r="ER164" s="181">
        <f>IFERROR(VLOOKUP(I164,CEI_022018!$A$1:$U$509,9,FALSE),0)</f>
        <v>0</v>
      </c>
      <c r="ES164" s="181">
        <f>IFERROR(VLOOKUP(I164,CEI_032018!$A$1:$U$509,9,FALSE),0)</f>
        <v>0</v>
      </c>
      <c r="ET164" s="181">
        <f>IFERROR(VLOOKUP(I164,CEI_042018!$A$1:$U$491,9,FALSE),0)</f>
        <v>0</v>
      </c>
      <c r="EU164" s="181">
        <f>IFERROR(VLOOKUP(I164,CEI_052018!$A$1:$U$489,9,FALSE),0)</f>
        <v>0</v>
      </c>
      <c r="EV164" s="181">
        <f>IFERROR(VLOOKUP(I164,CEI_062018!$A$1:$U$489,9,FALSE),0)</f>
        <v>0</v>
      </c>
      <c r="EW164" s="181">
        <f>IFERROR(VLOOKUP(I164,CEI_072018!$A$1:$U$489,9,FALSE),0)</f>
        <v>0</v>
      </c>
      <c r="EX164" s="181">
        <f>IFERROR(VLOOKUP(I164,CEI_082018!$A$1:$U$489,9,FALSE),0)</f>
        <v>19.600669860839844</v>
      </c>
      <c r="EY164" s="181">
        <f>IFERROR(VLOOKUP(I164,CEI_092018!$A$1:$U$489,9,FALSE),0)</f>
        <v>49.299970030784607</v>
      </c>
      <c r="EZ164" s="181"/>
      <c r="FA164" s="181"/>
      <c r="FB164" s="181"/>
      <c r="FC164" s="181">
        <f>IFERROR(VLOOKUP(I164,CEI_092018!$A$1:$U$489,12,FALSE),0)</f>
        <v>489.594721801579</v>
      </c>
      <c r="FD164" s="181">
        <f t="shared" si="94"/>
        <v>489.594721801579</v>
      </c>
      <c r="FE164" s="181">
        <f t="shared" si="95"/>
        <v>1707.6664781984209</v>
      </c>
      <c r="FF164"/>
      <c r="FG164"/>
      <c r="FH164"/>
      <c r="FI164"/>
      <c r="FJ164"/>
      <c r="FK164"/>
      <c r="FL164"/>
      <c r="FM164"/>
      <c r="FN164"/>
      <c r="FO164"/>
      <c r="FP164"/>
      <c r="FQ164"/>
      <c r="FR164"/>
      <c r="FS164"/>
      <c r="FT164"/>
      <c r="FU164"/>
      <c r="FV164"/>
      <c r="FW164"/>
      <c r="FX164"/>
      <c r="FY164"/>
      <c r="FZ164"/>
      <c r="GA164"/>
      <c r="GB164"/>
      <c r="GC164"/>
    </row>
    <row r="165" spans="1:185" ht="12.75" customHeight="1" x14ac:dyDescent="0.25">
      <c r="A165" s="202"/>
      <c r="B165" s="22" t="s">
        <v>57</v>
      </c>
      <c r="C165" s="34" t="s">
        <v>42</v>
      </c>
      <c r="D165" s="22" t="s">
        <v>318</v>
      </c>
      <c r="E165" s="25" t="s">
        <v>1061</v>
      </c>
      <c r="F165" s="25" t="s">
        <v>318</v>
      </c>
      <c r="G165" s="25" t="s">
        <v>1061</v>
      </c>
      <c r="H165" s="22" t="s">
        <v>56</v>
      </c>
      <c r="I165" s="483" t="s">
        <v>1893</v>
      </c>
      <c r="J165" s="255" t="s">
        <v>59</v>
      </c>
      <c r="K165" s="23" t="s">
        <v>727</v>
      </c>
      <c r="L165" s="23" t="s">
        <v>728</v>
      </c>
      <c r="M165" s="23" t="s">
        <v>729</v>
      </c>
      <c r="N165" s="23" t="s">
        <v>1874</v>
      </c>
      <c r="O165" s="2">
        <v>0</v>
      </c>
      <c r="P165" s="2">
        <v>0</v>
      </c>
      <c r="Q165" s="2">
        <v>0</v>
      </c>
      <c r="R165" s="2">
        <v>0</v>
      </c>
      <c r="S165" s="2">
        <v>80</v>
      </c>
      <c r="T165" s="116">
        <f t="shared" si="82"/>
        <v>80</v>
      </c>
      <c r="U165" s="324">
        <v>0</v>
      </c>
      <c r="V165" s="324">
        <v>0</v>
      </c>
      <c r="W165" s="324">
        <v>0</v>
      </c>
      <c r="X165" s="324">
        <v>0</v>
      </c>
      <c r="Y165" s="324">
        <v>0</v>
      </c>
      <c r="Z165" s="324">
        <v>0</v>
      </c>
      <c r="AA165" s="324">
        <v>0</v>
      </c>
      <c r="AB165" s="324">
        <v>0</v>
      </c>
      <c r="AC165" s="324">
        <v>0</v>
      </c>
      <c r="AD165" s="324">
        <v>0</v>
      </c>
      <c r="AE165" s="324">
        <v>0</v>
      </c>
      <c r="AF165" s="324">
        <v>265.02199999999999</v>
      </c>
      <c r="AG165" s="140">
        <f t="shared" si="83"/>
        <v>265.02199999999999</v>
      </c>
      <c r="AH165" s="324">
        <v>0</v>
      </c>
      <c r="AI165" s="324">
        <v>0</v>
      </c>
      <c r="AJ165" s="324">
        <v>0</v>
      </c>
      <c r="AK165" s="324">
        <v>0</v>
      </c>
      <c r="AL165" s="324">
        <v>0</v>
      </c>
      <c r="AM165" s="324">
        <v>0</v>
      </c>
      <c r="AN165" s="324">
        <v>0</v>
      </c>
      <c r="AO165" s="324">
        <v>0</v>
      </c>
      <c r="AP165" s="324">
        <v>647</v>
      </c>
      <c r="AQ165" s="324">
        <v>0</v>
      </c>
      <c r="AR165" s="324">
        <v>0</v>
      </c>
      <c r="AS165" s="324">
        <v>0</v>
      </c>
      <c r="AT165" s="140">
        <f t="shared" si="84"/>
        <v>647</v>
      </c>
      <c r="AU165" s="324">
        <v>0</v>
      </c>
      <c r="AV165" s="324">
        <v>0</v>
      </c>
      <c r="AW165" s="324">
        <v>0</v>
      </c>
      <c r="AX165" s="324">
        <v>0</v>
      </c>
      <c r="AY165" s="324">
        <v>0</v>
      </c>
      <c r="AZ165" s="324">
        <v>0</v>
      </c>
      <c r="BA165" s="324">
        <v>0</v>
      </c>
      <c r="BB165" s="324">
        <v>0</v>
      </c>
      <c r="BC165" s="324">
        <v>0</v>
      </c>
      <c r="BD165" s="324">
        <v>0</v>
      </c>
      <c r="BE165" s="324">
        <v>602.88200000000006</v>
      </c>
      <c r="BF165" s="324">
        <v>0</v>
      </c>
      <c r="BG165" s="140">
        <f t="shared" si="85"/>
        <v>602.88200000000006</v>
      </c>
      <c r="BH165" s="324">
        <v>0</v>
      </c>
      <c r="BI165" s="324">
        <v>0</v>
      </c>
      <c r="BJ165" s="324">
        <v>0</v>
      </c>
      <c r="BK165" s="324">
        <v>0</v>
      </c>
      <c r="BL165" s="324">
        <v>0</v>
      </c>
      <c r="BM165" s="324">
        <v>0</v>
      </c>
      <c r="BN165" s="324">
        <v>0</v>
      </c>
      <c r="BO165" s="324">
        <v>0</v>
      </c>
      <c r="BP165" s="324">
        <v>0</v>
      </c>
      <c r="BQ165" s="324">
        <v>0</v>
      </c>
      <c r="BR165" s="324">
        <v>0</v>
      </c>
      <c r="BS165" s="324">
        <v>208.232</v>
      </c>
      <c r="BT165" s="140">
        <f t="shared" si="86"/>
        <v>208.232</v>
      </c>
      <c r="BU165" s="114">
        <f t="shared" si="87"/>
        <v>1803.136</v>
      </c>
      <c r="BV165" s="372">
        <v>-1</v>
      </c>
      <c r="BW165" s="372">
        <v>-1</v>
      </c>
      <c r="BX165" s="372">
        <v>-1</v>
      </c>
      <c r="BY165" s="372">
        <v>-1</v>
      </c>
      <c r="BZ165" s="436">
        <f t="shared" si="96"/>
        <v>0</v>
      </c>
      <c r="CA165" s="428">
        <f>IFERROR((FD165/T165%),0)</f>
        <v>0</v>
      </c>
      <c r="CB165" s="7" t="s">
        <v>1681</v>
      </c>
      <c r="CC165" s="3">
        <v>0</v>
      </c>
      <c r="CD165" s="3">
        <v>0</v>
      </c>
      <c r="CE165" s="3">
        <v>0</v>
      </c>
      <c r="CF165" s="3">
        <v>0</v>
      </c>
      <c r="CG165" s="3">
        <v>0</v>
      </c>
      <c r="CH165" s="3">
        <v>0</v>
      </c>
      <c r="CI165" s="3">
        <v>0</v>
      </c>
      <c r="CJ165" s="3">
        <v>0</v>
      </c>
      <c r="CK165" s="3">
        <v>0</v>
      </c>
      <c r="CL165" s="3">
        <v>0</v>
      </c>
      <c r="CM165" s="3">
        <v>0</v>
      </c>
      <c r="CN165" s="3">
        <v>1</v>
      </c>
      <c r="CO165" s="4">
        <f t="shared" si="97"/>
        <v>1</v>
      </c>
      <c r="CP165" s="3">
        <v>0</v>
      </c>
      <c r="CQ165" s="3">
        <v>0</v>
      </c>
      <c r="CR165" s="3">
        <v>0</v>
      </c>
      <c r="CS165" s="3">
        <v>0</v>
      </c>
      <c r="CT165" s="3">
        <v>0</v>
      </c>
      <c r="CU165" s="3">
        <v>0</v>
      </c>
      <c r="CV165" s="3">
        <v>0</v>
      </c>
      <c r="CW165" s="3">
        <v>0</v>
      </c>
      <c r="CX165" s="3">
        <v>0</v>
      </c>
      <c r="CY165" s="3">
        <v>0</v>
      </c>
      <c r="CZ165" s="3">
        <v>0</v>
      </c>
      <c r="DA165" s="3">
        <v>4</v>
      </c>
      <c r="DB165" s="4">
        <f t="shared" si="98"/>
        <v>4</v>
      </c>
      <c r="DC165" s="3">
        <v>0</v>
      </c>
      <c r="DD165" s="3">
        <v>0</v>
      </c>
      <c r="DE165" s="3">
        <v>0</v>
      </c>
      <c r="DF165" s="3">
        <v>0</v>
      </c>
      <c r="DG165" s="3">
        <v>0</v>
      </c>
      <c r="DH165" s="3">
        <v>0</v>
      </c>
      <c r="DI165" s="3">
        <v>0</v>
      </c>
      <c r="DJ165" s="3">
        <v>0</v>
      </c>
      <c r="DK165" s="3">
        <v>11</v>
      </c>
      <c r="DL165" s="3">
        <v>0</v>
      </c>
      <c r="DM165" s="3">
        <v>0</v>
      </c>
      <c r="DN165" s="3">
        <v>0</v>
      </c>
      <c r="DO165" s="4">
        <f t="shared" si="99"/>
        <v>11</v>
      </c>
      <c r="DP165" s="3">
        <v>0</v>
      </c>
      <c r="DQ165" s="3">
        <v>0</v>
      </c>
      <c r="DR165" s="3">
        <v>0</v>
      </c>
      <c r="DS165" s="3">
        <v>0</v>
      </c>
      <c r="DT165" s="3">
        <v>0</v>
      </c>
      <c r="DU165" s="3">
        <v>0</v>
      </c>
      <c r="DV165" s="3">
        <v>0</v>
      </c>
      <c r="DW165" s="3">
        <v>0</v>
      </c>
      <c r="DX165" s="3">
        <v>0</v>
      </c>
      <c r="DY165" s="3">
        <v>0</v>
      </c>
      <c r="DZ165" s="3">
        <v>11</v>
      </c>
      <c r="EA165" s="3">
        <v>0</v>
      </c>
      <c r="EB165" s="4">
        <f t="shared" si="100"/>
        <v>11</v>
      </c>
      <c r="EC165" s="3">
        <v>0</v>
      </c>
      <c r="ED165" s="3">
        <v>0</v>
      </c>
      <c r="EE165" s="3">
        <v>0</v>
      </c>
      <c r="EF165" s="3">
        <v>0</v>
      </c>
      <c r="EG165" s="3">
        <v>0</v>
      </c>
      <c r="EH165" s="3">
        <v>0</v>
      </c>
      <c r="EI165" s="3">
        <v>0</v>
      </c>
      <c r="EJ165" s="3">
        <v>0</v>
      </c>
      <c r="EK165" s="3">
        <v>0</v>
      </c>
      <c r="EL165" s="3">
        <v>0</v>
      </c>
      <c r="EM165" s="3">
        <v>0</v>
      </c>
      <c r="EN165" s="3">
        <v>4</v>
      </c>
      <c r="EO165" s="4">
        <f t="shared" si="101"/>
        <v>4</v>
      </c>
      <c r="EP165" s="8">
        <f t="shared" si="102"/>
        <v>31</v>
      </c>
      <c r="EQ165" s="181">
        <f>IFERROR(VLOOKUP(I165,CEI_012018!$A$1:$U$509,9,FALSE),0)</f>
        <v>0</v>
      </c>
      <c r="ER165" s="181">
        <f>IFERROR(VLOOKUP(I165,CEI_022018!$A$1:$U$509,9,FALSE),0)</f>
        <v>0</v>
      </c>
      <c r="ES165" s="181">
        <f>IFERROR(VLOOKUP(I165,CEI_032018!$A$1:$U$509,9,FALSE),0)</f>
        <v>0</v>
      </c>
      <c r="ET165" s="181">
        <f>IFERROR(VLOOKUP(I165,CEI_042018!$A$1:$U$491,9,FALSE),0)</f>
        <v>0</v>
      </c>
      <c r="EU165" s="181">
        <f>IFERROR(VLOOKUP(I165,CEI_052018!$A$1:$U$489,9,FALSE),0)</f>
        <v>0</v>
      </c>
      <c r="EV165" s="181">
        <f>IFERROR(VLOOKUP(I165,CEI_062018!$A$1:$U$489,9,FALSE),0)</f>
        <v>0</v>
      </c>
      <c r="EW165" s="181">
        <f>IFERROR(VLOOKUP(I165,CEI_072018!$A$1:$U$489,9,FALSE),0)</f>
        <v>0</v>
      </c>
      <c r="EX165" s="181">
        <f>IFERROR(VLOOKUP(I165,CEI_082018!$A$1:$U$489,9,FALSE),0)</f>
        <v>0</v>
      </c>
      <c r="EY165" s="181">
        <f>IFERROR(VLOOKUP(I165,CEI_092018!$A$1:$U$489,9,FALSE),0)</f>
        <v>0</v>
      </c>
      <c r="EZ165" s="181"/>
      <c r="FA165" s="181"/>
      <c r="FB165" s="181"/>
      <c r="FC165" s="181">
        <f>IFERROR(VLOOKUP(I165,CEI_092018!$A$1:$U$489,12,FALSE),0)</f>
        <v>0</v>
      </c>
      <c r="FD165" s="181">
        <f t="shared" si="94"/>
        <v>0</v>
      </c>
      <c r="FE165" s="181">
        <f t="shared" si="95"/>
        <v>80</v>
      </c>
      <c r="FF165"/>
      <c r="FG165"/>
      <c r="FH165"/>
      <c r="FI165"/>
      <c r="FJ165"/>
      <c r="FK165"/>
      <c r="FL165"/>
      <c r="FM165"/>
      <c r="FN165"/>
      <c r="FO165"/>
      <c r="FP165"/>
      <c r="FQ165"/>
      <c r="FR165"/>
      <c r="FS165"/>
      <c r="FT165"/>
      <c r="FU165"/>
      <c r="FV165"/>
      <c r="FW165"/>
      <c r="FX165"/>
      <c r="FY165"/>
      <c r="FZ165"/>
      <c r="GA165"/>
      <c r="GB165"/>
      <c r="GC165"/>
    </row>
    <row r="166" spans="1:185" ht="12.75" customHeight="1" x14ac:dyDescent="0.25">
      <c r="A166" s="202"/>
      <c r="B166" s="22" t="s">
        <v>57</v>
      </c>
      <c r="C166" s="34" t="s">
        <v>42</v>
      </c>
      <c r="D166" s="22" t="s">
        <v>318</v>
      </c>
      <c r="E166" s="25" t="s">
        <v>1061</v>
      </c>
      <c r="F166" s="25" t="s">
        <v>318</v>
      </c>
      <c r="G166" s="25" t="s">
        <v>1061</v>
      </c>
      <c r="H166" s="22" t="s">
        <v>56</v>
      </c>
      <c r="I166" s="423" t="s">
        <v>1936</v>
      </c>
      <c r="J166" s="37" t="s">
        <v>59</v>
      </c>
      <c r="K166" s="23" t="s">
        <v>724</v>
      </c>
      <c r="L166" s="23" t="s">
        <v>725</v>
      </c>
      <c r="M166" s="23" t="s">
        <v>726</v>
      </c>
      <c r="N166" s="23" t="s">
        <v>1864</v>
      </c>
      <c r="O166" s="2">
        <v>146.51003949344158</v>
      </c>
      <c r="P166" s="2">
        <v>0</v>
      </c>
      <c r="Q166" s="2">
        <v>0</v>
      </c>
      <c r="R166" s="2">
        <v>0</v>
      </c>
      <c r="S166" s="2">
        <v>563.48996050655842</v>
      </c>
      <c r="T166" s="116">
        <f t="shared" si="82"/>
        <v>710</v>
      </c>
      <c r="U166" s="324">
        <v>0</v>
      </c>
      <c r="V166" s="324">
        <v>0</v>
      </c>
      <c r="W166" s="324">
        <v>0</v>
      </c>
      <c r="X166" s="324">
        <v>0</v>
      </c>
      <c r="Y166" s="324">
        <v>0</v>
      </c>
      <c r="Z166" s="324">
        <v>0</v>
      </c>
      <c r="AA166" s="324">
        <v>63</v>
      </c>
      <c r="AB166" s="324">
        <v>0</v>
      </c>
      <c r="AC166" s="324">
        <v>0</v>
      </c>
      <c r="AD166" s="324">
        <v>0</v>
      </c>
      <c r="AE166" s="324">
        <v>0</v>
      </c>
      <c r="AF166" s="324">
        <v>0</v>
      </c>
      <c r="AG166" s="140">
        <f t="shared" si="83"/>
        <v>63</v>
      </c>
      <c r="AH166" s="324">
        <v>0</v>
      </c>
      <c r="AI166" s="324">
        <v>0</v>
      </c>
      <c r="AJ166" s="324">
        <v>0</v>
      </c>
      <c r="AK166" s="324">
        <v>0</v>
      </c>
      <c r="AL166" s="324">
        <v>0</v>
      </c>
      <c r="AM166" s="324">
        <v>0</v>
      </c>
      <c r="AN166" s="324">
        <v>0</v>
      </c>
      <c r="AO166" s="324">
        <v>0</v>
      </c>
      <c r="AP166" s="324">
        <v>0</v>
      </c>
      <c r="AQ166" s="324">
        <v>0</v>
      </c>
      <c r="AR166" s="324">
        <v>0</v>
      </c>
      <c r="AS166" s="324">
        <v>137.17400000000001</v>
      </c>
      <c r="AT166" s="140">
        <f t="shared" si="84"/>
        <v>137.17400000000001</v>
      </c>
      <c r="AU166" s="324">
        <v>0</v>
      </c>
      <c r="AV166" s="324">
        <v>0</v>
      </c>
      <c r="AW166" s="324">
        <v>0</v>
      </c>
      <c r="AX166" s="324">
        <v>0</v>
      </c>
      <c r="AY166" s="324">
        <v>0</v>
      </c>
      <c r="AZ166" s="324">
        <v>0</v>
      </c>
      <c r="BA166" s="324">
        <v>0</v>
      </c>
      <c r="BB166" s="324">
        <v>0</v>
      </c>
      <c r="BC166" s="324">
        <v>0</v>
      </c>
      <c r="BD166" s="324">
        <v>0</v>
      </c>
      <c r="BE166" s="324">
        <v>43.896000000000001</v>
      </c>
      <c r="BF166" s="324">
        <v>0</v>
      </c>
      <c r="BG166" s="140">
        <f t="shared" si="85"/>
        <v>43.896000000000001</v>
      </c>
      <c r="BH166" s="324">
        <v>0</v>
      </c>
      <c r="BI166" s="324">
        <v>0</v>
      </c>
      <c r="BJ166" s="324">
        <v>0</v>
      </c>
      <c r="BK166" s="324">
        <v>0</v>
      </c>
      <c r="BL166" s="324">
        <v>0</v>
      </c>
      <c r="BM166" s="324">
        <v>0</v>
      </c>
      <c r="BN166" s="324">
        <v>0</v>
      </c>
      <c r="BO166" s="324">
        <v>0</v>
      </c>
      <c r="BP166" s="324">
        <v>0</v>
      </c>
      <c r="BQ166" s="324">
        <v>0</v>
      </c>
      <c r="BR166" s="324">
        <v>0</v>
      </c>
      <c r="BS166" s="324">
        <v>30.178000000000001</v>
      </c>
      <c r="BT166" s="140">
        <f t="shared" si="86"/>
        <v>30.178000000000001</v>
      </c>
      <c r="BU166" s="114">
        <f t="shared" si="87"/>
        <v>984.24800000000005</v>
      </c>
      <c r="BV166" s="432"/>
      <c r="BW166" s="432"/>
      <c r="BX166" s="432"/>
      <c r="BY166" s="432"/>
      <c r="BZ166" s="436">
        <f t="shared" si="96"/>
        <v>20.635216830062195</v>
      </c>
      <c r="CA166" s="434"/>
      <c r="CB166" s="7" t="s">
        <v>1681</v>
      </c>
      <c r="CC166" s="3">
        <v>0</v>
      </c>
      <c r="CD166" s="3">
        <v>0</v>
      </c>
      <c r="CE166" s="3">
        <v>0</v>
      </c>
      <c r="CF166" s="3">
        <v>0</v>
      </c>
      <c r="CG166" s="3">
        <v>0</v>
      </c>
      <c r="CH166" s="3">
        <v>0</v>
      </c>
      <c r="CI166" s="3">
        <v>0</v>
      </c>
      <c r="CJ166" s="3">
        <v>0</v>
      </c>
      <c r="CK166" s="3">
        <v>0</v>
      </c>
      <c r="CL166" s="3">
        <v>0</v>
      </c>
      <c r="CM166" s="3">
        <v>0</v>
      </c>
      <c r="CN166" s="3">
        <v>0</v>
      </c>
      <c r="CO166" s="4">
        <f t="shared" si="97"/>
        <v>0</v>
      </c>
      <c r="CP166" s="3">
        <v>0</v>
      </c>
      <c r="CQ166" s="3">
        <v>0</v>
      </c>
      <c r="CR166" s="3">
        <v>0</v>
      </c>
      <c r="CS166" s="3">
        <v>0</v>
      </c>
      <c r="CT166" s="3">
        <v>0</v>
      </c>
      <c r="CU166" s="3">
        <v>0</v>
      </c>
      <c r="CV166" s="3">
        <v>2</v>
      </c>
      <c r="CW166" s="3">
        <v>0</v>
      </c>
      <c r="CX166" s="3">
        <v>0</v>
      </c>
      <c r="CY166" s="3">
        <v>0</v>
      </c>
      <c r="CZ166" s="3">
        <v>0</v>
      </c>
      <c r="DA166" s="3">
        <v>0</v>
      </c>
      <c r="DB166" s="4">
        <f t="shared" si="98"/>
        <v>2</v>
      </c>
      <c r="DC166" s="3">
        <v>0</v>
      </c>
      <c r="DD166" s="3">
        <v>0</v>
      </c>
      <c r="DE166" s="3">
        <v>0</v>
      </c>
      <c r="DF166" s="3">
        <v>0</v>
      </c>
      <c r="DG166" s="3">
        <v>0</v>
      </c>
      <c r="DH166" s="3">
        <v>0</v>
      </c>
      <c r="DI166" s="3">
        <v>0</v>
      </c>
      <c r="DJ166" s="3">
        <v>0</v>
      </c>
      <c r="DK166" s="3">
        <v>0</v>
      </c>
      <c r="DL166" s="3">
        <v>0</v>
      </c>
      <c r="DM166" s="3">
        <v>0</v>
      </c>
      <c r="DN166" s="3">
        <v>4.5666666666666664</v>
      </c>
      <c r="DO166" s="4">
        <f t="shared" si="99"/>
        <v>4.5666666666666664</v>
      </c>
      <c r="DP166" s="3">
        <v>0</v>
      </c>
      <c r="DQ166" s="3">
        <v>0</v>
      </c>
      <c r="DR166" s="3">
        <v>0</v>
      </c>
      <c r="DS166" s="3">
        <v>0</v>
      </c>
      <c r="DT166" s="3">
        <v>0</v>
      </c>
      <c r="DU166" s="3">
        <v>0</v>
      </c>
      <c r="DV166" s="3">
        <v>0</v>
      </c>
      <c r="DW166" s="3">
        <v>0</v>
      </c>
      <c r="DX166" s="3">
        <v>0</v>
      </c>
      <c r="DY166" s="3">
        <v>0</v>
      </c>
      <c r="DZ166" s="3">
        <v>1</v>
      </c>
      <c r="EA166" s="3">
        <v>0</v>
      </c>
      <c r="EB166" s="4">
        <f t="shared" si="100"/>
        <v>1</v>
      </c>
      <c r="EC166" s="3">
        <v>0</v>
      </c>
      <c r="ED166" s="3">
        <v>0</v>
      </c>
      <c r="EE166" s="3">
        <v>0</v>
      </c>
      <c r="EF166" s="3">
        <v>0</v>
      </c>
      <c r="EG166" s="3">
        <v>0</v>
      </c>
      <c r="EH166" s="3">
        <v>0</v>
      </c>
      <c r="EI166" s="3">
        <v>0</v>
      </c>
      <c r="EJ166" s="3">
        <v>0</v>
      </c>
      <c r="EK166" s="3">
        <v>0</v>
      </c>
      <c r="EL166" s="3">
        <v>0</v>
      </c>
      <c r="EM166" s="3">
        <v>0</v>
      </c>
      <c r="EN166" s="3">
        <v>1</v>
      </c>
      <c r="EO166" s="4">
        <f t="shared" si="101"/>
        <v>1</v>
      </c>
      <c r="EP166" s="8">
        <f t="shared" si="102"/>
        <v>8.5666666666666664</v>
      </c>
      <c r="EQ166" s="181">
        <f>IFERROR(VLOOKUP(I166,CEI_012018!$A$1:$U$509,9,FALSE),0)</f>
        <v>0</v>
      </c>
      <c r="ER166" s="181">
        <f>IFERROR(VLOOKUP(I166,CEI_022018!$A$1:$U$509,9,FALSE),0)</f>
        <v>0</v>
      </c>
      <c r="ES166" s="181">
        <f>IFERROR(VLOOKUP(I166,CEI_032018!$A$1:$U$509,9,FALSE),0)</f>
        <v>0</v>
      </c>
      <c r="ET166" s="181">
        <f>IFERROR(VLOOKUP(I166,CEI_042018!$A$1:$U$491,9,FALSE),0)</f>
        <v>0</v>
      </c>
      <c r="EU166" s="181">
        <f>IFERROR(VLOOKUP(I166,CEI_052018!$A$1:$U$489,9,FALSE),0)</f>
        <v>0</v>
      </c>
      <c r="EV166" s="181">
        <f>IFERROR(VLOOKUP(I166,CEI_062018!$A$1:$U$489,9,FALSE),0)</f>
        <v>0</v>
      </c>
      <c r="EW166" s="181">
        <f>IFERROR(VLOOKUP(I166,CEI_072018!$A$1:$U$489,9,FALSE),0)</f>
        <v>0</v>
      </c>
      <c r="EX166" s="181">
        <f>IFERROR(VLOOKUP(I166,CEI_082018!$A$1:$U$489,9,FALSE),0)</f>
        <v>146.51003949344158</v>
      </c>
      <c r="EY166" s="181">
        <f>IFERROR(VLOOKUP(I166,CEI_092018!$A$1:$U$489,9,FALSE),0)</f>
        <v>148.74561949074268</v>
      </c>
      <c r="EZ166" s="181"/>
      <c r="FA166" s="181"/>
      <c r="FB166" s="181"/>
      <c r="FC166" s="181">
        <f>IFERROR(VLOOKUP(I166,CEI_092018!$A$1:$U$489,12,FALSE),0)</f>
        <v>0</v>
      </c>
      <c r="FD166" s="181">
        <f t="shared" si="94"/>
        <v>0</v>
      </c>
      <c r="FE166" s="181">
        <f t="shared" si="95"/>
        <v>710</v>
      </c>
      <c r="FF166"/>
      <c r="FG166"/>
      <c r="FH166"/>
      <c r="FI166"/>
      <c r="FJ166"/>
      <c r="FK166"/>
      <c r="FL166"/>
      <c r="FM166"/>
      <c r="FN166"/>
      <c r="FO166"/>
      <c r="FP166"/>
      <c r="FQ166"/>
      <c r="FR166"/>
      <c r="FS166"/>
      <c r="FT166"/>
      <c r="FU166"/>
      <c r="FV166"/>
      <c r="FW166"/>
      <c r="FX166"/>
      <c r="FY166"/>
      <c r="FZ166"/>
      <c r="GA166"/>
      <c r="GB166"/>
      <c r="GC166"/>
    </row>
    <row r="167" spans="1:185" ht="12.75" customHeight="1" x14ac:dyDescent="0.25">
      <c r="A167" s="202"/>
      <c r="B167" s="22" t="s">
        <v>57</v>
      </c>
      <c r="C167" s="34" t="s">
        <v>42</v>
      </c>
      <c r="D167" s="22" t="s">
        <v>318</v>
      </c>
      <c r="E167" s="25" t="s">
        <v>1061</v>
      </c>
      <c r="F167" s="25" t="s">
        <v>318</v>
      </c>
      <c r="G167" s="25" t="s">
        <v>1061</v>
      </c>
      <c r="H167" s="22" t="s">
        <v>56</v>
      </c>
      <c r="I167" s="423" t="s">
        <v>565</v>
      </c>
      <c r="J167" s="37" t="s">
        <v>59</v>
      </c>
      <c r="K167" s="23" t="s">
        <v>736</v>
      </c>
      <c r="L167" s="23" t="s">
        <v>737</v>
      </c>
      <c r="M167" s="23" t="s">
        <v>738</v>
      </c>
      <c r="N167" s="23" t="s">
        <v>1864</v>
      </c>
      <c r="O167" s="2">
        <v>0</v>
      </c>
      <c r="P167" s="2">
        <v>0</v>
      </c>
      <c r="Q167" s="2">
        <v>0</v>
      </c>
      <c r="R167" s="2">
        <v>0</v>
      </c>
      <c r="S167" s="2">
        <v>0</v>
      </c>
      <c r="T167" s="116">
        <f t="shared" si="82"/>
        <v>0</v>
      </c>
      <c r="U167" s="324">
        <v>0</v>
      </c>
      <c r="V167" s="324">
        <v>0</v>
      </c>
      <c r="W167" s="324">
        <v>0</v>
      </c>
      <c r="X167" s="324">
        <v>0</v>
      </c>
      <c r="Y167" s="324">
        <v>0</v>
      </c>
      <c r="Z167" s="324">
        <v>50</v>
      </c>
      <c r="AA167" s="324">
        <v>0</v>
      </c>
      <c r="AB167" s="324">
        <v>0</v>
      </c>
      <c r="AC167" s="324">
        <v>0</v>
      </c>
      <c r="AD167" s="324">
        <v>0</v>
      </c>
      <c r="AE167" s="324">
        <v>0</v>
      </c>
      <c r="AF167" s="324">
        <v>0</v>
      </c>
      <c r="AG167" s="140">
        <f t="shared" si="83"/>
        <v>50</v>
      </c>
      <c r="AH167" s="324">
        <v>0</v>
      </c>
      <c r="AI167" s="324">
        <v>0</v>
      </c>
      <c r="AJ167" s="324">
        <v>0</v>
      </c>
      <c r="AK167" s="324">
        <v>0</v>
      </c>
      <c r="AL167" s="324">
        <v>0</v>
      </c>
      <c r="AM167" s="324">
        <v>0</v>
      </c>
      <c r="AN167" s="324">
        <v>0</v>
      </c>
      <c r="AO167" s="324">
        <v>0</v>
      </c>
      <c r="AP167" s="324">
        <v>0</v>
      </c>
      <c r="AQ167" s="324">
        <v>176</v>
      </c>
      <c r="AR167" s="324">
        <v>0</v>
      </c>
      <c r="AS167" s="324">
        <v>0</v>
      </c>
      <c r="AT167" s="140">
        <f t="shared" si="84"/>
        <v>176</v>
      </c>
      <c r="AU167" s="324">
        <v>0</v>
      </c>
      <c r="AV167" s="324">
        <v>0</v>
      </c>
      <c r="AW167" s="324">
        <v>0</v>
      </c>
      <c r="AX167" s="324">
        <v>0</v>
      </c>
      <c r="AY167" s="324">
        <v>0</v>
      </c>
      <c r="AZ167" s="324">
        <v>0</v>
      </c>
      <c r="BA167" s="324">
        <v>0</v>
      </c>
      <c r="BB167" s="324">
        <v>0</v>
      </c>
      <c r="BC167" s="324">
        <v>0</v>
      </c>
      <c r="BD167" s="324">
        <v>0</v>
      </c>
      <c r="BE167" s="324">
        <v>269.59800000000001</v>
      </c>
      <c r="BF167" s="324">
        <v>0</v>
      </c>
      <c r="BG167" s="140">
        <f t="shared" si="85"/>
        <v>269.59800000000001</v>
      </c>
      <c r="BH167" s="324">
        <v>0</v>
      </c>
      <c r="BI167" s="324">
        <v>0</v>
      </c>
      <c r="BJ167" s="324">
        <v>0</v>
      </c>
      <c r="BK167" s="324">
        <v>0</v>
      </c>
      <c r="BL167" s="324">
        <v>0</v>
      </c>
      <c r="BM167" s="324">
        <v>0</v>
      </c>
      <c r="BN167" s="324">
        <v>0</v>
      </c>
      <c r="BO167" s="324">
        <v>0</v>
      </c>
      <c r="BP167" s="324">
        <v>0</v>
      </c>
      <c r="BQ167" s="324">
        <v>0</v>
      </c>
      <c r="BR167" s="324">
        <v>0</v>
      </c>
      <c r="BS167" s="324">
        <v>261.09899999999999</v>
      </c>
      <c r="BT167" s="140">
        <f t="shared" si="86"/>
        <v>261.09899999999999</v>
      </c>
      <c r="BU167" s="114">
        <f t="shared" si="87"/>
        <v>756.697</v>
      </c>
      <c r="BV167" s="432"/>
      <c r="BW167" s="432"/>
      <c r="BX167" s="432"/>
      <c r="BY167" s="432"/>
      <c r="BZ167" s="433"/>
      <c r="CA167" s="434"/>
      <c r="CB167" s="7" t="s">
        <v>1681</v>
      </c>
      <c r="CC167" s="3">
        <v>0</v>
      </c>
      <c r="CD167" s="3">
        <v>0</v>
      </c>
      <c r="CE167" s="3">
        <v>0</v>
      </c>
      <c r="CF167" s="3">
        <v>0</v>
      </c>
      <c r="CG167" s="3">
        <v>0</v>
      </c>
      <c r="CH167" s="3">
        <v>0</v>
      </c>
      <c r="CI167" s="3">
        <v>0</v>
      </c>
      <c r="CJ167" s="3">
        <v>0</v>
      </c>
      <c r="CK167" s="3">
        <v>0</v>
      </c>
      <c r="CL167" s="3">
        <v>0</v>
      </c>
      <c r="CM167" s="3">
        <v>0</v>
      </c>
      <c r="CN167" s="3">
        <v>0</v>
      </c>
      <c r="CO167" s="4">
        <f t="shared" si="97"/>
        <v>0</v>
      </c>
      <c r="CP167" s="3">
        <v>0</v>
      </c>
      <c r="CQ167" s="3">
        <v>0</v>
      </c>
      <c r="CR167" s="3">
        <v>0</v>
      </c>
      <c r="CS167" s="3">
        <v>0</v>
      </c>
      <c r="CT167" s="3">
        <v>0</v>
      </c>
      <c r="CU167" s="3">
        <v>7.0652173913043477</v>
      </c>
      <c r="CV167" s="3">
        <v>0</v>
      </c>
      <c r="CW167" s="3">
        <v>0</v>
      </c>
      <c r="CX167" s="3">
        <v>0</v>
      </c>
      <c r="CY167" s="3">
        <v>0</v>
      </c>
      <c r="CZ167" s="3">
        <v>0</v>
      </c>
      <c r="DA167" s="3">
        <v>0</v>
      </c>
      <c r="DB167" s="4">
        <f t="shared" si="98"/>
        <v>7.0652173913043477</v>
      </c>
      <c r="DC167" s="3">
        <v>0</v>
      </c>
      <c r="DD167" s="3">
        <v>0</v>
      </c>
      <c r="DE167" s="3">
        <v>0</v>
      </c>
      <c r="DF167" s="3">
        <v>0</v>
      </c>
      <c r="DG167" s="3">
        <v>0</v>
      </c>
      <c r="DH167" s="3">
        <v>0</v>
      </c>
      <c r="DI167" s="3">
        <v>0</v>
      </c>
      <c r="DJ167" s="3">
        <v>0</v>
      </c>
      <c r="DK167" s="3">
        <v>0</v>
      </c>
      <c r="DL167" s="3">
        <v>24.869565217391305</v>
      </c>
      <c r="DM167" s="3">
        <v>0</v>
      </c>
      <c r="DN167" s="3">
        <v>0</v>
      </c>
      <c r="DO167" s="4">
        <f t="shared" si="99"/>
        <v>24.869565217391305</v>
      </c>
      <c r="DP167" s="3">
        <v>0</v>
      </c>
      <c r="DQ167" s="3">
        <v>0</v>
      </c>
      <c r="DR167" s="3">
        <v>0</v>
      </c>
      <c r="DS167" s="3">
        <v>0</v>
      </c>
      <c r="DT167" s="3">
        <v>0</v>
      </c>
      <c r="DU167" s="3">
        <v>0</v>
      </c>
      <c r="DV167" s="3">
        <v>0</v>
      </c>
      <c r="DW167" s="3">
        <v>0</v>
      </c>
      <c r="DX167" s="3">
        <v>0</v>
      </c>
      <c r="DY167" s="3">
        <v>0</v>
      </c>
      <c r="DZ167" s="3">
        <v>7</v>
      </c>
      <c r="EA167" s="3">
        <v>0</v>
      </c>
      <c r="EB167" s="4">
        <f t="shared" si="100"/>
        <v>7</v>
      </c>
      <c r="EC167" s="3">
        <v>0</v>
      </c>
      <c r="ED167" s="3">
        <v>0</v>
      </c>
      <c r="EE167" s="3">
        <v>0</v>
      </c>
      <c r="EF167" s="3">
        <v>0</v>
      </c>
      <c r="EG167" s="3">
        <v>0</v>
      </c>
      <c r="EH167" s="3">
        <v>0</v>
      </c>
      <c r="EI167" s="3">
        <v>0</v>
      </c>
      <c r="EJ167" s="3">
        <v>0</v>
      </c>
      <c r="EK167" s="3">
        <v>0</v>
      </c>
      <c r="EL167" s="3">
        <v>0</v>
      </c>
      <c r="EM167" s="3">
        <v>0</v>
      </c>
      <c r="EN167" s="3">
        <v>4.804347826086957</v>
      </c>
      <c r="EO167" s="4">
        <f t="shared" si="101"/>
        <v>4.804347826086957</v>
      </c>
      <c r="EP167" s="8">
        <f t="shared" si="102"/>
        <v>43.739130434782609</v>
      </c>
      <c r="EQ167" s="181">
        <f>IFERROR(VLOOKUP(I167,CEI_012018!$A$1:$U$509,9,FALSE),0)</f>
        <v>0</v>
      </c>
      <c r="ER167" s="181">
        <f>IFERROR(VLOOKUP(I167,CEI_022018!$A$1:$U$509,9,FALSE),0)</f>
        <v>0</v>
      </c>
      <c r="ES167" s="181">
        <f>IFERROR(VLOOKUP(I167,CEI_032018!$A$1:$U$509,9,FALSE),0)</f>
        <v>0</v>
      </c>
      <c r="ET167" s="181">
        <f>IFERROR(VLOOKUP(I167,CEI_042018!$A$1:$U$491,9,FALSE),0)</f>
        <v>0</v>
      </c>
      <c r="EU167" s="181">
        <f>IFERROR(VLOOKUP(I167,CEI_052018!$A$1:$U$489,9,FALSE),0)</f>
        <v>0</v>
      </c>
      <c r="EV167" s="181">
        <f>IFERROR(VLOOKUP(I167,CEI_062018!$A$1:$U$489,9,FALSE),0)</f>
        <v>0</v>
      </c>
      <c r="EW167" s="181">
        <f>IFERROR(VLOOKUP(I167,CEI_072018!$A$1:$U$489,9,FALSE),0)</f>
        <v>0</v>
      </c>
      <c r="EX167" s="181">
        <f>IFERROR(VLOOKUP(I167,CEI_082018!$A$1:$U$489,9,FALSE),0)</f>
        <v>0</v>
      </c>
      <c r="EY167" s="181">
        <f>IFERROR(VLOOKUP(I167,CEI_092018!$A$1:$U$489,9,FALSE),0)</f>
        <v>0</v>
      </c>
      <c r="EZ167" s="181"/>
      <c r="FA167" s="181"/>
      <c r="FB167" s="181"/>
      <c r="FC167" s="181">
        <f>IFERROR(VLOOKUP(I167,CEI_092018!$A$1:$U$489,12,FALSE),0)</f>
        <v>0</v>
      </c>
      <c r="FD167" s="181">
        <f t="shared" si="94"/>
        <v>0</v>
      </c>
      <c r="FE167" s="181">
        <f t="shared" si="95"/>
        <v>0</v>
      </c>
      <c r="FF167"/>
      <c r="FG167"/>
      <c r="FH167"/>
      <c r="FI167"/>
      <c r="FJ167"/>
      <c r="FK167"/>
      <c r="FL167"/>
      <c r="FM167"/>
      <c r="FN167"/>
      <c r="FO167"/>
      <c r="FP167"/>
      <c r="FQ167"/>
      <c r="FR167"/>
      <c r="FS167"/>
      <c r="FT167"/>
      <c r="FU167"/>
      <c r="FV167"/>
      <c r="FW167"/>
      <c r="FX167"/>
      <c r="FY167"/>
      <c r="FZ167"/>
      <c r="GA167"/>
      <c r="GB167"/>
      <c r="GC167"/>
    </row>
    <row r="168" spans="1:185" ht="12.75" customHeight="1" x14ac:dyDescent="0.25">
      <c r="A168" s="202"/>
      <c r="B168" s="22" t="s">
        <v>57</v>
      </c>
      <c r="C168" s="34" t="s">
        <v>42</v>
      </c>
      <c r="D168" s="22" t="s">
        <v>318</v>
      </c>
      <c r="E168" s="25" t="s">
        <v>1061</v>
      </c>
      <c r="F168" s="25" t="s">
        <v>318</v>
      </c>
      <c r="G168" s="25" t="s">
        <v>1061</v>
      </c>
      <c r="H168" s="22" t="s">
        <v>56</v>
      </c>
      <c r="I168" s="423" t="s">
        <v>565</v>
      </c>
      <c r="J168" s="37" t="s">
        <v>59</v>
      </c>
      <c r="K168" s="23" t="s">
        <v>739</v>
      </c>
      <c r="L168" s="23" t="s">
        <v>740</v>
      </c>
      <c r="M168" s="23" t="s">
        <v>726</v>
      </c>
      <c r="N168" s="23" t="s">
        <v>1872</v>
      </c>
      <c r="O168" s="2">
        <v>0</v>
      </c>
      <c r="P168" s="2">
        <v>0</v>
      </c>
      <c r="Q168" s="2">
        <v>0</v>
      </c>
      <c r="R168" s="2">
        <v>0</v>
      </c>
      <c r="S168" s="2">
        <v>0</v>
      </c>
      <c r="T168" s="116">
        <f t="shared" si="82"/>
        <v>0</v>
      </c>
      <c r="U168" s="324">
        <v>0</v>
      </c>
      <c r="V168" s="324">
        <v>0</v>
      </c>
      <c r="W168" s="324">
        <v>0</v>
      </c>
      <c r="X168" s="324">
        <v>0</v>
      </c>
      <c r="Y168" s="324">
        <v>0</v>
      </c>
      <c r="Z168" s="324">
        <v>100</v>
      </c>
      <c r="AA168" s="324">
        <v>0</v>
      </c>
      <c r="AB168" s="324">
        <v>0</v>
      </c>
      <c r="AC168" s="324">
        <v>0</v>
      </c>
      <c r="AD168" s="324">
        <v>0</v>
      </c>
      <c r="AE168" s="324">
        <v>0</v>
      </c>
      <c r="AF168" s="324">
        <v>0</v>
      </c>
      <c r="AG168" s="140">
        <f t="shared" si="83"/>
        <v>100</v>
      </c>
      <c r="AH168" s="324">
        <v>0</v>
      </c>
      <c r="AI168" s="324">
        <v>0</v>
      </c>
      <c r="AJ168" s="324">
        <v>0</v>
      </c>
      <c r="AK168" s="324">
        <v>0</v>
      </c>
      <c r="AL168" s="324">
        <v>0</v>
      </c>
      <c r="AM168" s="324">
        <v>0</v>
      </c>
      <c r="AN168" s="324">
        <v>0</v>
      </c>
      <c r="AO168" s="324">
        <v>0</v>
      </c>
      <c r="AP168" s="324">
        <v>288</v>
      </c>
      <c r="AQ168" s="324">
        <v>0</v>
      </c>
      <c r="AR168" s="324">
        <v>0</v>
      </c>
      <c r="AS168" s="324">
        <v>0</v>
      </c>
      <c r="AT168" s="140">
        <f t="shared" si="84"/>
        <v>288</v>
      </c>
      <c r="AU168" s="324">
        <v>0</v>
      </c>
      <c r="AV168" s="324">
        <v>0</v>
      </c>
      <c r="AW168" s="324">
        <v>0</v>
      </c>
      <c r="AX168" s="324">
        <v>0</v>
      </c>
      <c r="AY168" s="324">
        <v>0</v>
      </c>
      <c r="AZ168" s="324">
        <v>0</v>
      </c>
      <c r="BA168" s="324">
        <v>0</v>
      </c>
      <c r="BB168" s="324">
        <v>0</v>
      </c>
      <c r="BC168" s="324">
        <v>0</v>
      </c>
      <c r="BD168" s="324">
        <v>0</v>
      </c>
      <c r="BE168" s="324">
        <v>224.029</v>
      </c>
      <c r="BF168" s="324">
        <v>0</v>
      </c>
      <c r="BG168" s="140">
        <f t="shared" si="85"/>
        <v>224.029</v>
      </c>
      <c r="BH168" s="324">
        <v>0</v>
      </c>
      <c r="BI168" s="324">
        <v>0</v>
      </c>
      <c r="BJ168" s="324">
        <v>0</v>
      </c>
      <c r="BK168" s="324">
        <v>0</v>
      </c>
      <c r="BL168" s="324">
        <v>0</v>
      </c>
      <c r="BM168" s="324">
        <v>0</v>
      </c>
      <c r="BN168" s="324">
        <v>0</v>
      </c>
      <c r="BO168" s="324">
        <v>0</v>
      </c>
      <c r="BP168" s="324">
        <v>0</v>
      </c>
      <c r="BQ168" s="324">
        <v>0</v>
      </c>
      <c r="BR168" s="324">
        <v>0</v>
      </c>
      <c r="BS168" s="324">
        <v>85.27</v>
      </c>
      <c r="BT168" s="140">
        <f t="shared" si="86"/>
        <v>85.27</v>
      </c>
      <c r="BU168" s="114">
        <f t="shared" si="87"/>
        <v>697.29899999999998</v>
      </c>
      <c r="BV168" s="432"/>
      <c r="BW168" s="432"/>
      <c r="BX168" s="432"/>
      <c r="BY168" s="432"/>
      <c r="BZ168" s="433"/>
      <c r="CA168" s="434"/>
      <c r="CB168" s="7" t="s">
        <v>1681</v>
      </c>
      <c r="CC168" s="3">
        <v>0</v>
      </c>
      <c r="CD168" s="3">
        <v>0</v>
      </c>
      <c r="CE168" s="3">
        <v>0</v>
      </c>
      <c r="CF168" s="3">
        <v>0</v>
      </c>
      <c r="CG168" s="3">
        <v>0</v>
      </c>
      <c r="CH168" s="3">
        <v>0</v>
      </c>
      <c r="CI168" s="3">
        <v>0</v>
      </c>
      <c r="CJ168" s="3">
        <v>0</v>
      </c>
      <c r="CK168" s="3">
        <v>0</v>
      </c>
      <c r="CL168" s="3">
        <v>0</v>
      </c>
      <c r="CM168" s="3">
        <v>0</v>
      </c>
      <c r="CN168" s="3">
        <v>0</v>
      </c>
      <c r="CO168" s="4">
        <f t="shared" si="97"/>
        <v>0</v>
      </c>
      <c r="CP168" s="3">
        <v>0</v>
      </c>
      <c r="CQ168" s="3">
        <v>0</v>
      </c>
      <c r="CR168" s="3">
        <v>0</v>
      </c>
      <c r="CS168" s="3">
        <v>0</v>
      </c>
      <c r="CT168" s="3">
        <v>0</v>
      </c>
      <c r="CU168" s="3">
        <v>1</v>
      </c>
      <c r="CV168" s="3">
        <v>0</v>
      </c>
      <c r="CW168" s="3">
        <v>0</v>
      </c>
      <c r="CX168" s="3">
        <v>0</v>
      </c>
      <c r="CY168" s="3">
        <v>0</v>
      </c>
      <c r="CZ168" s="3">
        <v>0</v>
      </c>
      <c r="DA168" s="3">
        <v>0</v>
      </c>
      <c r="DB168" s="4">
        <f t="shared" si="98"/>
        <v>1</v>
      </c>
      <c r="DC168" s="3">
        <v>0</v>
      </c>
      <c r="DD168" s="3">
        <v>0</v>
      </c>
      <c r="DE168" s="3">
        <v>0</v>
      </c>
      <c r="DF168" s="3">
        <v>0</v>
      </c>
      <c r="DG168" s="3">
        <v>0</v>
      </c>
      <c r="DH168" s="3">
        <v>0</v>
      </c>
      <c r="DI168" s="3">
        <v>0</v>
      </c>
      <c r="DJ168" s="3">
        <v>0</v>
      </c>
      <c r="DK168" s="3">
        <v>3</v>
      </c>
      <c r="DL168" s="3">
        <v>0</v>
      </c>
      <c r="DM168" s="3">
        <v>0</v>
      </c>
      <c r="DN168" s="3">
        <v>0</v>
      </c>
      <c r="DO168" s="4">
        <f t="shared" si="99"/>
        <v>3</v>
      </c>
      <c r="DP168" s="3">
        <v>0</v>
      </c>
      <c r="DQ168" s="3">
        <v>0</v>
      </c>
      <c r="DR168" s="3">
        <v>0</v>
      </c>
      <c r="DS168" s="3">
        <v>0</v>
      </c>
      <c r="DT168" s="3">
        <v>0</v>
      </c>
      <c r="DU168" s="3">
        <v>0</v>
      </c>
      <c r="DV168" s="3">
        <v>0</v>
      </c>
      <c r="DW168" s="3">
        <v>0</v>
      </c>
      <c r="DX168" s="3">
        <v>0</v>
      </c>
      <c r="DY168" s="3">
        <v>0</v>
      </c>
      <c r="DZ168" s="3">
        <v>2</v>
      </c>
      <c r="EA168" s="3">
        <v>0</v>
      </c>
      <c r="EB168" s="4">
        <f t="shared" si="100"/>
        <v>2</v>
      </c>
      <c r="EC168" s="3">
        <v>0</v>
      </c>
      <c r="ED168" s="3">
        <v>0</v>
      </c>
      <c r="EE168" s="3">
        <v>0</v>
      </c>
      <c r="EF168" s="3">
        <v>0</v>
      </c>
      <c r="EG168" s="3">
        <v>0</v>
      </c>
      <c r="EH168" s="3">
        <v>0</v>
      </c>
      <c r="EI168" s="3">
        <v>0</v>
      </c>
      <c r="EJ168" s="3">
        <v>0</v>
      </c>
      <c r="EK168" s="3">
        <v>0</v>
      </c>
      <c r="EL168" s="3">
        <v>0</v>
      </c>
      <c r="EM168" s="3">
        <v>0</v>
      </c>
      <c r="EN168" s="3">
        <v>1</v>
      </c>
      <c r="EO168" s="4">
        <f t="shared" si="101"/>
        <v>1</v>
      </c>
      <c r="EP168" s="8">
        <f t="shared" si="102"/>
        <v>7</v>
      </c>
      <c r="EQ168" s="181">
        <f>IFERROR(VLOOKUP(I168,CEI_012018!$A$1:$U$509,9,FALSE),0)</f>
        <v>0</v>
      </c>
      <c r="ER168" s="181">
        <f>IFERROR(VLOOKUP(I168,CEI_022018!$A$1:$U$509,9,FALSE),0)</f>
        <v>0</v>
      </c>
      <c r="ES168" s="181">
        <f>IFERROR(VLOOKUP(I168,CEI_032018!$A$1:$U$509,9,FALSE),0)</f>
        <v>0</v>
      </c>
      <c r="ET168" s="181">
        <f>IFERROR(VLOOKUP(I168,CEI_042018!$A$1:$U$491,9,FALSE),0)</f>
        <v>0</v>
      </c>
      <c r="EU168" s="181">
        <f>IFERROR(VLOOKUP(I168,CEI_052018!$A$1:$U$489,9,FALSE),0)</f>
        <v>0</v>
      </c>
      <c r="EV168" s="181">
        <f>IFERROR(VLOOKUP(I168,CEI_062018!$A$1:$U$489,9,FALSE),0)</f>
        <v>0</v>
      </c>
      <c r="EW168" s="181">
        <f>IFERROR(VLOOKUP(I168,CEI_072018!$A$1:$U$489,9,FALSE),0)</f>
        <v>0</v>
      </c>
      <c r="EX168" s="181">
        <f>IFERROR(VLOOKUP(I168,CEI_082018!$A$1:$U$489,9,FALSE),0)</f>
        <v>0</v>
      </c>
      <c r="EY168" s="181">
        <f>IFERROR(VLOOKUP(I168,CEI_092018!$A$1:$U$489,9,FALSE),0)</f>
        <v>0</v>
      </c>
      <c r="EZ168" s="181"/>
      <c r="FA168" s="181"/>
      <c r="FB168" s="181"/>
      <c r="FC168" s="181">
        <f>IFERROR(VLOOKUP(I168,CEI_092018!$A$1:$U$489,12,FALSE),0)</f>
        <v>0</v>
      </c>
      <c r="FD168" s="181">
        <f t="shared" si="94"/>
        <v>0</v>
      </c>
      <c r="FE168" s="181">
        <f t="shared" si="95"/>
        <v>0</v>
      </c>
      <c r="FF168"/>
      <c r="FG168"/>
      <c r="FH168"/>
      <c r="FI168"/>
      <c r="FJ168"/>
      <c r="FK168"/>
      <c r="FL168"/>
      <c r="FM168"/>
      <c r="FN168"/>
      <c r="FO168"/>
      <c r="FP168"/>
      <c r="FQ168"/>
      <c r="FR168"/>
      <c r="FS168"/>
      <c r="FT168"/>
      <c r="FU168"/>
      <c r="FV168"/>
      <c r="FW168"/>
      <c r="FX168"/>
      <c r="FY168"/>
      <c r="FZ168"/>
      <c r="GA168"/>
      <c r="GB168"/>
      <c r="GC168"/>
    </row>
    <row r="169" spans="1:185" ht="12.75" customHeight="1" x14ac:dyDescent="0.25">
      <c r="A169" s="202"/>
      <c r="B169" s="22" t="s">
        <v>57</v>
      </c>
      <c r="C169" s="34" t="s">
        <v>42</v>
      </c>
      <c r="D169" s="22" t="s">
        <v>318</v>
      </c>
      <c r="E169" s="25" t="s">
        <v>1061</v>
      </c>
      <c r="F169" s="25" t="s">
        <v>318</v>
      </c>
      <c r="G169" s="25" t="s">
        <v>1061</v>
      </c>
      <c r="H169" s="22" t="s">
        <v>56</v>
      </c>
      <c r="I169" s="423" t="s">
        <v>565</v>
      </c>
      <c r="J169" s="37" t="s">
        <v>59</v>
      </c>
      <c r="K169" s="23" t="s">
        <v>741</v>
      </c>
      <c r="L169" s="23" t="s">
        <v>742</v>
      </c>
      <c r="M169" s="23" t="s">
        <v>726</v>
      </c>
      <c r="N169" s="23" t="s">
        <v>1872</v>
      </c>
      <c r="O169" s="2">
        <v>0</v>
      </c>
      <c r="P169" s="2">
        <v>0</v>
      </c>
      <c r="Q169" s="2">
        <v>0</v>
      </c>
      <c r="R169" s="2">
        <v>0</v>
      </c>
      <c r="S169" s="2">
        <v>0</v>
      </c>
      <c r="T169" s="116">
        <f t="shared" si="82"/>
        <v>0</v>
      </c>
      <c r="U169" s="324">
        <v>0</v>
      </c>
      <c r="V169" s="324">
        <v>0</v>
      </c>
      <c r="W169" s="324">
        <v>0</v>
      </c>
      <c r="X169" s="324">
        <v>0</v>
      </c>
      <c r="Y169" s="324">
        <v>0</v>
      </c>
      <c r="Z169" s="324">
        <v>0</v>
      </c>
      <c r="AA169" s="324">
        <v>0</v>
      </c>
      <c r="AB169" s="324">
        <v>0</v>
      </c>
      <c r="AC169" s="324">
        <v>0</v>
      </c>
      <c r="AD169" s="324">
        <v>0</v>
      </c>
      <c r="AE169" s="324">
        <v>0</v>
      </c>
      <c r="AF169" s="324">
        <v>0</v>
      </c>
      <c r="AG169" s="140">
        <f t="shared" si="83"/>
        <v>0</v>
      </c>
      <c r="AH169" s="324">
        <v>0</v>
      </c>
      <c r="AI169" s="324">
        <v>0</v>
      </c>
      <c r="AJ169" s="324">
        <v>0</v>
      </c>
      <c r="AK169" s="324">
        <v>0</v>
      </c>
      <c r="AL169" s="324">
        <v>0</v>
      </c>
      <c r="AM169" s="324">
        <v>0</v>
      </c>
      <c r="AN169" s="324">
        <v>0</v>
      </c>
      <c r="AO169" s="324">
        <v>0</v>
      </c>
      <c r="AP169" s="324">
        <v>0</v>
      </c>
      <c r="AQ169" s="324">
        <v>332</v>
      </c>
      <c r="AR169" s="324">
        <v>0</v>
      </c>
      <c r="AS169" s="324">
        <v>0</v>
      </c>
      <c r="AT169" s="140">
        <f t="shared" si="84"/>
        <v>332</v>
      </c>
      <c r="AU169" s="324">
        <v>0</v>
      </c>
      <c r="AV169" s="324">
        <v>0</v>
      </c>
      <c r="AW169" s="324">
        <v>0</v>
      </c>
      <c r="AX169" s="324">
        <v>0</v>
      </c>
      <c r="AY169" s="324">
        <v>0</v>
      </c>
      <c r="AZ169" s="324">
        <v>0</v>
      </c>
      <c r="BA169" s="324">
        <v>0</v>
      </c>
      <c r="BB169" s="324">
        <v>0</v>
      </c>
      <c r="BC169" s="324">
        <v>0</v>
      </c>
      <c r="BD169" s="324">
        <v>0</v>
      </c>
      <c r="BE169" s="324">
        <v>195</v>
      </c>
      <c r="BF169" s="324">
        <v>0</v>
      </c>
      <c r="BG169" s="140">
        <f t="shared" si="85"/>
        <v>195</v>
      </c>
      <c r="BH169" s="324">
        <v>0</v>
      </c>
      <c r="BI169" s="324">
        <v>0</v>
      </c>
      <c r="BJ169" s="324">
        <v>0</v>
      </c>
      <c r="BK169" s="324">
        <v>0</v>
      </c>
      <c r="BL169" s="324">
        <v>0</v>
      </c>
      <c r="BM169" s="324">
        <v>0</v>
      </c>
      <c r="BN169" s="324">
        <v>0</v>
      </c>
      <c r="BO169" s="324">
        <v>0</v>
      </c>
      <c r="BP169" s="324">
        <v>0</v>
      </c>
      <c r="BQ169" s="324">
        <v>0</v>
      </c>
      <c r="BR169" s="324">
        <v>0</v>
      </c>
      <c r="BS169" s="324">
        <v>65.078000000000003</v>
      </c>
      <c r="BT169" s="140">
        <f t="shared" si="86"/>
        <v>65.078000000000003</v>
      </c>
      <c r="BU169" s="114">
        <f t="shared" si="87"/>
        <v>592.07799999999997</v>
      </c>
      <c r="BV169" s="432"/>
      <c r="BW169" s="432"/>
      <c r="BX169" s="432"/>
      <c r="BY169" s="432"/>
      <c r="BZ169" s="433"/>
      <c r="CA169" s="434"/>
      <c r="CB169" s="7" t="s">
        <v>1681</v>
      </c>
      <c r="CC169" s="3">
        <v>0</v>
      </c>
      <c r="CD169" s="3">
        <v>0</v>
      </c>
      <c r="CE169" s="3">
        <v>0</v>
      </c>
      <c r="CF169" s="3">
        <v>0</v>
      </c>
      <c r="CG169" s="3">
        <v>0</v>
      </c>
      <c r="CH169" s="3">
        <v>0</v>
      </c>
      <c r="CI169" s="3">
        <v>0</v>
      </c>
      <c r="CJ169" s="3">
        <v>0</v>
      </c>
      <c r="CK169" s="3">
        <v>0</v>
      </c>
      <c r="CL169" s="3">
        <v>0</v>
      </c>
      <c r="CM169" s="3">
        <v>0</v>
      </c>
      <c r="CN169" s="3">
        <v>0</v>
      </c>
      <c r="CO169" s="4">
        <f t="shared" si="97"/>
        <v>0</v>
      </c>
      <c r="CP169" s="3">
        <v>0</v>
      </c>
      <c r="CQ169" s="3">
        <v>0</v>
      </c>
      <c r="CR169" s="3">
        <v>0</v>
      </c>
      <c r="CS169" s="3">
        <v>0</v>
      </c>
      <c r="CT169" s="3">
        <v>0</v>
      </c>
      <c r="CU169" s="3">
        <v>0</v>
      </c>
      <c r="CV169" s="3">
        <v>0</v>
      </c>
      <c r="CW169" s="3">
        <v>0</v>
      </c>
      <c r="CX169" s="3">
        <v>0</v>
      </c>
      <c r="CY169" s="3">
        <v>0</v>
      </c>
      <c r="CZ169" s="3">
        <v>0</v>
      </c>
      <c r="DA169" s="3">
        <v>0</v>
      </c>
      <c r="DB169" s="4">
        <f t="shared" si="98"/>
        <v>0</v>
      </c>
      <c r="DC169" s="3">
        <v>0</v>
      </c>
      <c r="DD169" s="3">
        <v>0</v>
      </c>
      <c r="DE169" s="3">
        <v>0</v>
      </c>
      <c r="DF169" s="3">
        <v>0</v>
      </c>
      <c r="DG169" s="3">
        <v>0</v>
      </c>
      <c r="DH169" s="3">
        <v>0</v>
      </c>
      <c r="DI169" s="3">
        <v>0</v>
      </c>
      <c r="DJ169" s="3">
        <v>0</v>
      </c>
      <c r="DK169" s="3">
        <v>0</v>
      </c>
      <c r="DL169" s="3">
        <v>3</v>
      </c>
      <c r="DM169" s="3">
        <v>0</v>
      </c>
      <c r="DN169" s="3">
        <v>0</v>
      </c>
      <c r="DO169" s="4">
        <f t="shared" si="99"/>
        <v>3</v>
      </c>
      <c r="DP169" s="3">
        <v>0</v>
      </c>
      <c r="DQ169" s="3">
        <v>0</v>
      </c>
      <c r="DR169" s="3">
        <v>0</v>
      </c>
      <c r="DS169" s="3">
        <v>0</v>
      </c>
      <c r="DT169" s="3">
        <v>0</v>
      </c>
      <c r="DU169" s="3">
        <v>0</v>
      </c>
      <c r="DV169" s="3">
        <v>0</v>
      </c>
      <c r="DW169" s="3">
        <v>0</v>
      </c>
      <c r="DX169" s="3">
        <v>0</v>
      </c>
      <c r="DY169" s="3">
        <v>0</v>
      </c>
      <c r="DZ169" s="3">
        <v>2</v>
      </c>
      <c r="EA169" s="3">
        <v>0</v>
      </c>
      <c r="EB169" s="4">
        <f t="shared" si="100"/>
        <v>2</v>
      </c>
      <c r="EC169" s="3">
        <v>0</v>
      </c>
      <c r="ED169" s="3">
        <v>0</v>
      </c>
      <c r="EE169" s="3">
        <v>0</v>
      </c>
      <c r="EF169" s="3">
        <v>0</v>
      </c>
      <c r="EG169" s="3">
        <v>0</v>
      </c>
      <c r="EH169" s="3">
        <v>0</v>
      </c>
      <c r="EI169" s="3">
        <v>0</v>
      </c>
      <c r="EJ169" s="3">
        <v>0</v>
      </c>
      <c r="EK169" s="3">
        <v>0</v>
      </c>
      <c r="EL169" s="3">
        <v>0</v>
      </c>
      <c r="EM169" s="3">
        <v>0</v>
      </c>
      <c r="EN169" s="3">
        <v>1</v>
      </c>
      <c r="EO169" s="4">
        <f t="shared" si="101"/>
        <v>1</v>
      </c>
      <c r="EP169" s="8">
        <f t="shared" si="102"/>
        <v>6</v>
      </c>
      <c r="EQ169" s="181">
        <f>IFERROR(VLOOKUP(I169,CEI_012018!$A$1:$U$509,9,FALSE),0)</f>
        <v>0</v>
      </c>
      <c r="ER169" s="181">
        <f>IFERROR(VLOOKUP(I169,CEI_022018!$A$1:$U$509,9,FALSE),0)</f>
        <v>0</v>
      </c>
      <c r="ES169" s="181">
        <f>IFERROR(VLOOKUP(I169,CEI_032018!$A$1:$U$509,9,FALSE),0)</f>
        <v>0</v>
      </c>
      <c r="ET169" s="181">
        <f>IFERROR(VLOOKUP(I169,CEI_042018!$A$1:$U$491,9,FALSE),0)</f>
        <v>0</v>
      </c>
      <c r="EU169" s="181">
        <f>IFERROR(VLOOKUP(I169,CEI_052018!$A$1:$U$489,9,FALSE),0)</f>
        <v>0</v>
      </c>
      <c r="EV169" s="181">
        <f>IFERROR(VLOOKUP(I169,CEI_062018!$A$1:$U$489,9,FALSE),0)</f>
        <v>0</v>
      </c>
      <c r="EW169" s="181">
        <f>IFERROR(VLOOKUP(I169,CEI_072018!$A$1:$U$489,9,FALSE),0)</f>
        <v>0</v>
      </c>
      <c r="EX169" s="181">
        <f>IFERROR(VLOOKUP(I169,CEI_082018!$A$1:$U$489,9,FALSE),0)</f>
        <v>0</v>
      </c>
      <c r="EY169" s="181">
        <f>IFERROR(VLOOKUP(I169,CEI_092018!$A$1:$U$489,9,FALSE),0)</f>
        <v>0</v>
      </c>
      <c r="EZ169" s="181"/>
      <c r="FA169" s="181"/>
      <c r="FB169" s="181"/>
      <c r="FC169" s="181">
        <f>IFERROR(VLOOKUP(I169,CEI_092018!$A$1:$U$489,12,FALSE),0)</f>
        <v>0</v>
      </c>
      <c r="FD169" s="181">
        <f t="shared" si="94"/>
        <v>0</v>
      </c>
      <c r="FE169" s="181">
        <f t="shared" si="95"/>
        <v>0</v>
      </c>
      <c r="FF169"/>
      <c r="FG169"/>
      <c r="FH169"/>
      <c r="FI169"/>
      <c r="FJ169"/>
      <c r="FK169"/>
      <c r="FL169"/>
      <c r="FM169"/>
      <c r="FN169"/>
      <c r="FO169"/>
      <c r="FP169"/>
      <c r="FQ169"/>
      <c r="FR169"/>
      <c r="FS169"/>
      <c r="FT169"/>
      <c r="FU169"/>
      <c r="FV169"/>
      <c r="FW169"/>
      <c r="FX169"/>
      <c r="FY169"/>
      <c r="FZ169"/>
      <c r="GA169"/>
      <c r="GB169"/>
      <c r="GC169"/>
    </row>
    <row r="170" spans="1:185" ht="12.75" customHeight="1" x14ac:dyDescent="0.25">
      <c r="A170" s="202"/>
      <c r="B170" s="22" t="s">
        <v>57</v>
      </c>
      <c r="C170" s="34" t="s">
        <v>42</v>
      </c>
      <c r="D170" s="22" t="s">
        <v>318</v>
      </c>
      <c r="E170" s="25" t="s">
        <v>1061</v>
      </c>
      <c r="F170" s="25" t="s">
        <v>318</v>
      </c>
      <c r="G170" s="25" t="s">
        <v>1061</v>
      </c>
      <c r="H170" s="22" t="s">
        <v>56</v>
      </c>
      <c r="I170" s="423" t="s">
        <v>565</v>
      </c>
      <c r="J170" s="37" t="s">
        <v>59</v>
      </c>
      <c r="K170" s="23" t="s">
        <v>718</v>
      </c>
      <c r="L170" s="23" t="s">
        <v>719</v>
      </c>
      <c r="M170" s="23" t="s">
        <v>720</v>
      </c>
      <c r="N170" s="23" t="s">
        <v>1876</v>
      </c>
      <c r="O170" s="2">
        <v>0</v>
      </c>
      <c r="P170" s="2">
        <v>0</v>
      </c>
      <c r="Q170" s="2">
        <v>0</v>
      </c>
      <c r="R170" s="2">
        <v>0</v>
      </c>
      <c r="S170" s="2">
        <v>0</v>
      </c>
      <c r="T170" s="116">
        <f t="shared" si="82"/>
        <v>0</v>
      </c>
      <c r="U170" s="324">
        <v>0</v>
      </c>
      <c r="V170" s="324">
        <v>0</v>
      </c>
      <c r="W170" s="324">
        <v>0</v>
      </c>
      <c r="X170" s="324">
        <v>0</v>
      </c>
      <c r="Y170" s="324">
        <v>0</v>
      </c>
      <c r="Z170" s="324">
        <v>0</v>
      </c>
      <c r="AA170" s="324">
        <v>0</v>
      </c>
      <c r="AB170" s="324">
        <v>0</v>
      </c>
      <c r="AC170" s="324">
        <v>0</v>
      </c>
      <c r="AD170" s="324">
        <v>0</v>
      </c>
      <c r="AE170" s="324">
        <v>0</v>
      </c>
      <c r="AF170" s="324">
        <v>124</v>
      </c>
      <c r="AG170" s="140">
        <f t="shared" si="83"/>
        <v>124</v>
      </c>
      <c r="AH170" s="324">
        <v>0</v>
      </c>
      <c r="AI170" s="324">
        <v>0</v>
      </c>
      <c r="AJ170" s="324">
        <v>0</v>
      </c>
      <c r="AK170" s="324">
        <v>0</v>
      </c>
      <c r="AL170" s="324">
        <v>0</v>
      </c>
      <c r="AM170" s="324">
        <v>0</v>
      </c>
      <c r="AN170" s="324">
        <v>0</v>
      </c>
      <c r="AO170" s="324">
        <v>0</v>
      </c>
      <c r="AP170" s="324">
        <v>0</v>
      </c>
      <c r="AQ170" s="324">
        <v>162</v>
      </c>
      <c r="AR170" s="324">
        <v>0</v>
      </c>
      <c r="AS170" s="324">
        <v>0</v>
      </c>
      <c r="AT170" s="140">
        <f t="shared" si="84"/>
        <v>162</v>
      </c>
      <c r="AU170" s="324">
        <v>0</v>
      </c>
      <c r="AV170" s="324">
        <v>0</v>
      </c>
      <c r="AW170" s="324">
        <v>0</v>
      </c>
      <c r="AX170" s="324">
        <v>0</v>
      </c>
      <c r="AY170" s="324">
        <v>0</v>
      </c>
      <c r="AZ170" s="324">
        <v>0</v>
      </c>
      <c r="BA170" s="324">
        <v>0</v>
      </c>
      <c r="BB170" s="324">
        <v>0</v>
      </c>
      <c r="BC170" s="324">
        <v>0</v>
      </c>
      <c r="BD170" s="324">
        <v>0</v>
      </c>
      <c r="BE170" s="324">
        <v>51.96</v>
      </c>
      <c r="BF170" s="324">
        <v>0</v>
      </c>
      <c r="BG170" s="140">
        <f t="shared" si="85"/>
        <v>51.96</v>
      </c>
      <c r="BH170" s="324">
        <v>0</v>
      </c>
      <c r="BI170" s="324">
        <v>0</v>
      </c>
      <c r="BJ170" s="324">
        <v>0</v>
      </c>
      <c r="BK170" s="324">
        <v>0</v>
      </c>
      <c r="BL170" s="324">
        <v>0</v>
      </c>
      <c r="BM170" s="324">
        <v>0</v>
      </c>
      <c r="BN170" s="324">
        <v>0</v>
      </c>
      <c r="BO170" s="324">
        <v>0</v>
      </c>
      <c r="BP170" s="324">
        <v>0</v>
      </c>
      <c r="BQ170" s="324">
        <v>0</v>
      </c>
      <c r="BR170" s="324">
        <v>29.228000000000002</v>
      </c>
      <c r="BS170" s="324">
        <v>35.722999999999999</v>
      </c>
      <c r="BT170" s="140">
        <f t="shared" si="86"/>
        <v>64.950999999999993</v>
      </c>
      <c r="BU170" s="114">
        <f t="shared" si="87"/>
        <v>402.911</v>
      </c>
      <c r="BV170" s="372">
        <v>-1</v>
      </c>
      <c r="BW170" s="372">
        <v>-1</v>
      </c>
      <c r="BX170" s="372">
        <v>-1</v>
      </c>
      <c r="BY170" s="372">
        <v>-1</v>
      </c>
      <c r="BZ170" s="436">
        <f>IFERROR((EX170/T170%),0)</f>
        <v>0</v>
      </c>
      <c r="CA170" s="428">
        <f>IFERROR((FD170/T170%),0)</f>
        <v>0</v>
      </c>
      <c r="CB170" s="7" t="s">
        <v>1681</v>
      </c>
      <c r="CC170" s="3">
        <v>0</v>
      </c>
      <c r="CD170" s="3">
        <v>0</v>
      </c>
      <c r="CE170" s="3">
        <v>0</v>
      </c>
      <c r="CF170" s="3">
        <v>0</v>
      </c>
      <c r="CG170" s="3">
        <v>0</v>
      </c>
      <c r="CH170" s="3">
        <v>0</v>
      </c>
      <c r="CI170" s="3">
        <v>0</v>
      </c>
      <c r="CJ170" s="3">
        <v>0</v>
      </c>
      <c r="CK170" s="3">
        <v>0</v>
      </c>
      <c r="CL170" s="3">
        <v>0</v>
      </c>
      <c r="CM170" s="3">
        <v>7.4358974358974361</v>
      </c>
      <c r="CN170" s="3">
        <v>0</v>
      </c>
      <c r="CO170" s="4">
        <f t="shared" si="97"/>
        <v>7.4358974358974361</v>
      </c>
      <c r="CP170" s="3">
        <v>0</v>
      </c>
      <c r="CQ170" s="3">
        <v>0</v>
      </c>
      <c r="CR170" s="3">
        <v>0</v>
      </c>
      <c r="CS170" s="3">
        <v>0</v>
      </c>
      <c r="CT170" s="3">
        <v>0</v>
      </c>
      <c r="CU170" s="3">
        <v>0</v>
      </c>
      <c r="CV170" s="3">
        <v>0</v>
      </c>
      <c r="CW170" s="3">
        <v>0</v>
      </c>
      <c r="CX170" s="3">
        <v>0</v>
      </c>
      <c r="CY170" s="3">
        <v>0</v>
      </c>
      <c r="CZ170" s="3">
        <v>0</v>
      </c>
      <c r="DA170" s="3">
        <v>31.794871794871796</v>
      </c>
      <c r="DB170" s="4">
        <f t="shared" si="98"/>
        <v>31.794871794871796</v>
      </c>
      <c r="DC170" s="3">
        <v>0</v>
      </c>
      <c r="DD170" s="3">
        <v>0</v>
      </c>
      <c r="DE170" s="3">
        <v>0</v>
      </c>
      <c r="DF170" s="3">
        <v>0</v>
      </c>
      <c r="DG170" s="3">
        <v>0</v>
      </c>
      <c r="DH170" s="3">
        <v>0</v>
      </c>
      <c r="DI170" s="3">
        <v>0</v>
      </c>
      <c r="DJ170" s="3">
        <v>0</v>
      </c>
      <c r="DK170" s="3">
        <v>0</v>
      </c>
      <c r="DL170" s="3">
        <v>41.53846153846154</v>
      </c>
      <c r="DM170" s="3">
        <v>0</v>
      </c>
      <c r="DN170" s="3">
        <v>0</v>
      </c>
      <c r="DO170" s="4">
        <f t="shared" si="99"/>
        <v>41.53846153846154</v>
      </c>
      <c r="DP170" s="3">
        <v>0</v>
      </c>
      <c r="DQ170" s="3">
        <v>0</v>
      </c>
      <c r="DR170" s="3">
        <v>0</v>
      </c>
      <c r="DS170" s="3">
        <v>0</v>
      </c>
      <c r="DT170" s="3">
        <v>0</v>
      </c>
      <c r="DU170" s="3">
        <v>0</v>
      </c>
      <c r="DV170" s="3">
        <v>0</v>
      </c>
      <c r="DW170" s="3">
        <v>0</v>
      </c>
      <c r="DX170" s="3">
        <v>0</v>
      </c>
      <c r="DY170" s="3">
        <v>0</v>
      </c>
      <c r="DZ170" s="3">
        <v>13.333333333333334</v>
      </c>
      <c r="EA170" s="3">
        <v>0</v>
      </c>
      <c r="EB170" s="4">
        <f t="shared" si="100"/>
        <v>13.333333333333334</v>
      </c>
      <c r="EC170" s="3">
        <v>0</v>
      </c>
      <c r="ED170" s="3">
        <v>0</v>
      </c>
      <c r="EE170" s="3">
        <v>0</v>
      </c>
      <c r="EF170" s="3">
        <v>0</v>
      </c>
      <c r="EG170" s="3">
        <v>0</v>
      </c>
      <c r="EH170" s="3">
        <v>0</v>
      </c>
      <c r="EI170" s="3">
        <v>0</v>
      </c>
      <c r="EJ170" s="3">
        <v>0</v>
      </c>
      <c r="EK170" s="3">
        <v>0</v>
      </c>
      <c r="EL170" s="3">
        <v>0</v>
      </c>
      <c r="EM170" s="3">
        <v>0</v>
      </c>
      <c r="EN170" s="3">
        <v>9.2307692307692317</v>
      </c>
      <c r="EO170" s="4">
        <f t="shared" si="101"/>
        <v>9.2307692307692317</v>
      </c>
      <c r="EP170" s="8">
        <f t="shared" si="102"/>
        <v>103.33333333333333</v>
      </c>
      <c r="EQ170" s="181">
        <f>IFERROR(VLOOKUP(I170,CEI_012018!$A$1:$U$509,9,FALSE),0)</f>
        <v>0</v>
      </c>
      <c r="ER170" s="181">
        <f>IFERROR(VLOOKUP(I170,CEI_022018!$A$1:$U$509,9,FALSE),0)</f>
        <v>0</v>
      </c>
      <c r="ES170" s="181">
        <f>IFERROR(VLOOKUP(I170,CEI_032018!$A$1:$U$509,9,FALSE),0)</f>
        <v>0</v>
      </c>
      <c r="ET170" s="181">
        <f>IFERROR(VLOOKUP(I170,CEI_042018!$A$1:$U$491,9,FALSE),0)</f>
        <v>0</v>
      </c>
      <c r="EU170" s="181">
        <f>IFERROR(VLOOKUP(I170,CEI_052018!$A$1:$U$489,9,FALSE),0)</f>
        <v>0</v>
      </c>
      <c r="EV170" s="181">
        <f>IFERROR(VLOOKUP(I170,CEI_062018!$A$1:$U$489,9,FALSE),0)</f>
        <v>0</v>
      </c>
      <c r="EW170" s="181">
        <f>IFERROR(VLOOKUP(I170,CEI_072018!$A$1:$U$489,9,FALSE),0)</f>
        <v>0</v>
      </c>
      <c r="EX170" s="181">
        <f>IFERROR(VLOOKUP(I170,CEI_082018!$A$1:$U$489,9,FALSE),0)</f>
        <v>0</v>
      </c>
      <c r="EY170" s="181">
        <f>IFERROR(VLOOKUP(I170,CEI_092018!$A$1:$U$489,9,FALSE),0)</f>
        <v>0</v>
      </c>
      <c r="EZ170" s="181"/>
      <c r="FA170" s="181"/>
      <c r="FB170" s="181"/>
      <c r="FC170" s="181">
        <f>IFERROR(VLOOKUP(I170,CEI_092018!$A$1:$U$489,12,FALSE),0)</f>
        <v>0</v>
      </c>
      <c r="FD170" s="181">
        <f t="shared" si="94"/>
        <v>0</v>
      </c>
      <c r="FE170" s="181">
        <f t="shared" si="95"/>
        <v>0</v>
      </c>
      <c r="FF170"/>
      <c r="FG170"/>
      <c r="FH170"/>
      <c r="FI170"/>
      <c r="FJ170"/>
      <c r="FK170"/>
      <c r="FL170"/>
      <c r="FM170"/>
      <c r="FN170"/>
      <c r="FO170"/>
      <c r="FP170"/>
      <c r="FQ170"/>
      <c r="FR170"/>
      <c r="FS170"/>
      <c r="FT170"/>
      <c r="FU170"/>
      <c r="FV170"/>
      <c r="FW170"/>
      <c r="FX170"/>
      <c r="FY170"/>
      <c r="FZ170"/>
      <c r="GA170"/>
      <c r="GB170"/>
      <c r="GC170"/>
    </row>
    <row r="171" spans="1:185" ht="12.75" customHeight="1" x14ac:dyDescent="0.25">
      <c r="A171" s="202"/>
      <c r="B171" s="22" t="s">
        <v>57</v>
      </c>
      <c r="C171" s="34" t="s">
        <v>42</v>
      </c>
      <c r="D171" s="22" t="s">
        <v>318</v>
      </c>
      <c r="E171" s="25" t="s">
        <v>1061</v>
      </c>
      <c r="F171" s="25" t="s">
        <v>58</v>
      </c>
      <c r="G171" s="25" t="s">
        <v>1843</v>
      </c>
      <c r="H171" s="22" t="s">
        <v>56</v>
      </c>
      <c r="I171" s="423" t="s">
        <v>565</v>
      </c>
      <c r="J171" s="37" t="s">
        <v>59</v>
      </c>
      <c r="K171" s="23" t="s">
        <v>447</v>
      </c>
      <c r="L171" s="23" t="s">
        <v>448</v>
      </c>
      <c r="M171" s="23" t="s">
        <v>449</v>
      </c>
      <c r="N171" s="23" t="s">
        <v>1864</v>
      </c>
      <c r="O171" s="2">
        <v>0</v>
      </c>
      <c r="P171" s="2">
        <v>0</v>
      </c>
      <c r="Q171" s="2" t="s">
        <v>716</v>
      </c>
      <c r="R171" s="2">
        <v>0</v>
      </c>
      <c r="S171" s="2" t="s">
        <v>716</v>
      </c>
      <c r="T171" s="116">
        <f t="shared" si="82"/>
        <v>0</v>
      </c>
      <c r="U171" s="324">
        <v>0</v>
      </c>
      <c r="V171" s="324">
        <v>0</v>
      </c>
      <c r="W171" s="324">
        <v>0</v>
      </c>
      <c r="X171" s="324">
        <v>400</v>
      </c>
      <c r="Y171" s="324">
        <v>0</v>
      </c>
      <c r="Z171" s="324">
        <v>0</v>
      </c>
      <c r="AA171" s="324">
        <v>0</v>
      </c>
      <c r="AB171" s="324">
        <v>0</v>
      </c>
      <c r="AC171" s="324">
        <v>0</v>
      </c>
      <c r="AD171" s="324">
        <v>0</v>
      </c>
      <c r="AE171" s="324">
        <v>0</v>
      </c>
      <c r="AF171" s="324">
        <v>0</v>
      </c>
      <c r="AG171" s="140">
        <f t="shared" si="83"/>
        <v>400</v>
      </c>
      <c r="AH171" s="324">
        <v>0</v>
      </c>
      <c r="AI171" s="324">
        <v>0</v>
      </c>
      <c r="AJ171" s="324">
        <v>0</v>
      </c>
      <c r="AK171" s="324">
        <v>0</v>
      </c>
      <c r="AL171" s="324">
        <v>0</v>
      </c>
      <c r="AM171" s="324">
        <v>0</v>
      </c>
      <c r="AN171" s="324">
        <v>0</v>
      </c>
      <c r="AO171" s="324">
        <v>0</v>
      </c>
      <c r="AP171" s="324">
        <v>0</v>
      </c>
      <c r="AQ171" s="324">
        <v>0</v>
      </c>
      <c r="AR171" s="324">
        <v>0</v>
      </c>
      <c r="AS171" s="324">
        <v>0</v>
      </c>
      <c r="AT171" s="140">
        <f t="shared" si="84"/>
        <v>0</v>
      </c>
      <c r="AU171" s="324">
        <v>0</v>
      </c>
      <c r="AV171" s="324">
        <v>0</v>
      </c>
      <c r="AW171" s="324">
        <v>0</v>
      </c>
      <c r="AX171" s="324">
        <v>0</v>
      </c>
      <c r="AY171" s="324">
        <v>0</v>
      </c>
      <c r="AZ171" s="324">
        <v>0</v>
      </c>
      <c r="BA171" s="324">
        <v>0</v>
      </c>
      <c r="BB171" s="324">
        <v>0</v>
      </c>
      <c r="BC171" s="324">
        <v>0</v>
      </c>
      <c r="BD171" s="324">
        <v>0</v>
      </c>
      <c r="BE171" s="324">
        <v>0</v>
      </c>
      <c r="BF171" s="324">
        <v>0</v>
      </c>
      <c r="BG171" s="140">
        <f t="shared" si="85"/>
        <v>0</v>
      </c>
      <c r="BH171" s="324">
        <v>0</v>
      </c>
      <c r="BI171" s="324">
        <v>0</v>
      </c>
      <c r="BJ171" s="324">
        <v>0</v>
      </c>
      <c r="BK171" s="324">
        <v>0</v>
      </c>
      <c r="BL171" s="324">
        <v>0</v>
      </c>
      <c r="BM171" s="324">
        <v>0</v>
      </c>
      <c r="BN171" s="324">
        <v>0</v>
      </c>
      <c r="BO171" s="324">
        <v>0</v>
      </c>
      <c r="BP171" s="324">
        <v>0</v>
      </c>
      <c r="BQ171" s="324">
        <v>0</v>
      </c>
      <c r="BR171" s="324">
        <v>0</v>
      </c>
      <c r="BS171" s="324">
        <v>0</v>
      </c>
      <c r="BT171" s="140">
        <f t="shared" si="86"/>
        <v>0</v>
      </c>
      <c r="BU171" s="114">
        <f t="shared" si="87"/>
        <v>400</v>
      </c>
      <c r="BV171" s="432"/>
      <c r="BW171" s="432"/>
      <c r="BX171" s="432"/>
      <c r="BY171" s="432"/>
      <c r="BZ171" s="433"/>
      <c r="CA171" s="434"/>
      <c r="CB171" s="7" t="s">
        <v>1681</v>
      </c>
      <c r="CC171" s="3">
        <v>0</v>
      </c>
      <c r="CD171" s="3">
        <v>0</v>
      </c>
      <c r="CE171" s="3">
        <v>0</v>
      </c>
      <c r="CF171" s="3">
        <v>0</v>
      </c>
      <c r="CG171" s="3">
        <v>0</v>
      </c>
      <c r="CH171" s="3">
        <v>0</v>
      </c>
      <c r="CI171" s="3">
        <v>0</v>
      </c>
      <c r="CJ171" s="3">
        <v>0</v>
      </c>
      <c r="CK171" s="3">
        <v>0</v>
      </c>
      <c r="CL171" s="3">
        <v>0</v>
      </c>
      <c r="CM171" s="3">
        <v>0</v>
      </c>
      <c r="CN171" s="3">
        <v>0</v>
      </c>
      <c r="CO171" s="4">
        <f t="shared" si="97"/>
        <v>0</v>
      </c>
      <c r="CP171" s="3">
        <v>0</v>
      </c>
      <c r="CQ171" s="3">
        <v>0</v>
      </c>
      <c r="CR171" s="3">
        <v>0</v>
      </c>
      <c r="CS171" s="3">
        <v>4</v>
      </c>
      <c r="CT171" s="3">
        <v>0</v>
      </c>
      <c r="CU171" s="3">
        <v>0</v>
      </c>
      <c r="CV171" s="3">
        <v>0</v>
      </c>
      <c r="CW171" s="3">
        <v>0</v>
      </c>
      <c r="CX171" s="3">
        <v>0</v>
      </c>
      <c r="CY171" s="3">
        <v>0</v>
      </c>
      <c r="CZ171" s="3">
        <v>0</v>
      </c>
      <c r="DA171" s="3">
        <v>0</v>
      </c>
      <c r="DB171" s="4">
        <f t="shared" si="98"/>
        <v>4</v>
      </c>
      <c r="DC171" s="3">
        <v>0</v>
      </c>
      <c r="DD171" s="3">
        <v>0</v>
      </c>
      <c r="DE171" s="3">
        <v>0</v>
      </c>
      <c r="DF171" s="3">
        <v>0</v>
      </c>
      <c r="DG171" s="3">
        <v>0</v>
      </c>
      <c r="DH171" s="3">
        <v>0</v>
      </c>
      <c r="DI171" s="3">
        <v>0</v>
      </c>
      <c r="DJ171" s="3">
        <v>0</v>
      </c>
      <c r="DK171" s="3">
        <v>0</v>
      </c>
      <c r="DL171" s="3">
        <v>0</v>
      </c>
      <c r="DM171" s="3">
        <v>0</v>
      </c>
      <c r="DN171" s="3">
        <v>0</v>
      </c>
      <c r="DO171" s="4">
        <f t="shared" si="99"/>
        <v>0</v>
      </c>
      <c r="DP171" s="3">
        <v>0</v>
      </c>
      <c r="DQ171" s="3">
        <v>0</v>
      </c>
      <c r="DR171" s="3">
        <v>0</v>
      </c>
      <c r="DS171" s="3">
        <v>0</v>
      </c>
      <c r="DT171" s="3">
        <v>0</v>
      </c>
      <c r="DU171" s="3">
        <v>0</v>
      </c>
      <c r="DV171" s="3">
        <v>0</v>
      </c>
      <c r="DW171" s="3">
        <v>0</v>
      </c>
      <c r="DX171" s="3">
        <v>0</v>
      </c>
      <c r="DY171" s="3">
        <v>0</v>
      </c>
      <c r="DZ171" s="3">
        <v>0</v>
      </c>
      <c r="EA171" s="3">
        <v>0</v>
      </c>
      <c r="EB171" s="4">
        <f t="shared" si="100"/>
        <v>0</v>
      </c>
      <c r="EC171" s="3">
        <v>0</v>
      </c>
      <c r="ED171" s="3">
        <v>0</v>
      </c>
      <c r="EE171" s="3">
        <v>0</v>
      </c>
      <c r="EF171" s="3">
        <v>0</v>
      </c>
      <c r="EG171" s="3">
        <v>0</v>
      </c>
      <c r="EH171" s="3">
        <v>0</v>
      </c>
      <c r="EI171" s="3">
        <v>0</v>
      </c>
      <c r="EJ171" s="3">
        <v>0</v>
      </c>
      <c r="EK171" s="3">
        <v>0</v>
      </c>
      <c r="EL171" s="3">
        <v>0</v>
      </c>
      <c r="EM171" s="3">
        <v>0</v>
      </c>
      <c r="EN171" s="3">
        <v>0</v>
      </c>
      <c r="EO171" s="4">
        <f t="shared" si="101"/>
        <v>0</v>
      </c>
      <c r="EP171" s="8">
        <f t="shared" si="102"/>
        <v>4</v>
      </c>
      <c r="EQ171" s="181">
        <f>IFERROR(VLOOKUP(I171,CEI_012018!$A$1:$U$509,9,FALSE),0)</f>
        <v>0</v>
      </c>
      <c r="ER171" s="181">
        <f>IFERROR(VLOOKUP(I171,CEI_022018!$A$1:$U$509,9,FALSE),0)</f>
        <v>0</v>
      </c>
      <c r="ES171" s="181">
        <f>IFERROR(VLOOKUP(I171,CEI_032018!$A$1:$U$509,9,FALSE),0)</f>
        <v>0</v>
      </c>
      <c r="ET171" s="181">
        <f>IFERROR(VLOOKUP(I171,CEI_042018!$A$1:$U$491,9,FALSE),0)</f>
        <v>0</v>
      </c>
      <c r="EU171" s="181">
        <f>IFERROR(VLOOKUP(I171,CEI_052018!$A$1:$U$489,9,FALSE),0)</f>
        <v>0</v>
      </c>
      <c r="EV171" s="181">
        <f>IFERROR(VLOOKUP(I171,CEI_062018!$A$1:$U$489,9,FALSE),0)</f>
        <v>0</v>
      </c>
      <c r="EW171" s="181">
        <f>IFERROR(VLOOKUP(I171,CEI_072018!$A$1:$U$489,9,FALSE),0)</f>
        <v>0</v>
      </c>
      <c r="EX171" s="181">
        <f>IFERROR(VLOOKUP(I171,CEI_082018!$A$1:$U$489,9,FALSE),0)</f>
        <v>0</v>
      </c>
      <c r="EY171" s="181">
        <f>IFERROR(VLOOKUP(I171,CEI_092018!$A$1:$U$489,9,FALSE),0)</f>
        <v>0</v>
      </c>
      <c r="EZ171" s="181"/>
      <c r="FA171" s="181"/>
      <c r="FB171" s="181"/>
      <c r="FC171" s="181">
        <f>IFERROR(VLOOKUP(I171,CEI_092018!$A$1:$U$489,12,FALSE),0)</f>
        <v>0</v>
      </c>
      <c r="FD171" s="181">
        <f t="shared" si="94"/>
        <v>0</v>
      </c>
      <c r="FE171" s="181">
        <f t="shared" si="95"/>
        <v>0</v>
      </c>
      <c r="FF171"/>
      <c r="FG171"/>
      <c r="FH171"/>
      <c r="FI171"/>
      <c r="FJ171"/>
      <c r="FK171"/>
      <c r="FL171"/>
      <c r="FM171"/>
      <c r="FN171"/>
      <c r="FO171"/>
      <c r="FP171"/>
      <c r="FQ171"/>
      <c r="FR171"/>
      <c r="FS171"/>
      <c r="FT171"/>
      <c r="FU171"/>
      <c r="FV171"/>
      <c r="FW171"/>
      <c r="FX171"/>
      <c r="FY171"/>
      <c r="FZ171"/>
      <c r="GA171"/>
      <c r="GB171"/>
      <c r="GC171"/>
    </row>
    <row r="172" spans="1:185" ht="12.75" customHeight="1" x14ac:dyDescent="0.25">
      <c r="A172" s="202"/>
      <c r="B172" s="22" t="s">
        <v>57</v>
      </c>
      <c r="C172" s="34" t="s">
        <v>42</v>
      </c>
      <c r="D172" s="22" t="s">
        <v>1058</v>
      </c>
      <c r="E172" s="25" t="s">
        <v>1783</v>
      </c>
      <c r="F172" s="25" t="s">
        <v>1058</v>
      </c>
      <c r="G172" s="25" t="s">
        <v>1783</v>
      </c>
      <c r="H172" s="22" t="s">
        <v>56</v>
      </c>
      <c r="I172" s="423" t="s">
        <v>565</v>
      </c>
      <c r="J172" s="37"/>
      <c r="K172" s="23" t="s">
        <v>1858</v>
      </c>
      <c r="L172" s="23" t="s">
        <v>1859</v>
      </c>
      <c r="M172" s="23" t="s">
        <v>1860</v>
      </c>
      <c r="N172" s="23" t="s">
        <v>1873</v>
      </c>
      <c r="O172" s="2">
        <v>0</v>
      </c>
      <c r="P172" s="2">
        <v>0</v>
      </c>
      <c r="Q172" s="2">
        <v>0</v>
      </c>
      <c r="R172" s="2">
        <v>0</v>
      </c>
      <c r="S172" s="2">
        <v>0</v>
      </c>
      <c r="T172" s="116">
        <f t="shared" si="82"/>
        <v>0</v>
      </c>
      <c r="U172" s="324">
        <v>0</v>
      </c>
      <c r="V172" s="324">
        <v>0</v>
      </c>
      <c r="W172" s="324">
        <v>0</v>
      </c>
      <c r="X172" s="324">
        <v>0</v>
      </c>
      <c r="Y172" s="324">
        <v>0</v>
      </c>
      <c r="Z172" s="324">
        <v>0</v>
      </c>
      <c r="AA172" s="324">
        <v>0</v>
      </c>
      <c r="AB172" s="324">
        <v>0</v>
      </c>
      <c r="AC172" s="324">
        <v>368</v>
      </c>
      <c r="AD172" s="324">
        <v>0</v>
      </c>
      <c r="AE172" s="324">
        <v>0</v>
      </c>
      <c r="AF172" s="324">
        <v>0</v>
      </c>
      <c r="AG172" s="140">
        <f t="shared" si="83"/>
        <v>368</v>
      </c>
      <c r="AH172" s="324">
        <v>0</v>
      </c>
      <c r="AI172" s="324">
        <v>0</v>
      </c>
      <c r="AJ172" s="324">
        <v>0</v>
      </c>
      <c r="AK172" s="324">
        <v>0</v>
      </c>
      <c r="AL172" s="324">
        <v>0</v>
      </c>
      <c r="AM172" s="324">
        <v>0</v>
      </c>
      <c r="AN172" s="324">
        <v>0</v>
      </c>
      <c r="AO172" s="324">
        <v>0</v>
      </c>
      <c r="AP172" s="324">
        <v>0</v>
      </c>
      <c r="AQ172" s="324">
        <v>0</v>
      </c>
      <c r="AR172" s="324">
        <v>0</v>
      </c>
      <c r="AS172" s="324">
        <v>0</v>
      </c>
      <c r="AT172" s="140">
        <f t="shared" si="84"/>
        <v>0</v>
      </c>
      <c r="AU172" s="324">
        <v>0</v>
      </c>
      <c r="AV172" s="324">
        <v>0</v>
      </c>
      <c r="AW172" s="324">
        <v>0</v>
      </c>
      <c r="AX172" s="324">
        <v>0</v>
      </c>
      <c r="AY172" s="324">
        <v>0</v>
      </c>
      <c r="AZ172" s="324">
        <v>0</v>
      </c>
      <c r="BA172" s="324">
        <v>0</v>
      </c>
      <c r="BB172" s="324">
        <v>0</v>
      </c>
      <c r="BC172" s="324">
        <v>0</v>
      </c>
      <c r="BD172" s="324">
        <v>0</v>
      </c>
      <c r="BE172" s="324">
        <v>0</v>
      </c>
      <c r="BF172" s="324">
        <v>0</v>
      </c>
      <c r="BG172" s="140">
        <f t="shared" si="85"/>
        <v>0</v>
      </c>
      <c r="BH172" s="324"/>
      <c r="BI172" s="324"/>
      <c r="BJ172" s="324"/>
      <c r="BK172" s="324"/>
      <c r="BL172" s="324"/>
      <c r="BM172" s="324"/>
      <c r="BN172" s="324"/>
      <c r="BO172" s="324"/>
      <c r="BP172" s="324"/>
      <c r="BQ172" s="324"/>
      <c r="BR172" s="324"/>
      <c r="BS172" s="324"/>
      <c r="BT172" s="140">
        <f t="shared" si="86"/>
        <v>0</v>
      </c>
      <c r="BU172" s="114">
        <f t="shared" si="87"/>
        <v>368</v>
      </c>
      <c r="BV172" s="432"/>
      <c r="BW172" s="432"/>
      <c r="BX172" s="432"/>
      <c r="BY172" s="432"/>
      <c r="BZ172" s="433"/>
      <c r="CA172" s="434"/>
      <c r="CB172" s="7" t="s">
        <v>1681</v>
      </c>
      <c r="CC172" s="3">
        <v>0</v>
      </c>
      <c r="CD172" s="3">
        <v>0</v>
      </c>
      <c r="CE172" s="3">
        <v>0</v>
      </c>
      <c r="CF172" s="3">
        <v>0</v>
      </c>
      <c r="CG172" s="3">
        <v>0</v>
      </c>
      <c r="CH172" s="3">
        <v>0</v>
      </c>
      <c r="CI172" s="3">
        <v>0</v>
      </c>
      <c r="CJ172" s="3">
        <v>0</v>
      </c>
      <c r="CK172" s="3">
        <v>0</v>
      </c>
      <c r="CL172" s="3">
        <v>0</v>
      </c>
      <c r="CM172" s="3">
        <v>0</v>
      </c>
      <c r="CN172" s="3">
        <v>0</v>
      </c>
      <c r="CO172" s="4">
        <f t="shared" si="97"/>
        <v>0</v>
      </c>
      <c r="CP172" s="3">
        <v>0</v>
      </c>
      <c r="CQ172" s="3">
        <v>0</v>
      </c>
      <c r="CR172" s="3">
        <v>0</v>
      </c>
      <c r="CS172" s="3">
        <v>0</v>
      </c>
      <c r="CT172" s="3">
        <v>0</v>
      </c>
      <c r="CU172" s="3">
        <v>0</v>
      </c>
      <c r="CV172" s="3">
        <v>0</v>
      </c>
      <c r="CW172" s="3">
        <v>0</v>
      </c>
      <c r="CX172" s="3">
        <v>52</v>
      </c>
      <c r="CY172" s="3">
        <v>0</v>
      </c>
      <c r="CZ172" s="3">
        <v>0</v>
      </c>
      <c r="DA172" s="3">
        <v>0</v>
      </c>
      <c r="DB172" s="4">
        <f t="shared" si="98"/>
        <v>52</v>
      </c>
      <c r="DC172" s="3">
        <v>0</v>
      </c>
      <c r="DD172" s="3">
        <v>0</v>
      </c>
      <c r="DE172" s="3">
        <v>0</v>
      </c>
      <c r="DF172" s="3">
        <v>0</v>
      </c>
      <c r="DG172" s="3">
        <v>0</v>
      </c>
      <c r="DH172" s="3">
        <v>0</v>
      </c>
      <c r="DI172" s="3">
        <v>0</v>
      </c>
      <c r="DJ172" s="3">
        <v>0</v>
      </c>
      <c r="DK172" s="3">
        <v>0</v>
      </c>
      <c r="DL172" s="3">
        <v>0</v>
      </c>
      <c r="DM172" s="3">
        <v>0</v>
      </c>
      <c r="DN172" s="3">
        <v>0</v>
      </c>
      <c r="DO172" s="4">
        <f t="shared" si="99"/>
        <v>0</v>
      </c>
      <c r="DP172" s="3">
        <v>0</v>
      </c>
      <c r="DQ172" s="3">
        <v>0</v>
      </c>
      <c r="DR172" s="3">
        <v>0</v>
      </c>
      <c r="DS172" s="3">
        <v>0</v>
      </c>
      <c r="DT172" s="3">
        <v>0</v>
      </c>
      <c r="DU172" s="3">
        <v>0</v>
      </c>
      <c r="DV172" s="3">
        <v>0</v>
      </c>
      <c r="DW172" s="3">
        <v>0</v>
      </c>
      <c r="DX172" s="3">
        <v>0</v>
      </c>
      <c r="DY172" s="3">
        <v>0</v>
      </c>
      <c r="DZ172" s="3">
        <v>0</v>
      </c>
      <c r="EA172" s="3">
        <v>0</v>
      </c>
      <c r="EB172" s="4">
        <f t="shared" si="100"/>
        <v>0</v>
      </c>
      <c r="EC172" s="3">
        <v>0</v>
      </c>
      <c r="ED172" s="3">
        <v>0</v>
      </c>
      <c r="EE172" s="3">
        <v>0</v>
      </c>
      <c r="EF172" s="3">
        <v>0</v>
      </c>
      <c r="EG172" s="3">
        <v>0</v>
      </c>
      <c r="EH172" s="3">
        <v>0</v>
      </c>
      <c r="EI172" s="3">
        <v>0</v>
      </c>
      <c r="EJ172" s="3">
        <v>0</v>
      </c>
      <c r="EK172" s="3">
        <v>0</v>
      </c>
      <c r="EL172" s="3">
        <v>0</v>
      </c>
      <c r="EM172" s="3">
        <v>0</v>
      </c>
      <c r="EN172" s="3">
        <v>0</v>
      </c>
      <c r="EO172" s="4">
        <f t="shared" si="101"/>
        <v>0</v>
      </c>
      <c r="EP172" s="8">
        <f t="shared" si="102"/>
        <v>52</v>
      </c>
      <c r="EQ172" s="181">
        <f>IFERROR(VLOOKUP(I172,CEI_012018!$A$1:$U$509,9,FALSE),0)</f>
        <v>0</v>
      </c>
      <c r="ER172" s="181">
        <f>IFERROR(VLOOKUP(I172,CEI_022018!$A$1:$U$509,9,FALSE),0)</f>
        <v>0</v>
      </c>
      <c r="ES172" s="181">
        <f>IFERROR(VLOOKUP(I172,CEI_032018!$A$1:$U$509,9,FALSE),0)</f>
        <v>0</v>
      </c>
      <c r="ET172" s="181">
        <f>IFERROR(VLOOKUP(I172,CEI_042018!$A$1:$U$491,9,FALSE),0)</f>
        <v>0</v>
      </c>
      <c r="EU172" s="181">
        <f>IFERROR(VLOOKUP(I172,CEI_052018!$A$1:$U$489,9,FALSE),0)</f>
        <v>0</v>
      </c>
      <c r="EV172" s="181">
        <f>IFERROR(VLOOKUP(I172,CEI_062018!$A$1:$U$489,9,FALSE),0)</f>
        <v>0</v>
      </c>
      <c r="EW172" s="181">
        <f>IFERROR(VLOOKUP(I172,CEI_072018!$A$1:$U$489,9,FALSE),0)</f>
        <v>0</v>
      </c>
      <c r="EX172" s="181">
        <f>IFERROR(VLOOKUP(I172,CEI_082018!$A$1:$U$489,9,FALSE),0)</f>
        <v>0</v>
      </c>
      <c r="EY172" s="181">
        <f>IFERROR(VLOOKUP(I172,CEI_092018!$A$1:$U$489,9,FALSE),0)</f>
        <v>0</v>
      </c>
      <c r="EZ172" s="181"/>
      <c r="FA172" s="181"/>
      <c r="FB172" s="181"/>
      <c r="FC172" s="181">
        <f>IFERROR(VLOOKUP(I172,CEI_092018!$A$1:$U$489,12,FALSE),0)</f>
        <v>0</v>
      </c>
      <c r="FD172" s="181">
        <f t="shared" si="94"/>
        <v>0</v>
      </c>
      <c r="FE172" s="181">
        <f t="shared" si="95"/>
        <v>0</v>
      </c>
      <c r="FF172"/>
      <c r="FG172"/>
      <c r="FH172"/>
      <c r="FI172"/>
      <c r="FJ172"/>
      <c r="FK172"/>
      <c r="FL172"/>
      <c r="FM172"/>
      <c r="FN172"/>
      <c r="FO172"/>
      <c r="FP172"/>
      <c r="FQ172"/>
      <c r="FR172"/>
      <c r="FS172"/>
      <c r="FT172"/>
      <c r="FU172"/>
      <c r="FV172"/>
      <c r="FW172"/>
      <c r="FX172"/>
      <c r="FY172"/>
      <c r="FZ172"/>
      <c r="GA172"/>
      <c r="GB172"/>
      <c r="GC172"/>
    </row>
    <row r="173" spans="1:185" ht="12.75" customHeight="1" x14ac:dyDescent="0.25">
      <c r="A173" s="202"/>
      <c r="B173" s="22" t="s">
        <v>57</v>
      </c>
      <c r="C173" s="34" t="s">
        <v>42</v>
      </c>
      <c r="D173" s="22" t="s">
        <v>318</v>
      </c>
      <c r="E173" s="390" t="s">
        <v>1604</v>
      </c>
      <c r="F173" s="25" t="s">
        <v>318</v>
      </c>
      <c r="G173" s="25" t="s">
        <v>1604</v>
      </c>
      <c r="H173" s="22" t="s">
        <v>56</v>
      </c>
      <c r="I173" s="423" t="s">
        <v>1192</v>
      </c>
      <c r="J173" s="37" t="s">
        <v>1193</v>
      </c>
      <c r="K173" s="23" t="s">
        <v>580</v>
      </c>
      <c r="L173" s="23" t="s">
        <v>717</v>
      </c>
      <c r="M173" s="23" t="s">
        <v>581</v>
      </c>
      <c r="N173" s="23" t="s">
        <v>59</v>
      </c>
      <c r="O173" s="2">
        <v>0</v>
      </c>
      <c r="P173" s="2">
        <v>367</v>
      </c>
      <c r="Q173" s="2">
        <v>0</v>
      </c>
      <c r="R173" s="2">
        <v>0</v>
      </c>
      <c r="S173" s="2">
        <v>0</v>
      </c>
      <c r="T173" s="116">
        <f t="shared" si="82"/>
        <v>367</v>
      </c>
      <c r="U173" s="324">
        <v>0</v>
      </c>
      <c r="V173" s="324">
        <v>0</v>
      </c>
      <c r="W173" s="324">
        <v>0</v>
      </c>
      <c r="X173" s="324">
        <v>0</v>
      </c>
      <c r="Y173" s="324">
        <v>0</v>
      </c>
      <c r="Z173" s="324">
        <v>0</v>
      </c>
      <c r="AA173" s="324">
        <v>0</v>
      </c>
      <c r="AB173" s="324">
        <v>0</v>
      </c>
      <c r="AC173" s="324">
        <v>0</v>
      </c>
      <c r="AD173" s="324">
        <v>0</v>
      </c>
      <c r="AE173" s="324">
        <v>0</v>
      </c>
      <c r="AF173" s="324">
        <v>0</v>
      </c>
      <c r="AG173" s="140">
        <f t="shared" si="83"/>
        <v>0</v>
      </c>
      <c r="AH173" s="324">
        <v>0</v>
      </c>
      <c r="AI173" s="324">
        <v>0</v>
      </c>
      <c r="AJ173" s="324">
        <v>0</v>
      </c>
      <c r="AK173" s="324">
        <v>0</v>
      </c>
      <c r="AL173" s="324">
        <v>0</v>
      </c>
      <c r="AM173" s="324">
        <v>0</v>
      </c>
      <c r="AN173" s="324">
        <v>0</v>
      </c>
      <c r="AO173" s="324">
        <v>0</v>
      </c>
      <c r="AP173" s="324">
        <v>0</v>
      </c>
      <c r="AQ173" s="324">
        <v>0</v>
      </c>
      <c r="AR173" s="324">
        <v>0</v>
      </c>
      <c r="AS173" s="324">
        <v>0</v>
      </c>
      <c r="AT173" s="140">
        <f t="shared" si="84"/>
        <v>0</v>
      </c>
      <c r="AU173" s="324">
        <v>0</v>
      </c>
      <c r="AV173" s="324">
        <v>0</v>
      </c>
      <c r="AW173" s="324">
        <v>0</v>
      </c>
      <c r="AX173" s="324">
        <v>0</v>
      </c>
      <c r="AY173" s="324">
        <v>0</v>
      </c>
      <c r="AZ173" s="324">
        <v>0</v>
      </c>
      <c r="BA173" s="324">
        <v>0</v>
      </c>
      <c r="BB173" s="324">
        <v>0</v>
      </c>
      <c r="BC173" s="324">
        <v>0</v>
      </c>
      <c r="BD173" s="324">
        <v>0</v>
      </c>
      <c r="BE173" s="324">
        <v>0</v>
      </c>
      <c r="BF173" s="324">
        <v>0</v>
      </c>
      <c r="BG173" s="140">
        <f t="shared" si="85"/>
        <v>0</v>
      </c>
      <c r="BH173" s="324">
        <v>0</v>
      </c>
      <c r="BI173" s="324">
        <v>0</v>
      </c>
      <c r="BJ173" s="324">
        <v>0</v>
      </c>
      <c r="BK173" s="324">
        <v>0</v>
      </c>
      <c r="BL173" s="324">
        <v>0</v>
      </c>
      <c r="BM173" s="324">
        <v>0</v>
      </c>
      <c r="BN173" s="324">
        <v>0</v>
      </c>
      <c r="BO173" s="324">
        <v>0</v>
      </c>
      <c r="BP173" s="324">
        <v>0</v>
      </c>
      <c r="BQ173" s="324">
        <v>0</v>
      </c>
      <c r="BR173" s="324">
        <v>0</v>
      </c>
      <c r="BS173" s="324">
        <v>0</v>
      </c>
      <c r="BT173" s="140">
        <f t="shared" si="86"/>
        <v>0</v>
      </c>
      <c r="BU173" s="114">
        <f t="shared" si="87"/>
        <v>367</v>
      </c>
      <c r="BV173" s="372">
        <v>1</v>
      </c>
      <c r="BW173" s="372">
        <v>1</v>
      </c>
      <c r="BX173" s="372">
        <v>1</v>
      </c>
      <c r="BY173" s="372">
        <v>-1</v>
      </c>
      <c r="BZ173" s="436">
        <f t="shared" ref="BZ173:BZ175" si="103">IFERROR((EX173/T173%),0)</f>
        <v>0</v>
      </c>
      <c r="CA173" s="428">
        <f>IFERROR((FD173/T173%),0)</f>
        <v>97.275202800532455</v>
      </c>
      <c r="CB173" s="7" t="s">
        <v>1681</v>
      </c>
      <c r="CC173" s="3">
        <v>0</v>
      </c>
      <c r="CD173" s="3">
        <v>0</v>
      </c>
      <c r="CE173" s="3">
        <v>0</v>
      </c>
      <c r="CF173" s="3">
        <v>0</v>
      </c>
      <c r="CG173" s="3">
        <v>0</v>
      </c>
      <c r="CH173" s="3">
        <v>0</v>
      </c>
      <c r="CI173" s="3">
        <v>0</v>
      </c>
      <c r="CJ173" s="3">
        <v>0</v>
      </c>
      <c r="CK173" s="3">
        <v>1</v>
      </c>
      <c r="CL173" s="3">
        <v>0</v>
      </c>
      <c r="CM173" s="3">
        <v>0</v>
      </c>
      <c r="CN173" s="3">
        <v>0</v>
      </c>
      <c r="CO173" s="4">
        <f t="shared" si="97"/>
        <v>1</v>
      </c>
      <c r="CP173" s="3">
        <v>0</v>
      </c>
      <c r="CQ173" s="3">
        <v>0</v>
      </c>
      <c r="CR173" s="3">
        <v>0</v>
      </c>
      <c r="CS173" s="3">
        <v>0</v>
      </c>
      <c r="CT173" s="3">
        <v>0</v>
      </c>
      <c r="CU173" s="3">
        <v>0</v>
      </c>
      <c r="CV173" s="3">
        <v>0</v>
      </c>
      <c r="CW173" s="3">
        <v>0</v>
      </c>
      <c r="CX173" s="3">
        <v>0</v>
      </c>
      <c r="CY173" s="3">
        <v>0</v>
      </c>
      <c r="CZ173" s="3">
        <v>0</v>
      </c>
      <c r="DA173" s="3">
        <v>0</v>
      </c>
      <c r="DB173" s="4">
        <f t="shared" si="98"/>
        <v>0</v>
      </c>
      <c r="DC173" s="3">
        <v>0</v>
      </c>
      <c r="DD173" s="3">
        <v>0</v>
      </c>
      <c r="DE173" s="3">
        <v>0</v>
      </c>
      <c r="DF173" s="3">
        <v>0</v>
      </c>
      <c r="DG173" s="3">
        <v>0</v>
      </c>
      <c r="DH173" s="3">
        <v>0</v>
      </c>
      <c r="DI173" s="3">
        <v>0</v>
      </c>
      <c r="DJ173" s="3">
        <v>0</v>
      </c>
      <c r="DK173" s="3">
        <v>0</v>
      </c>
      <c r="DL173" s="3">
        <v>0</v>
      </c>
      <c r="DM173" s="3">
        <v>0</v>
      </c>
      <c r="DN173" s="3">
        <v>0</v>
      </c>
      <c r="DO173" s="4">
        <f t="shared" si="99"/>
        <v>0</v>
      </c>
      <c r="DP173" s="3">
        <v>0</v>
      </c>
      <c r="DQ173" s="3">
        <v>0</v>
      </c>
      <c r="DR173" s="3">
        <v>0</v>
      </c>
      <c r="DS173" s="3">
        <v>0</v>
      </c>
      <c r="DT173" s="3">
        <v>0</v>
      </c>
      <c r="DU173" s="3">
        <v>0</v>
      </c>
      <c r="DV173" s="3">
        <v>0</v>
      </c>
      <c r="DW173" s="3">
        <v>0</v>
      </c>
      <c r="DX173" s="3">
        <v>0</v>
      </c>
      <c r="DY173" s="3">
        <v>0</v>
      </c>
      <c r="DZ173" s="3">
        <v>0</v>
      </c>
      <c r="EA173" s="3">
        <v>0</v>
      </c>
      <c r="EB173" s="4">
        <f t="shared" si="100"/>
        <v>0</v>
      </c>
      <c r="EC173" s="3">
        <v>0</v>
      </c>
      <c r="ED173" s="3">
        <v>0</v>
      </c>
      <c r="EE173" s="3">
        <v>0</v>
      </c>
      <c r="EF173" s="3">
        <v>0</v>
      </c>
      <c r="EG173" s="3">
        <v>0</v>
      </c>
      <c r="EH173" s="3">
        <v>0</v>
      </c>
      <c r="EI173" s="3">
        <v>0</v>
      </c>
      <c r="EJ173" s="3">
        <v>0</v>
      </c>
      <c r="EK173" s="3">
        <v>0</v>
      </c>
      <c r="EL173" s="3">
        <v>0</v>
      </c>
      <c r="EM173" s="3">
        <v>0</v>
      </c>
      <c r="EN173" s="3">
        <v>0</v>
      </c>
      <c r="EO173" s="4">
        <f t="shared" si="101"/>
        <v>0</v>
      </c>
      <c r="EP173" s="8">
        <f t="shared" si="102"/>
        <v>1</v>
      </c>
      <c r="EQ173" s="181">
        <f>IFERROR(VLOOKUP(I173,CEI_012018!$A$1:$U$509,9,FALSE),0)</f>
        <v>0</v>
      </c>
      <c r="ER173" s="181">
        <f>IFERROR(VLOOKUP(I173,CEI_022018!$A$1:$U$509,9,FALSE),0)</f>
        <v>0</v>
      </c>
      <c r="ES173" s="181">
        <f>IFERROR(VLOOKUP(I173,CEI_032018!$A$1:$U$509,9,FALSE),0)</f>
        <v>0</v>
      </c>
      <c r="ET173" s="181">
        <f>IFERROR(VLOOKUP(I173,CEI_042018!$A$1:$U$491,9,FALSE),0)</f>
        <v>0</v>
      </c>
      <c r="EU173" s="181">
        <f>IFERROR(VLOOKUP(I173,CEI_052018!$A$1:$U$489,9,FALSE),0)</f>
        <v>0</v>
      </c>
      <c r="EV173" s="181">
        <f>IFERROR(VLOOKUP(I173,CEI_062018!$A$1:$U$489,9,FALSE),0)</f>
        <v>0</v>
      </c>
      <c r="EW173" s="181">
        <f>IFERROR(VLOOKUP(I173,CEI_072018!$A$1:$U$489,9,FALSE),0)</f>
        <v>0</v>
      </c>
      <c r="EX173" s="181">
        <f>IFERROR(VLOOKUP(I173,CEI_082018!$A$1:$U$489,9,FALSE),0)</f>
        <v>0</v>
      </c>
      <c r="EY173" s="181">
        <f>IFERROR(VLOOKUP(I173,CEI_092018!$A$1:$U$489,9,FALSE),0)</f>
        <v>0</v>
      </c>
      <c r="EZ173" s="181"/>
      <c r="FA173" s="181"/>
      <c r="FB173" s="181"/>
      <c r="FC173" s="181">
        <f>IFERROR(VLOOKUP(I173,CEI_092018!$A$1:$U$489,12,FALSE),0)</f>
        <v>356.9999942779541</v>
      </c>
      <c r="FD173" s="181">
        <f t="shared" si="94"/>
        <v>356.9999942779541</v>
      </c>
      <c r="FE173" s="181">
        <f t="shared" si="95"/>
        <v>10.000005722045898</v>
      </c>
      <c r="FF173"/>
      <c r="FG173"/>
      <c r="FH173"/>
      <c r="FI173"/>
      <c r="FJ173"/>
      <c r="FK173"/>
      <c r="FL173"/>
      <c r="FM173"/>
      <c r="FN173"/>
      <c r="FO173"/>
      <c r="FP173"/>
      <c r="FQ173"/>
      <c r="FR173"/>
      <c r="FS173"/>
      <c r="FT173"/>
      <c r="FU173"/>
      <c r="FV173"/>
      <c r="FW173"/>
      <c r="FX173"/>
      <c r="FY173"/>
      <c r="FZ173"/>
      <c r="GA173"/>
      <c r="GB173"/>
      <c r="GC173"/>
    </row>
    <row r="174" spans="1:185" ht="12.75" customHeight="1" x14ac:dyDescent="0.25">
      <c r="A174" s="202"/>
      <c r="B174" s="22" t="s">
        <v>57</v>
      </c>
      <c r="C174" s="34" t="s">
        <v>42</v>
      </c>
      <c r="D174" s="22" t="s">
        <v>1058</v>
      </c>
      <c r="E174" s="388" t="s">
        <v>1783</v>
      </c>
      <c r="F174" s="25" t="s">
        <v>1058</v>
      </c>
      <c r="G174" s="25" t="s">
        <v>1783</v>
      </c>
      <c r="H174" s="22" t="s">
        <v>56</v>
      </c>
      <c r="I174" s="423" t="s">
        <v>1976</v>
      </c>
      <c r="J174" s="37" t="s">
        <v>59</v>
      </c>
      <c r="K174" s="23" t="s">
        <v>1784</v>
      </c>
      <c r="L174" s="23"/>
      <c r="M174" s="23"/>
      <c r="N174" s="23" t="s">
        <v>1873</v>
      </c>
      <c r="O174" s="2">
        <v>0</v>
      </c>
      <c r="P174" s="2">
        <v>0</v>
      </c>
      <c r="Q174" s="2">
        <v>0</v>
      </c>
      <c r="R174" s="2">
        <v>271.89999999999998</v>
      </c>
      <c r="S174" s="2">
        <v>0</v>
      </c>
      <c r="T174" s="116">
        <f t="shared" si="82"/>
        <v>271.89999999999998</v>
      </c>
      <c r="U174" s="324">
        <v>0</v>
      </c>
      <c r="V174" s="324">
        <v>0</v>
      </c>
      <c r="W174" s="324">
        <v>0</v>
      </c>
      <c r="X174" s="324">
        <v>0</v>
      </c>
      <c r="Y174" s="324">
        <v>0</v>
      </c>
      <c r="Z174" s="324">
        <v>0</v>
      </c>
      <c r="AA174" s="324">
        <v>0</v>
      </c>
      <c r="AB174" s="324">
        <v>32.299999999999997</v>
      </c>
      <c r="AC174" s="324">
        <v>0</v>
      </c>
      <c r="AD174" s="324">
        <v>0</v>
      </c>
      <c r="AE174" s="324">
        <v>0</v>
      </c>
      <c r="AF174" s="324">
        <v>0</v>
      </c>
      <c r="AG174" s="140">
        <f t="shared" si="83"/>
        <v>32.299999999999997</v>
      </c>
      <c r="AH174" s="324">
        <v>0</v>
      </c>
      <c r="AI174" s="324">
        <v>0</v>
      </c>
      <c r="AJ174" s="324">
        <v>0</v>
      </c>
      <c r="AK174" s="324">
        <v>0</v>
      </c>
      <c r="AL174" s="324">
        <v>0</v>
      </c>
      <c r="AM174" s="324">
        <v>0</v>
      </c>
      <c r="AN174" s="324">
        <v>0</v>
      </c>
      <c r="AO174" s="324">
        <v>0</v>
      </c>
      <c r="AP174" s="324">
        <v>0</v>
      </c>
      <c r="AQ174" s="324">
        <v>0</v>
      </c>
      <c r="AR174" s="324">
        <v>0</v>
      </c>
      <c r="AS174" s="324">
        <v>0</v>
      </c>
      <c r="AT174" s="140">
        <f t="shared" si="84"/>
        <v>0</v>
      </c>
      <c r="AU174" s="324">
        <v>0</v>
      </c>
      <c r="AV174" s="324">
        <v>0</v>
      </c>
      <c r="AW174" s="324">
        <v>0</v>
      </c>
      <c r="AX174" s="324">
        <v>0</v>
      </c>
      <c r="AY174" s="324">
        <v>0</v>
      </c>
      <c r="AZ174" s="324">
        <v>0</v>
      </c>
      <c r="BA174" s="324">
        <v>0</v>
      </c>
      <c r="BB174" s="324">
        <v>0</v>
      </c>
      <c r="BC174" s="324">
        <v>0</v>
      </c>
      <c r="BD174" s="324">
        <v>0</v>
      </c>
      <c r="BE174" s="324">
        <v>0</v>
      </c>
      <c r="BF174" s="324">
        <v>0</v>
      </c>
      <c r="BG174" s="140">
        <f t="shared" si="85"/>
        <v>0</v>
      </c>
      <c r="BH174" s="324">
        <v>0</v>
      </c>
      <c r="BI174" s="324">
        <v>0</v>
      </c>
      <c r="BJ174" s="324">
        <v>0</v>
      </c>
      <c r="BK174" s="324">
        <v>0</v>
      </c>
      <c r="BL174" s="324">
        <v>0</v>
      </c>
      <c r="BM174" s="324">
        <v>0</v>
      </c>
      <c r="BN174" s="324">
        <v>0</v>
      </c>
      <c r="BO174" s="324">
        <v>0</v>
      </c>
      <c r="BP174" s="324">
        <v>0</v>
      </c>
      <c r="BQ174" s="324">
        <v>0</v>
      </c>
      <c r="BR174" s="324">
        <v>0</v>
      </c>
      <c r="BS174" s="324">
        <v>0</v>
      </c>
      <c r="BT174" s="140">
        <f t="shared" si="86"/>
        <v>0</v>
      </c>
      <c r="BU174" s="114">
        <f t="shared" si="87"/>
        <v>304.2</v>
      </c>
      <c r="BV174" s="372">
        <v>-1</v>
      </c>
      <c r="BW174" s="372">
        <v>-1</v>
      </c>
      <c r="BX174" s="372">
        <v>-1</v>
      </c>
      <c r="BY174" s="372">
        <v>-1</v>
      </c>
      <c r="BZ174" s="436">
        <f t="shared" si="103"/>
        <v>0</v>
      </c>
      <c r="CA174" s="428">
        <f>IFERROR((FD174/T174%),0)</f>
        <v>99.99999832519498</v>
      </c>
      <c r="CB174" s="7" t="s">
        <v>1681</v>
      </c>
      <c r="CC174" s="3">
        <v>0</v>
      </c>
      <c r="CD174" s="3">
        <v>0</v>
      </c>
      <c r="CE174" s="3">
        <v>0</v>
      </c>
      <c r="CF174" s="3">
        <v>0</v>
      </c>
      <c r="CG174" s="3">
        <v>0</v>
      </c>
      <c r="CH174" s="3">
        <v>0</v>
      </c>
      <c r="CI174" s="3">
        <v>0</v>
      </c>
      <c r="CJ174" s="3">
        <v>0</v>
      </c>
      <c r="CK174" s="3">
        <v>0</v>
      </c>
      <c r="CL174" s="3">
        <v>0</v>
      </c>
      <c r="CM174" s="3">
        <v>77.948717948717956</v>
      </c>
      <c r="CN174" s="3">
        <v>0</v>
      </c>
      <c r="CO174" s="4">
        <f t="shared" si="97"/>
        <v>77.948717948717956</v>
      </c>
      <c r="CP174" s="3">
        <v>0</v>
      </c>
      <c r="CQ174" s="3">
        <v>0</v>
      </c>
      <c r="CR174" s="3">
        <v>0</v>
      </c>
      <c r="CS174" s="3">
        <v>0</v>
      </c>
      <c r="CT174" s="3">
        <v>0</v>
      </c>
      <c r="CU174" s="3">
        <v>0</v>
      </c>
      <c r="CV174" s="3">
        <v>0</v>
      </c>
      <c r="CW174" s="3">
        <v>0</v>
      </c>
      <c r="CX174" s="3">
        <v>0</v>
      </c>
      <c r="CY174" s="3">
        <v>0</v>
      </c>
      <c r="CZ174" s="3">
        <v>0</v>
      </c>
      <c r="DA174" s="3">
        <v>0</v>
      </c>
      <c r="DB174" s="4">
        <f t="shared" si="98"/>
        <v>0</v>
      </c>
      <c r="DC174" s="3">
        <v>0</v>
      </c>
      <c r="DD174" s="3">
        <v>0</v>
      </c>
      <c r="DE174" s="3">
        <v>0</v>
      </c>
      <c r="DF174" s="3">
        <v>0</v>
      </c>
      <c r="DG174" s="3">
        <v>0</v>
      </c>
      <c r="DH174" s="3">
        <v>0</v>
      </c>
      <c r="DI174" s="3">
        <v>0</v>
      </c>
      <c r="DJ174" s="3">
        <v>0</v>
      </c>
      <c r="DK174" s="3">
        <v>0</v>
      </c>
      <c r="DL174" s="3">
        <v>0</v>
      </c>
      <c r="DM174" s="3">
        <v>0</v>
      </c>
      <c r="DN174" s="3">
        <v>0</v>
      </c>
      <c r="DO174" s="4">
        <f t="shared" si="99"/>
        <v>0</v>
      </c>
      <c r="DP174" s="3">
        <v>0</v>
      </c>
      <c r="DQ174" s="3">
        <v>0</v>
      </c>
      <c r="DR174" s="3">
        <v>0</v>
      </c>
      <c r="DS174" s="3">
        <v>0</v>
      </c>
      <c r="DT174" s="3">
        <v>0</v>
      </c>
      <c r="DU174" s="3">
        <v>0</v>
      </c>
      <c r="DV174" s="3">
        <v>0</v>
      </c>
      <c r="DW174" s="3">
        <v>0</v>
      </c>
      <c r="DX174" s="3">
        <v>0</v>
      </c>
      <c r="DY174" s="3">
        <v>0</v>
      </c>
      <c r="DZ174" s="3">
        <v>0</v>
      </c>
      <c r="EA174" s="3">
        <v>0</v>
      </c>
      <c r="EB174" s="4">
        <f t="shared" si="100"/>
        <v>0</v>
      </c>
      <c r="EC174" s="3">
        <v>0</v>
      </c>
      <c r="ED174" s="3">
        <v>0</v>
      </c>
      <c r="EE174" s="3">
        <v>0</v>
      </c>
      <c r="EF174" s="3">
        <v>0</v>
      </c>
      <c r="EG174" s="3">
        <v>0</v>
      </c>
      <c r="EH174" s="3">
        <v>0</v>
      </c>
      <c r="EI174" s="3">
        <v>0</v>
      </c>
      <c r="EJ174" s="3">
        <v>0</v>
      </c>
      <c r="EK174" s="3">
        <v>0</v>
      </c>
      <c r="EL174" s="3">
        <v>0</v>
      </c>
      <c r="EM174" s="3">
        <v>0</v>
      </c>
      <c r="EN174" s="3">
        <v>0</v>
      </c>
      <c r="EO174" s="4">
        <f t="shared" si="101"/>
        <v>0</v>
      </c>
      <c r="EP174" s="8">
        <f t="shared" si="102"/>
        <v>77.948717948717956</v>
      </c>
      <c r="EQ174" s="181">
        <f>IFERROR(VLOOKUP(I174,CEI_012018!$A$1:$U$509,9,FALSE),0)</f>
        <v>0</v>
      </c>
      <c r="ER174" s="181">
        <f>IFERROR(VLOOKUP(I174,CEI_022018!$A$1:$U$509,9,FALSE),0)</f>
        <v>0</v>
      </c>
      <c r="ES174" s="181">
        <f>IFERROR(VLOOKUP(I174,CEI_032018!$A$1:$U$509,9,FALSE),0)</f>
        <v>0</v>
      </c>
      <c r="ET174" s="181">
        <f>IFERROR(VLOOKUP(I174,CEI_042018!$A$1:$U$491,9,FALSE),0)</f>
        <v>0</v>
      </c>
      <c r="EU174" s="181">
        <f>IFERROR(VLOOKUP(I174,CEI_052018!$A$1:$U$489,9,FALSE),0)</f>
        <v>0</v>
      </c>
      <c r="EV174" s="181">
        <f>IFERROR(VLOOKUP(I174,CEI_062018!$A$1:$U$489,9,FALSE),0)</f>
        <v>0</v>
      </c>
      <c r="EW174" s="181">
        <f>IFERROR(VLOOKUP(I174,CEI_072018!$A$1:$U$489,9,FALSE),0)</f>
        <v>0</v>
      </c>
      <c r="EX174" s="181">
        <f>IFERROR(VLOOKUP(I174,CEI_082018!$A$1:$U$489,9,FALSE),0)</f>
        <v>0</v>
      </c>
      <c r="EY174" s="181">
        <f>IFERROR(VLOOKUP(I174,CEI_092018!$A$1:$U$489,9,FALSE),0)</f>
        <v>0</v>
      </c>
      <c r="EZ174" s="181"/>
      <c r="FA174" s="181"/>
      <c r="FB174" s="181"/>
      <c r="FC174" s="181">
        <f>IFERROR(VLOOKUP(I174,CEI_092018!$A$1:$U$489,12,FALSE),0)</f>
        <v>271.89999544620514</v>
      </c>
      <c r="FD174" s="181">
        <f t="shared" si="94"/>
        <v>271.89999544620514</v>
      </c>
      <c r="FE174" s="181">
        <f t="shared" si="95"/>
        <v>4.5537948381024762E-6</v>
      </c>
      <c r="FF174"/>
      <c r="FG174"/>
      <c r="FH174"/>
      <c r="FI174"/>
      <c r="FJ174"/>
      <c r="FK174"/>
      <c r="FL174"/>
      <c r="FM174"/>
      <c r="FN174"/>
      <c r="FO174"/>
      <c r="FP174"/>
      <c r="FQ174"/>
      <c r="FR174"/>
      <c r="FS174"/>
      <c r="FT174"/>
      <c r="FU174"/>
      <c r="FV174"/>
      <c r="FW174"/>
      <c r="FX174"/>
      <c r="FY174"/>
      <c r="FZ174"/>
      <c r="GA174"/>
      <c r="GB174"/>
      <c r="GC174"/>
    </row>
    <row r="175" spans="1:185" ht="12.75" customHeight="1" x14ac:dyDescent="0.25">
      <c r="A175" s="202"/>
      <c r="B175" s="22" t="s">
        <v>57</v>
      </c>
      <c r="C175" s="34" t="s">
        <v>42</v>
      </c>
      <c r="D175" s="22" t="s">
        <v>318</v>
      </c>
      <c r="E175" s="25" t="s">
        <v>1035</v>
      </c>
      <c r="F175" s="25" t="s">
        <v>318</v>
      </c>
      <c r="G175" s="25" t="s">
        <v>1035</v>
      </c>
      <c r="H175" s="22" t="s">
        <v>56</v>
      </c>
      <c r="I175" s="483" t="s">
        <v>1521</v>
      </c>
      <c r="J175" s="255" t="s">
        <v>1522</v>
      </c>
      <c r="K175" s="23" t="s">
        <v>1000</v>
      </c>
      <c r="L175" s="23" t="s">
        <v>1600</v>
      </c>
      <c r="M175" s="23" t="s">
        <v>1603</v>
      </c>
      <c r="N175" s="23" t="s">
        <v>59</v>
      </c>
      <c r="O175" s="2">
        <v>0</v>
      </c>
      <c r="P175" s="2">
        <v>200</v>
      </c>
      <c r="Q175" s="2">
        <v>0</v>
      </c>
      <c r="R175" s="2">
        <v>0</v>
      </c>
      <c r="S175" s="2">
        <v>0</v>
      </c>
      <c r="T175" s="116">
        <f t="shared" si="82"/>
        <v>200</v>
      </c>
      <c r="U175" s="324">
        <v>0</v>
      </c>
      <c r="V175" s="324">
        <v>0</v>
      </c>
      <c r="W175" s="324">
        <v>0</v>
      </c>
      <c r="X175" s="324">
        <v>0</v>
      </c>
      <c r="Y175" s="324">
        <v>0</v>
      </c>
      <c r="Z175" s="324">
        <v>0</v>
      </c>
      <c r="AA175" s="324">
        <v>0</v>
      </c>
      <c r="AB175" s="324">
        <v>0</v>
      </c>
      <c r="AC175" s="324">
        <v>0</v>
      </c>
      <c r="AD175" s="324">
        <v>0</v>
      </c>
      <c r="AE175" s="324">
        <v>0</v>
      </c>
      <c r="AF175" s="324">
        <v>0</v>
      </c>
      <c r="AG175" s="140">
        <f t="shared" si="83"/>
        <v>0</v>
      </c>
      <c r="AH175" s="324">
        <v>0</v>
      </c>
      <c r="AI175" s="324">
        <v>0</v>
      </c>
      <c r="AJ175" s="324">
        <v>0</v>
      </c>
      <c r="AK175" s="324">
        <v>0</v>
      </c>
      <c r="AL175" s="324">
        <v>0</v>
      </c>
      <c r="AM175" s="324">
        <v>0</v>
      </c>
      <c r="AN175" s="324">
        <v>0</v>
      </c>
      <c r="AO175" s="324">
        <v>0</v>
      </c>
      <c r="AP175" s="324">
        <v>0</v>
      </c>
      <c r="AQ175" s="324">
        <v>0</v>
      </c>
      <c r="AR175" s="324">
        <v>0</v>
      </c>
      <c r="AS175" s="324">
        <v>0</v>
      </c>
      <c r="AT175" s="140">
        <f t="shared" si="84"/>
        <v>0</v>
      </c>
      <c r="AU175" s="324">
        <v>0</v>
      </c>
      <c r="AV175" s="324">
        <v>0</v>
      </c>
      <c r="AW175" s="324">
        <v>0</v>
      </c>
      <c r="AX175" s="324">
        <v>0</v>
      </c>
      <c r="AY175" s="324">
        <v>0</v>
      </c>
      <c r="AZ175" s="324">
        <v>0</v>
      </c>
      <c r="BA175" s="324">
        <v>0</v>
      </c>
      <c r="BB175" s="324">
        <v>0</v>
      </c>
      <c r="BC175" s="324">
        <v>0</v>
      </c>
      <c r="BD175" s="324">
        <v>0</v>
      </c>
      <c r="BE175" s="324">
        <v>0</v>
      </c>
      <c r="BF175" s="324">
        <v>0</v>
      </c>
      <c r="BG175" s="140">
        <f t="shared" si="85"/>
        <v>0</v>
      </c>
      <c r="BH175" s="324">
        <v>0</v>
      </c>
      <c r="BI175" s="324">
        <v>0</v>
      </c>
      <c r="BJ175" s="324">
        <v>0</v>
      </c>
      <c r="BK175" s="324">
        <v>0</v>
      </c>
      <c r="BL175" s="324">
        <v>0</v>
      </c>
      <c r="BM175" s="324">
        <v>0</v>
      </c>
      <c r="BN175" s="324">
        <v>0</v>
      </c>
      <c r="BO175" s="324">
        <v>0</v>
      </c>
      <c r="BP175" s="324">
        <v>0</v>
      </c>
      <c r="BQ175" s="324">
        <v>0</v>
      </c>
      <c r="BR175" s="324">
        <v>0</v>
      </c>
      <c r="BS175" s="324">
        <v>0</v>
      </c>
      <c r="BT175" s="140">
        <f t="shared" si="86"/>
        <v>0</v>
      </c>
      <c r="BU175" s="114">
        <f t="shared" si="87"/>
        <v>200</v>
      </c>
      <c r="BV175" s="372">
        <v>1</v>
      </c>
      <c r="BW175" s="372">
        <v>1</v>
      </c>
      <c r="BX175" s="372">
        <v>1</v>
      </c>
      <c r="BY175" s="372">
        <v>1</v>
      </c>
      <c r="BZ175" s="436">
        <f t="shared" si="103"/>
        <v>0</v>
      </c>
      <c r="CA175" s="428">
        <f>IFERROR((FD175/T175%),0)</f>
        <v>96.449996948242188</v>
      </c>
      <c r="CB175" s="7" t="s">
        <v>1681</v>
      </c>
      <c r="CC175" s="3">
        <v>0</v>
      </c>
      <c r="CD175" s="3">
        <v>0</v>
      </c>
      <c r="CE175" s="3">
        <v>0</v>
      </c>
      <c r="CF175" s="3">
        <v>0</v>
      </c>
      <c r="CG175" s="3">
        <v>0</v>
      </c>
      <c r="CH175" s="3">
        <v>0</v>
      </c>
      <c r="CI175" s="3">
        <v>0</v>
      </c>
      <c r="CJ175" s="3">
        <v>0</v>
      </c>
      <c r="CK175" s="3">
        <v>1</v>
      </c>
      <c r="CL175" s="3">
        <v>0</v>
      </c>
      <c r="CM175" s="3">
        <v>0</v>
      </c>
      <c r="CN175" s="3">
        <v>0</v>
      </c>
      <c r="CO175" s="4">
        <f t="shared" si="97"/>
        <v>1</v>
      </c>
      <c r="CP175" s="3">
        <v>0</v>
      </c>
      <c r="CQ175" s="3">
        <v>0</v>
      </c>
      <c r="CR175" s="3">
        <v>0</v>
      </c>
      <c r="CS175" s="3">
        <v>0</v>
      </c>
      <c r="CT175" s="3">
        <v>0</v>
      </c>
      <c r="CU175" s="3">
        <v>0</v>
      </c>
      <c r="CV175" s="3">
        <v>0</v>
      </c>
      <c r="CW175" s="3">
        <v>0</v>
      </c>
      <c r="CX175" s="3">
        <v>0</v>
      </c>
      <c r="CY175" s="3">
        <v>0</v>
      </c>
      <c r="CZ175" s="3">
        <v>0</v>
      </c>
      <c r="DA175" s="3">
        <v>0</v>
      </c>
      <c r="DB175" s="4">
        <f t="shared" si="98"/>
        <v>0</v>
      </c>
      <c r="DC175" s="3">
        <v>0</v>
      </c>
      <c r="DD175" s="3">
        <v>0</v>
      </c>
      <c r="DE175" s="3">
        <v>0</v>
      </c>
      <c r="DF175" s="3">
        <v>0</v>
      </c>
      <c r="DG175" s="3">
        <v>0</v>
      </c>
      <c r="DH175" s="3">
        <v>0</v>
      </c>
      <c r="DI175" s="3">
        <v>0</v>
      </c>
      <c r="DJ175" s="3">
        <v>0</v>
      </c>
      <c r="DK175" s="3">
        <v>0</v>
      </c>
      <c r="DL175" s="3">
        <v>0</v>
      </c>
      <c r="DM175" s="3">
        <v>0</v>
      </c>
      <c r="DN175" s="3">
        <v>0</v>
      </c>
      <c r="DO175" s="4">
        <f t="shared" si="99"/>
        <v>0</v>
      </c>
      <c r="DP175" s="3">
        <v>0</v>
      </c>
      <c r="DQ175" s="3">
        <v>0</v>
      </c>
      <c r="DR175" s="3">
        <v>0</v>
      </c>
      <c r="DS175" s="3">
        <v>0</v>
      </c>
      <c r="DT175" s="3">
        <v>0</v>
      </c>
      <c r="DU175" s="3">
        <v>0</v>
      </c>
      <c r="DV175" s="3">
        <v>0</v>
      </c>
      <c r="DW175" s="3">
        <v>0</v>
      </c>
      <c r="DX175" s="3">
        <v>0</v>
      </c>
      <c r="DY175" s="3">
        <v>0</v>
      </c>
      <c r="DZ175" s="3">
        <v>0</v>
      </c>
      <c r="EA175" s="3">
        <v>0</v>
      </c>
      <c r="EB175" s="4">
        <f t="shared" si="100"/>
        <v>0</v>
      </c>
      <c r="EC175" s="3">
        <v>0</v>
      </c>
      <c r="ED175" s="3">
        <v>0</v>
      </c>
      <c r="EE175" s="3">
        <v>0</v>
      </c>
      <c r="EF175" s="3">
        <v>0</v>
      </c>
      <c r="EG175" s="3">
        <v>0</v>
      </c>
      <c r="EH175" s="3">
        <v>0</v>
      </c>
      <c r="EI175" s="3">
        <v>0</v>
      </c>
      <c r="EJ175" s="3">
        <v>0</v>
      </c>
      <c r="EK175" s="3">
        <v>0</v>
      </c>
      <c r="EL175" s="3">
        <v>0</v>
      </c>
      <c r="EM175" s="3">
        <v>0</v>
      </c>
      <c r="EN175" s="3">
        <v>0</v>
      </c>
      <c r="EO175" s="4">
        <f t="shared" si="101"/>
        <v>0</v>
      </c>
      <c r="EP175" s="8">
        <f t="shared" si="102"/>
        <v>1</v>
      </c>
      <c r="EQ175" s="181">
        <f>IFERROR(VLOOKUP(I175,CEI_012018!$A$1:$U$509,9,FALSE),0)</f>
        <v>0</v>
      </c>
      <c r="ER175" s="181">
        <f>IFERROR(VLOOKUP(I175,CEI_022018!$A$1:$U$509,9,FALSE),0)</f>
        <v>0</v>
      </c>
      <c r="ES175" s="181">
        <f>IFERROR(VLOOKUP(I175,CEI_032018!$A$1:$U$509,9,FALSE),0)</f>
        <v>0</v>
      </c>
      <c r="ET175" s="181">
        <f>IFERROR(VLOOKUP(I175,CEI_042018!$A$1:$U$491,9,FALSE),0)</f>
        <v>0</v>
      </c>
      <c r="EU175" s="181">
        <f>IFERROR(VLOOKUP(I175,CEI_052018!$A$1:$U$489,9,FALSE),0)</f>
        <v>0</v>
      </c>
      <c r="EV175" s="181">
        <f>IFERROR(VLOOKUP(I175,CEI_062018!$A$1:$U$489,9,FALSE),0)</f>
        <v>0</v>
      </c>
      <c r="EW175" s="181">
        <f>IFERROR(VLOOKUP(I175,CEI_072018!$A$1:$U$489,9,FALSE),0)</f>
        <v>0</v>
      </c>
      <c r="EX175" s="181">
        <f>IFERROR(VLOOKUP(I175,CEI_082018!$A$1:$U$489,9,FALSE),0)</f>
        <v>0</v>
      </c>
      <c r="EY175" s="181">
        <f>IFERROR(VLOOKUP(I175,CEI_092018!$A$1:$U$489,9,FALSE),0)</f>
        <v>0</v>
      </c>
      <c r="EZ175" s="181"/>
      <c r="FA175" s="181"/>
      <c r="FB175" s="181"/>
      <c r="FC175" s="181">
        <f>IFERROR(VLOOKUP(I175,CEI_092018!$A$1:$U$489,12,FALSE),0)</f>
        <v>192.89999389648437</v>
      </c>
      <c r="FD175" s="181">
        <f t="shared" si="94"/>
        <v>192.89999389648437</v>
      </c>
      <c r="FE175" s="181">
        <f t="shared" si="95"/>
        <v>7.100006103515625</v>
      </c>
      <c r="FF175"/>
      <c r="FG175"/>
      <c r="FH175"/>
      <c r="FI175"/>
      <c r="FJ175"/>
      <c r="FK175"/>
      <c r="FL175"/>
      <c r="FM175"/>
      <c r="FN175"/>
      <c r="FO175"/>
      <c r="FP175"/>
      <c r="FQ175"/>
      <c r="FR175"/>
      <c r="FS175"/>
      <c r="FT175"/>
      <c r="FU175"/>
      <c r="FV175"/>
      <c r="FW175"/>
      <c r="FX175"/>
      <c r="FY175"/>
      <c r="FZ175"/>
      <c r="GA175"/>
      <c r="GB175"/>
      <c r="GC175"/>
    </row>
    <row r="176" spans="1:185" ht="12.75" customHeight="1" x14ac:dyDescent="0.25">
      <c r="A176" s="202"/>
      <c r="B176" s="22" t="s">
        <v>57</v>
      </c>
      <c r="C176" s="34" t="s">
        <v>42</v>
      </c>
      <c r="D176" s="22" t="s">
        <v>318</v>
      </c>
      <c r="E176" s="25" t="s">
        <v>1061</v>
      </c>
      <c r="F176" s="25" t="s">
        <v>318</v>
      </c>
      <c r="G176" s="25" t="s">
        <v>1061</v>
      </c>
      <c r="H176" s="22" t="s">
        <v>56</v>
      </c>
      <c r="I176" s="423" t="s">
        <v>565</v>
      </c>
      <c r="J176" s="37" t="s">
        <v>59</v>
      </c>
      <c r="K176" s="23" t="s">
        <v>730</v>
      </c>
      <c r="L176" s="23" t="s">
        <v>731</v>
      </c>
      <c r="M176" s="23" t="s">
        <v>726</v>
      </c>
      <c r="N176" s="23" t="s">
        <v>1864</v>
      </c>
      <c r="O176" s="2">
        <v>0</v>
      </c>
      <c r="P176" s="2">
        <v>0</v>
      </c>
      <c r="Q176" s="2">
        <v>0</v>
      </c>
      <c r="R176" s="2">
        <v>0</v>
      </c>
      <c r="S176" s="2">
        <v>0</v>
      </c>
      <c r="T176" s="116">
        <f t="shared" si="82"/>
        <v>0</v>
      </c>
      <c r="U176" s="324">
        <v>0</v>
      </c>
      <c r="V176" s="324">
        <v>0</v>
      </c>
      <c r="W176" s="324">
        <v>0</v>
      </c>
      <c r="X176" s="324">
        <v>0</v>
      </c>
      <c r="Y176" s="324">
        <v>0</v>
      </c>
      <c r="Z176" s="324">
        <v>0</v>
      </c>
      <c r="AA176" s="324">
        <v>0</v>
      </c>
      <c r="AB176" s="324">
        <v>46</v>
      </c>
      <c r="AC176" s="324">
        <v>0</v>
      </c>
      <c r="AD176" s="324">
        <v>0</v>
      </c>
      <c r="AE176" s="324">
        <v>0</v>
      </c>
      <c r="AF176" s="324">
        <v>0</v>
      </c>
      <c r="AG176" s="140">
        <f t="shared" si="83"/>
        <v>46</v>
      </c>
      <c r="AH176" s="324">
        <v>0</v>
      </c>
      <c r="AI176" s="324">
        <v>0</v>
      </c>
      <c r="AJ176" s="324">
        <v>0</v>
      </c>
      <c r="AK176" s="324">
        <v>0</v>
      </c>
      <c r="AL176" s="324">
        <v>0</v>
      </c>
      <c r="AM176" s="324">
        <v>0</v>
      </c>
      <c r="AN176" s="324">
        <v>0</v>
      </c>
      <c r="AO176" s="324">
        <v>0</v>
      </c>
      <c r="AP176" s="324">
        <v>0</v>
      </c>
      <c r="AQ176" s="324">
        <v>0</v>
      </c>
      <c r="AR176" s="324">
        <v>0</v>
      </c>
      <c r="AS176" s="324">
        <v>99.700999999999993</v>
      </c>
      <c r="AT176" s="140">
        <f t="shared" si="84"/>
        <v>99.700999999999993</v>
      </c>
      <c r="AU176" s="324">
        <v>0</v>
      </c>
      <c r="AV176" s="324">
        <v>0</v>
      </c>
      <c r="AW176" s="324">
        <v>0</v>
      </c>
      <c r="AX176" s="324">
        <v>0</v>
      </c>
      <c r="AY176" s="324">
        <v>0</v>
      </c>
      <c r="AZ176" s="324">
        <v>0</v>
      </c>
      <c r="BA176" s="324">
        <v>0</v>
      </c>
      <c r="BB176" s="324">
        <v>0</v>
      </c>
      <c r="BC176" s="324">
        <v>0</v>
      </c>
      <c r="BD176" s="324">
        <v>0</v>
      </c>
      <c r="BE176" s="324">
        <v>31.904</v>
      </c>
      <c r="BF176" s="324">
        <v>0</v>
      </c>
      <c r="BG176" s="140">
        <f t="shared" si="85"/>
        <v>31.904</v>
      </c>
      <c r="BH176" s="324">
        <v>0</v>
      </c>
      <c r="BI176" s="324">
        <v>0</v>
      </c>
      <c r="BJ176" s="324">
        <v>0</v>
      </c>
      <c r="BK176" s="324">
        <v>0</v>
      </c>
      <c r="BL176" s="324">
        <v>0</v>
      </c>
      <c r="BM176" s="324">
        <v>0</v>
      </c>
      <c r="BN176" s="324">
        <v>0</v>
      </c>
      <c r="BO176" s="324">
        <v>0</v>
      </c>
      <c r="BP176" s="324">
        <v>0</v>
      </c>
      <c r="BQ176" s="324">
        <v>0</v>
      </c>
      <c r="BR176" s="324">
        <v>0</v>
      </c>
      <c r="BS176" s="324">
        <v>21.934000000000001</v>
      </c>
      <c r="BT176" s="140">
        <f t="shared" si="86"/>
        <v>21.934000000000001</v>
      </c>
      <c r="BU176" s="114">
        <f t="shared" si="87"/>
        <v>199.53899999999999</v>
      </c>
      <c r="BV176" s="432"/>
      <c r="BW176" s="432"/>
      <c r="BX176" s="432"/>
      <c r="BY176" s="432"/>
      <c r="BZ176" s="433"/>
      <c r="CA176" s="434"/>
      <c r="CB176" s="7" t="s">
        <v>1681</v>
      </c>
      <c r="CC176" s="3">
        <v>0</v>
      </c>
      <c r="CD176" s="3">
        <v>0</v>
      </c>
      <c r="CE176" s="3">
        <v>0</v>
      </c>
      <c r="CF176" s="3">
        <v>0</v>
      </c>
      <c r="CG176" s="3">
        <v>0</v>
      </c>
      <c r="CH176" s="3">
        <v>0</v>
      </c>
      <c r="CI176" s="3">
        <v>0</v>
      </c>
      <c r="CJ176" s="3">
        <v>0</v>
      </c>
      <c r="CK176" s="3">
        <v>0</v>
      </c>
      <c r="CL176" s="3">
        <v>0</v>
      </c>
      <c r="CM176" s="3">
        <v>0</v>
      </c>
      <c r="CN176" s="3">
        <v>0</v>
      </c>
      <c r="CO176" s="4">
        <f t="shared" si="97"/>
        <v>0</v>
      </c>
      <c r="CP176" s="3">
        <v>0</v>
      </c>
      <c r="CQ176" s="3">
        <v>0</v>
      </c>
      <c r="CR176" s="3">
        <v>0</v>
      </c>
      <c r="CS176" s="3">
        <v>0</v>
      </c>
      <c r="CT176" s="3">
        <v>0</v>
      </c>
      <c r="CU176" s="3">
        <v>0</v>
      </c>
      <c r="CV176" s="3">
        <v>0</v>
      </c>
      <c r="CW176" s="3">
        <v>1</v>
      </c>
      <c r="CX176" s="3">
        <v>0</v>
      </c>
      <c r="CY176" s="3">
        <v>0</v>
      </c>
      <c r="CZ176" s="3">
        <v>0</v>
      </c>
      <c r="DA176" s="3">
        <v>0</v>
      </c>
      <c r="DB176" s="4">
        <f t="shared" si="98"/>
        <v>1</v>
      </c>
      <c r="DC176" s="3">
        <v>0</v>
      </c>
      <c r="DD176" s="3">
        <v>0</v>
      </c>
      <c r="DE176" s="3">
        <v>0</v>
      </c>
      <c r="DF176" s="3">
        <v>0</v>
      </c>
      <c r="DG176" s="3">
        <v>0</v>
      </c>
      <c r="DH176" s="3">
        <v>0</v>
      </c>
      <c r="DI176" s="3">
        <v>0</v>
      </c>
      <c r="DJ176" s="3">
        <v>0</v>
      </c>
      <c r="DK176" s="3">
        <v>0</v>
      </c>
      <c r="DL176" s="3">
        <v>0</v>
      </c>
      <c r="DM176" s="3">
        <v>0</v>
      </c>
      <c r="DN176" s="3">
        <v>2</v>
      </c>
      <c r="DO176" s="4">
        <f t="shared" si="99"/>
        <v>2</v>
      </c>
      <c r="DP176" s="3">
        <v>0</v>
      </c>
      <c r="DQ176" s="3">
        <v>0</v>
      </c>
      <c r="DR176" s="3">
        <v>0</v>
      </c>
      <c r="DS176" s="3">
        <v>0</v>
      </c>
      <c r="DT176" s="3">
        <v>0</v>
      </c>
      <c r="DU176" s="3">
        <v>0</v>
      </c>
      <c r="DV176" s="3">
        <v>0</v>
      </c>
      <c r="DW176" s="3">
        <v>0</v>
      </c>
      <c r="DX176" s="3">
        <v>0</v>
      </c>
      <c r="DY176" s="3">
        <v>0</v>
      </c>
      <c r="DZ176" s="3">
        <v>1</v>
      </c>
      <c r="EA176" s="3">
        <v>0</v>
      </c>
      <c r="EB176" s="4">
        <f t="shared" si="100"/>
        <v>1</v>
      </c>
      <c r="EC176" s="3">
        <v>0</v>
      </c>
      <c r="ED176" s="3">
        <v>0</v>
      </c>
      <c r="EE176" s="3">
        <v>0</v>
      </c>
      <c r="EF176" s="3">
        <v>0</v>
      </c>
      <c r="EG176" s="3">
        <v>0</v>
      </c>
      <c r="EH176" s="3">
        <v>0</v>
      </c>
      <c r="EI176" s="3">
        <v>0</v>
      </c>
      <c r="EJ176" s="3">
        <v>0</v>
      </c>
      <c r="EK176" s="3">
        <v>0</v>
      </c>
      <c r="EL176" s="3">
        <v>0</v>
      </c>
      <c r="EM176" s="3">
        <v>0</v>
      </c>
      <c r="EN176" s="3">
        <v>1</v>
      </c>
      <c r="EO176" s="4">
        <f t="shared" si="101"/>
        <v>1</v>
      </c>
      <c r="EP176" s="8">
        <f t="shared" si="102"/>
        <v>5</v>
      </c>
      <c r="EQ176" s="181">
        <f>IFERROR(VLOOKUP(I176,CEI_012018!$A$1:$U$509,9,FALSE),0)</f>
        <v>0</v>
      </c>
      <c r="ER176" s="181">
        <f>IFERROR(VLOOKUP(I176,CEI_022018!$A$1:$U$509,9,FALSE),0)</f>
        <v>0</v>
      </c>
      <c r="ES176" s="181">
        <f>IFERROR(VLOOKUP(I176,CEI_032018!$A$1:$U$509,9,FALSE),0)</f>
        <v>0</v>
      </c>
      <c r="ET176" s="181">
        <f>IFERROR(VLOOKUP(I176,CEI_042018!$A$1:$U$491,9,FALSE),0)</f>
        <v>0</v>
      </c>
      <c r="EU176" s="181">
        <f>IFERROR(VLOOKUP(I176,CEI_052018!$A$1:$U$489,9,FALSE),0)</f>
        <v>0</v>
      </c>
      <c r="EV176" s="181">
        <f>IFERROR(VLOOKUP(I176,CEI_062018!$A$1:$U$489,9,FALSE),0)</f>
        <v>0</v>
      </c>
      <c r="EW176" s="181">
        <f>IFERROR(VLOOKUP(I176,CEI_072018!$A$1:$U$489,9,FALSE),0)</f>
        <v>0</v>
      </c>
      <c r="EX176" s="181">
        <f>IFERROR(VLOOKUP(I176,CEI_082018!$A$1:$U$489,9,FALSE),0)</f>
        <v>0</v>
      </c>
      <c r="EY176" s="181">
        <f>IFERROR(VLOOKUP(I176,CEI_092018!$A$1:$U$489,9,FALSE),0)</f>
        <v>0</v>
      </c>
      <c r="EZ176" s="181"/>
      <c r="FA176" s="181"/>
      <c r="FB176" s="181"/>
      <c r="FC176" s="181">
        <f>IFERROR(VLOOKUP(I176,CEI_092018!$A$1:$U$489,12,FALSE),0)</f>
        <v>0</v>
      </c>
      <c r="FD176" s="181">
        <f t="shared" ref="FD176:FD207" si="104">EW176+FC176</f>
        <v>0</v>
      </c>
      <c r="FE176" s="181">
        <f t="shared" ref="FE176:FE207" si="105">SUM(T176-FD176)</f>
        <v>0</v>
      </c>
      <c r="FF176"/>
      <c r="FG176"/>
      <c r="FH176"/>
      <c r="FI176"/>
      <c r="FJ176"/>
      <c r="FK176"/>
      <c r="FL176"/>
      <c r="FM176"/>
      <c r="FN176"/>
      <c r="FO176"/>
      <c r="FP176"/>
      <c r="FQ176"/>
      <c r="FR176"/>
      <c r="FS176"/>
      <c r="FT176"/>
      <c r="FU176"/>
      <c r="FV176"/>
      <c r="FW176"/>
      <c r="FX176"/>
      <c r="FY176"/>
      <c r="FZ176"/>
      <c r="GA176"/>
      <c r="GB176"/>
      <c r="GC176"/>
    </row>
    <row r="177" spans="1:185" ht="12.75" customHeight="1" x14ac:dyDescent="0.25">
      <c r="A177" s="202"/>
      <c r="B177" s="22" t="s">
        <v>57</v>
      </c>
      <c r="C177" s="34" t="s">
        <v>42</v>
      </c>
      <c r="D177" s="22" t="s">
        <v>318</v>
      </c>
      <c r="E177" s="25" t="s">
        <v>1061</v>
      </c>
      <c r="F177" s="25" t="s">
        <v>318</v>
      </c>
      <c r="G177" s="25" t="s">
        <v>1061</v>
      </c>
      <c r="H177" s="22" t="s">
        <v>56</v>
      </c>
      <c r="I177" s="423" t="s">
        <v>565</v>
      </c>
      <c r="J177" s="37" t="s">
        <v>59</v>
      </c>
      <c r="K177" s="23" t="s">
        <v>735</v>
      </c>
      <c r="L177" s="23" t="s">
        <v>735</v>
      </c>
      <c r="M177" s="23" t="s">
        <v>726</v>
      </c>
      <c r="N177" s="23" t="s">
        <v>1864</v>
      </c>
      <c r="O177" s="2">
        <v>0</v>
      </c>
      <c r="P177" s="2">
        <v>0</v>
      </c>
      <c r="Q177" s="2">
        <v>0</v>
      </c>
      <c r="R177" s="2">
        <v>0</v>
      </c>
      <c r="S177" s="2">
        <v>0</v>
      </c>
      <c r="T177" s="116">
        <f t="shared" si="82"/>
        <v>0</v>
      </c>
      <c r="U177" s="324">
        <v>0</v>
      </c>
      <c r="V177" s="324">
        <v>0</v>
      </c>
      <c r="W177" s="324">
        <v>0</v>
      </c>
      <c r="X177" s="324">
        <v>0</v>
      </c>
      <c r="Y177" s="324">
        <v>0</v>
      </c>
      <c r="Z177" s="324">
        <v>0</v>
      </c>
      <c r="AA177" s="324">
        <v>0</v>
      </c>
      <c r="AB177" s="324">
        <v>48</v>
      </c>
      <c r="AC177" s="324">
        <v>0</v>
      </c>
      <c r="AD177" s="324">
        <v>0</v>
      </c>
      <c r="AE177" s="324">
        <v>0</v>
      </c>
      <c r="AF177" s="324">
        <v>0</v>
      </c>
      <c r="AG177" s="140">
        <f t="shared" si="83"/>
        <v>48</v>
      </c>
      <c r="AH177" s="324">
        <v>0</v>
      </c>
      <c r="AI177" s="324">
        <v>0</v>
      </c>
      <c r="AJ177" s="324">
        <v>0</v>
      </c>
      <c r="AK177" s="324">
        <v>0</v>
      </c>
      <c r="AL177" s="324">
        <v>0</v>
      </c>
      <c r="AM177" s="324">
        <v>0</v>
      </c>
      <c r="AN177" s="324">
        <v>0</v>
      </c>
      <c r="AO177" s="324">
        <v>0</v>
      </c>
      <c r="AP177" s="324">
        <v>98</v>
      </c>
      <c r="AQ177" s="324">
        <v>0</v>
      </c>
      <c r="AR177" s="324">
        <v>0</v>
      </c>
      <c r="AS177" s="324">
        <v>0</v>
      </c>
      <c r="AT177" s="140">
        <f t="shared" si="84"/>
        <v>98</v>
      </c>
      <c r="AU177" s="324">
        <v>0</v>
      </c>
      <c r="AV177" s="324">
        <v>0</v>
      </c>
      <c r="AW177" s="324">
        <v>0</v>
      </c>
      <c r="AX177" s="324">
        <v>0</v>
      </c>
      <c r="AY177" s="324">
        <v>0</v>
      </c>
      <c r="AZ177" s="324">
        <v>0</v>
      </c>
      <c r="BA177" s="324">
        <v>0</v>
      </c>
      <c r="BB177" s="324">
        <v>0</v>
      </c>
      <c r="BC177" s="324">
        <v>0</v>
      </c>
      <c r="BD177" s="324">
        <v>0</v>
      </c>
      <c r="BE177" s="324">
        <v>21</v>
      </c>
      <c r="BF177" s="324">
        <v>0</v>
      </c>
      <c r="BG177" s="140">
        <f t="shared" si="85"/>
        <v>21</v>
      </c>
      <c r="BH177" s="324">
        <v>0</v>
      </c>
      <c r="BI177" s="324">
        <v>0</v>
      </c>
      <c r="BJ177" s="324">
        <v>0</v>
      </c>
      <c r="BK177" s="324">
        <v>0</v>
      </c>
      <c r="BL177" s="324">
        <v>0</v>
      </c>
      <c r="BM177" s="324">
        <v>0</v>
      </c>
      <c r="BN177" s="324">
        <v>0</v>
      </c>
      <c r="BO177" s="324">
        <v>0</v>
      </c>
      <c r="BP177" s="324">
        <v>0</v>
      </c>
      <c r="BQ177" s="324">
        <v>0</v>
      </c>
      <c r="BR177" s="324">
        <v>0</v>
      </c>
      <c r="BS177" s="324">
        <v>20.731999999999999</v>
      </c>
      <c r="BT177" s="140">
        <f t="shared" si="86"/>
        <v>20.731999999999999</v>
      </c>
      <c r="BU177" s="114">
        <f t="shared" si="87"/>
        <v>187.732</v>
      </c>
      <c r="BV177" s="432"/>
      <c r="BW177" s="432"/>
      <c r="BX177" s="432"/>
      <c r="BY177" s="432"/>
      <c r="BZ177" s="433"/>
      <c r="CA177" s="434"/>
      <c r="CB177" s="7" t="s">
        <v>1681</v>
      </c>
      <c r="CC177" s="3">
        <v>0</v>
      </c>
      <c r="CD177" s="3">
        <v>0</v>
      </c>
      <c r="CE177" s="3">
        <v>0</v>
      </c>
      <c r="CF177" s="3">
        <v>0</v>
      </c>
      <c r="CG177" s="3">
        <v>0</v>
      </c>
      <c r="CH177" s="3">
        <v>0</v>
      </c>
      <c r="CI177" s="3">
        <v>0</v>
      </c>
      <c r="CJ177" s="3">
        <v>0</v>
      </c>
      <c r="CK177" s="3">
        <v>0</v>
      </c>
      <c r="CL177" s="3">
        <v>0</v>
      </c>
      <c r="CM177" s="3">
        <v>0</v>
      </c>
      <c r="CN177" s="3">
        <v>0</v>
      </c>
      <c r="CO177" s="4">
        <f t="shared" si="97"/>
        <v>0</v>
      </c>
      <c r="CP177" s="3">
        <v>0</v>
      </c>
      <c r="CQ177" s="3">
        <v>0</v>
      </c>
      <c r="CR177" s="3">
        <v>0</v>
      </c>
      <c r="CS177" s="3">
        <v>0</v>
      </c>
      <c r="CT177" s="3">
        <v>0</v>
      </c>
      <c r="CU177" s="3">
        <v>0</v>
      </c>
      <c r="CV177" s="3">
        <v>0</v>
      </c>
      <c r="CW177" s="3">
        <v>2</v>
      </c>
      <c r="CX177" s="3">
        <v>0</v>
      </c>
      <c r="CY177" s="3">
        <v>0</v>
      </c>
      <c r="CZ177" s="3">
        <v>0</v>
      </c>
      <c r="DA177" s="3">
        <v>0</v>
      </c>
      <c r="DB177" s="4">
        <f t="shared" si="98"/>
        <v>2</v>
      </c>
      <c r="DC177" s="3">
        <v>0</v>
      </c>
      <c r="DD177" s="3">
        <v>0</v>
      </c>
      <c r="DE177" s="3">
        <v>0</v>
      </c>
      <c r="DF177" s="3">
        <v>0</v>
      </c>
      <c r="DG177" s="3">
        <v>0</v>
      </c>
      <c r="DH177" s="3">
        <v>0</v>
      </c>
      <c r="DI177" s="3">
        <v>0</v>
      </c>
      <c r="DJ177" s="3">
        <v>0</v>
      </c>
      <c r="DK177" s="3">
        <v>4</v>
      </c>
      <c r="DL177" s="3">
        <v>0</v>
      </c>
      <c r="DM177" s="3">
        <v>0</v>
      </c>
      <c r="DN177" s="3">
        <v>0</v>
      </c>
      <c r="DO177" s="4">
        <f t="shared" si="99"/>
        <v>4</v>
      </c>
      <c r="DP177" s="3">
        <v>0</v>
      </c>
      <c r="DQ177" s="3">
        <v>0</v>
      </c>
      <c r="DR177" s="3">
        <v>0</v>
      </c>
      <c r="DS177" s="3">
        <v>0</v>
      </c>
      <c r="DT177" s="3">
        <v>0</v>
      </c>
      <c r="DU177" s="3">
        <v>0</v>
      </c>
      <c r="DV177" s="3">
        <v>0</v>
      </c>
      <c r="DW177" s="3">
        <v>0</v>
      </c>
      <c r="DX177" s="3">
        <v>0</v>
      </c>
      <c r="DY177" s="3">
        <v>0</v>
      </c>
      <c r="DZ177" s="3">
        <v>1</v>
      </c>
      <c r="EA177" s="3">
        <v>0</v>
      </c>
      <c r="EB177" s="4">
        <f t="shared" si="100"/>
        <v>1</v>
      </c>
      <c r="EC177" s="3">
        <v>0</v>
      </c>
      <c r="ED177" s="3">
        <v>0</v>
      </c>
      <c r="EE177" s="3">
        <v>0</v>
      </c>
      <c r="EF177" s="3">
        <v>0</v>
      </c>
      <c r="EG177" s="3">
        <v>0</v>
      </c>
      <c r="EH177" s="3">
        <v>0</v>
      </c>
      <c r="EI177" s="3">
        <v>0</v>
      </c>
      <c r="EJ177" s="3">
        <v>0</v>
      </c>
      <c r="EK177" s="3">
        <v>0</v>
      </c>
      <c r="EL177" s="3">
        <v>0</v>
      </c>
      <c r="EM177" s="3">
        <v>0</v>
      </c>
      <c r="EN177" s="3">
        <v>1</v>
      </c>
      <c r="EO177" s="4">
        <f t="shared" si="101"/>
        <v>1</v>
      </c>
      <c r="EP177" s="8">
        <f t="shared" si="102"/>
        <v>8</v>
      </c>
      <c r="EQ177" s="181">
        <f>IFERROR(VLOOKUP(I177,CEI_012018!$A$1:$U$509,9,FALSE),0)</f>
        <v>0</v>
      </c>
      <c r="ER177" s="181">
        <f>IFERROR(VLOOKUP(I177,CEI_022018!$A$1:$U$509,9,FALSE),0)</f>
        <v>0</v>
      </c>
      <c r="ES177" s="181">
        <f>IFERROR(VLOOKUP(I177,CEI_032018!$A$1:$U$509,9,FALSE),0)</f>
        <v>0</v>
      </c>
      <c r="ET177" s="181">
        <f>IFERROR(VLOOKUP(I177,CEI_042018!$A$1:$U$491,9,FALSE),0)</f>
        <v>0</v>
      </c>
      <c r="EU177" s="181">
        <f>IFERROR(VLOOKUP(I177,CEI_052018!$A$1:$U$489,9,FALSE),0)</f>
        <v>0</v>
      </c>
      <c r="EV177" s="181">
        <f>IFERROR(VLOOKUP(I177,CEI_062018!$A$1:$U$489,9,FALSE),0)</f>
        <v>0</v>
      </c>
      <c r="EW177" s="181">
        <f>IFERROR(VLOOKUP(I177,CEI_072018!$A$1:$U$489,9,FALSE),0)</f>
        <v>0</v>
      </c>
      <c r="EX177" s="181">
        <f>IFERROR(VLOOKUP(I177,CEI_082018!$A$1:$U$489,9,FALSE),0)</f>
        <v>0</v>
      </c>
      <c r="EY177" s="181">
        <f>IFERROR(VLOOKUP(I177,CEI_092018!$A$1:$U$489,9,FALSE),0)</f>
        <v>0</v>
      </c>
      <c r="EZ177" s="181"/>
      <c r="FA177" s="181"/>
      <c r="FB177" s="181"/>
      <c r="FC177" s="181">
        <f>IFERROR(VLOOKUP(I177,CEI_092018!$A$1:$U$489,12,FALSE),0)</f>
        <v>0</v>
      </c>
      <c r="FD177" s="181">
        <f t="shared" si="104"/>
        <v>0</v>
      </c>
      <c r="FE177" s="181">
        <f t="shared" si="105"/>
        <v>0</v>
      </c>
      <c r="FF177"/>
      <c r="FG177"/>
      <c r="FH177"/>
      <c r="FI177"/>
      <c r="FJ177"/>
      <c r="FK177"/>
      <c r="FL177"/>
      <c r="FM177"/>
      <c r="FN177"/>
      <c r="FO177"/>
      <c r="FP177"/>
      <c r="FQ177"/>
      <c r="FR177"/>
      <c r="FS177"/>
      <c r="FT177"/>
      <c r="FU177"/>
      <c r="FV177"/>
      <c r="FW177"/>
      <c r="FX177"/>
      <c r="FY177"/>
      <c r="FZ177"/>
      <c r="GA177"/>
      <c r="GB177"/>
      <c r="GC177"/>
    </row>
    <row r="178" spans="1:185" ht="12.75" customHeight="1" x14ac:dyDescent="0.25">
      <c r="A178" s="202"/>
      <c r="B178" s="22" t="s">
        <v>57</v>
      </c>
      <c r="C178" s="34" t="s">
        <v>42</v>
      </c>
      <c r="D178" s="22" t="s">
        <v>318</v>
      </c>
      <c r="E178" s="25" t="s">
        <v>1604</v>
      </c>
      <c r="F178" s="25" t="s">
        <v>318</v>
      </c>
      <c r="G178" s="25" t="s">
        <v>1604</v>
      </c>
      <c r="H178" s="22" t="s">
        <v>56</v>
      </c>
      <c r="I178" s="423" t="s">
        <v>1312</v>
      </c>
      <c r="J178" s="37" t="s">
        <v>1314</v>
      </c>
      <c r="K178" s="23" t="s">
        <v>1313</v>
      </c>
      <c r="L178" s="23" t="s">
        <v>1606</v>
      </c>
      <c r="M178" s="23" t="s">
        <v>1609</v>
      </c>
      <c r="N178" s="23" t="s">
        <v>1873</v>
      </c>
      <c r="O178" s="2">
        <v>16.879440307617187</v>
      </c>
      <c r="P178" s="2">
        <v>43.06</v>
      </c>
      <c r="Q178" s="2">
        <v>64.864800000000002</v>
      </c>
      <c r="R178" s="2">
        <v>0</v>
      </c>
      <c r="S178" s="2">
        <v>-16.879440307617187</v>
      </c>
      <c r="T178" s="116">
        <f t="shared" si="82"/>
        <v>107.9248</v>
      </c>
      <c r="U178" s="324"/>
      <c r="V178" s="324"/>
      <c r="W178" s="324"/>
      <c r="X178" s="324"/>
      <c r="Y178" s="324"/>
      <c r="Z178" s="324"/>
      <c r="AA178" s="324"/>
      <c r="AB178" s="324"/>
      <c r="AC178" s="324"/>
      <c r="AD178" s="324"/>
      <c r="AE178" s="324"/>
      <c r="AF178" s="324"/>
      <c r="AG178" s="140">
        <f t="shared" si="83"/>
        <v>0</v>
      </c>
      <c r="AH178" s="324">
        <v>0</v>
      </c>
      <c r="AI178" s="324">
        <v>0</v>
      </c>
      <c r="AJ178" s="324">
        <v>0</v>
      </c>
      <c r="AK178" s="324">
        <v>0</v>
      </c>
      <c r="AL178" s="324">
        <v>0</v>
      </c>
      <c r="AM178" s="324">
        <v>0</v>
      </c>
      <c r="AN178" s="324">
        <v>0</v>
      </c>
      <c r="AO178" s="324">
        <v>0</v>
      </c>
      <c r="AP178" s="324">
        <v>0</v>
      </c>
      <c r="AQ178" s="324">
        <v>0</v>
      </c>
      <c r="AR178" s="324">
        <v>0</v>
      </c>
      <c r="AS178" s="324">
        <v>0</v>
      </c>
      <c r="AT178" s="140">
        <f t="shared" si="84"/>
        <v>0</v>
      </c>
      <c r="AU178" s="324">
        <v>0</v>
      </c>
      <c r="AV178" s="324">
        <v>0</v>
      </c>
      <c r="AW178" s="324">
        <v>0</v>
      </c>
      <c r="AX178" s="324">
        <v>0</v>
      </c>
      <c r="AY178" s="324">
        <v>0</v>
      </c>
      <c r="AZ178" s="324">
        <v>0</v>
      </c>
      <c r="BA178" s="324">
        <v>0</v>
      </c>
      <c r="BB178" s="324">
        <v>0</v>
      </c>
      <c r="BC178" s="324">
        <v>0</v>
      </c>
      <c r="BD178" s="324">
        <v>0</v>
      </c>
      <c r="BE178" s="324">
        <v>0</v>
      </c>
      <c r="BF178" s="324">
        <v>0</v>
      </c>
      <c r="BG178" s="140">
        <f t="shared" si="85"/>
        <v>0</v>
      </c>
      <c r="BH178" s="324">
        <v>0</v>
      </c>
      <c r="BI178" s="324">
        <v>0</v>
      </c>
      <c r="BJ178" s="324">
        <v>0</v>
      </c>
      <c r="BK178" s="324">
        <v>0</v>
      </c>
      <c r="BL178" s="324">
        <v>0</v>
      </c>
      <c r="BM178" s="324">
        <v>0</v>
      </c>
      <c r="BN178" s="324">
        <v>0</v>
      </c>
      <c r="BO178" s="324">
        <v>0</v>
      </c>
      <c r="BP178" s="324">
        <v>0</v>
      </c>
      <c r="BQ178" s="324">
        <v>0</v>
      </c>
      <c r="BR178" s="324">
        <v>0</v>
      </c>
      <c r="BS178" s="324">
        <v>0</v>
      </c>
      <c r="BT178" s="140">
        <f t="shared" si="86"/>
        <v>0</v>
      </c>
      <c r="BU178" s="114">
        <f t="shared" si="87"/>
        <v>107.9248</v>
      </c>
      <c r="BV178" s="372">
        <v>1</v>
      </c>
      <c r="BW178" s="372">
        <v>1</v>
      </c>
      <c r="BX178" s="372">
        <v>1</v>
      </c>
      <c r="BY178" s="372">
        <v>1</v>
      </c>
      <c r="BZ178" s="436">
        <f>IFERROR((EX178/T178%),0)</f>
        <v>15.640001471040195</v>
      </c>
      <c r="CA178" s="428">
        <f>IFERROR((FD178/T178%),0)</f>
        <v>1.7245619041706608</v>
      </c>
      <c r="CB178" s="7" t="s">
        <v>1681</v>
      </c>
      <c r="CC178" s="3">
        <v>0</v>
      </c>
      <c r="CD178" s="3">
        <v>0</v>
      </c>
      <c r="CE178" s="3">
        <v>0</v>
      </c>
      <c r="CF178" s="3">
        <v>0</v>
      </c>
      <c r="CG178" s="3">
        <v>0</v>
      </c>
      <c r="CH178" s="3">
        <v>0</v>
      </c>
      <c r="CI178" s="3">
        <v>0</v>
      </c>
      <c r="CJ178" s="3">
        <v>0</v>
      </c>
      <c r="CK178" s="3">
        <v>2</v>
      </c>
      <c r="CL178" s="3">
        <v>3</v>
      </c>
      <c r="CM178" s="3">
        <v>0</v>
      </c>
      <c r="CN178" s="3">
        <v>0</v>
      </c>
      <c r="CO178" s="4">
        <f t="shared" si="97"/>
        <v>5</v>
      </c>
      <c r="CP178" s="3">
        <v>0</v>
      </c>
      <c r="CQ178" s="3">
        <v>0</v>
      </c>
      <c r="CR178" s="3">
        <v>0</v>
      </c>
      <c r="CS178" s="3">
        <v>0</v>
      </c>
      <c r="CT178" s="3">
        <v>0</v>
      </c>
      <c r="CU178" s="3">
        <v>0</v>
      </c>
      <c r="CV178" s="3">
        <v>0</v>
      </c>
      <c r="CW178" s="3">
        <v>0</v>
      </c>
      <c r="CX178" s="3">
        <v>0</v>
      </c>
      <c r="CY178" s="3">
        <v>0</v>
      </c>
      <c r="CZ178" s="3">
        <v>0</v>
      </c>
      <c r="DA178" s="3">
        <v>0</v>
      </c>
      <c r="DB178" s="4">
        <f t="shared" si="98"/>
        <v>0</v>
      </c>
      <c r="DC178" s="3">
        <v>0</v>
      </c>
      <c r="DD178" s="3">
        <v>0</v>
      </c>
      <c r="DE178" s="3">
        <v>0</v>
      </c>
      <c r="DF178" s="3">
        <v>0</v>
      </c>
      <c r="DG178" s="3">
        <v>0</v>
      </c>
      <c r="DH178" s="3">
        <v>0</v>
      </c>
      <c r="DI178" s="3">
        <v>0</v>
      </c>
      <c r="DJ178" s="3">
        <v>0</v>
      </c>
      <c r="DK178" s="3">
        <v>0</v>
      </c>
      <c r="DL178" s="3">
        <v>0</v>
      </c>
      <c r="DM178" s="3">
        <v>0</v>
      </c>
      <c r="DN178" s="3">
        <v>0</v>
      </c>
      <c r="DO178" s="4">
        <f t="shared" si="99"/>
        <v>0</v>
      </c>
      <c r="DP178" s="3">
        <v>0</v>
      </c>
      <c r="DQ178" s="3">
        <v>0</v>
      </c>
      <c r="DR178" s="3">
        <v>0</v>
      </c>
      <c r="DS178" s="3">
        <v>0</v>
      </c>
      <c r="DT178" s="3">
        <v>0</v>
      </c>
      <c r="DU178" s="3">
        <v>0</v>
      </c>
      <c r="DV178" s="3">
        <v>0</v>
      </c>
      <c r="DW178" s="3">
        <v>0</v>
      </c>
      <c r="DX178" s="3">
        <v>0</v>
      </c>
      <c r="DY178" s="3">
        <v>0</v>
      </c>
      <c r="DZ178" s="3">
        <v>0</v>
      </c>
      <c r="EA178" s="3">
        <v>0</v>
      </c>
      <c r="EB178" s="4">
        <f t="shared" si="100"/>
        <v>0</v>
      </c>
      <c r="EC178" s="3">
        <v>0</v>
      </c>
      <c r="ED178" s="3">
        <v>0</v>
      </c>
      <c r="EE178" s="3">
        <v>0</v>
      </c>
      <c r="EF178" s="3">
        <v>0</v>
      </c>
      <c r="EG178" s="3">
        <v>0</v>
      </c>
      <c r="EH178" s="3">
        <v>0</v>
      </c>
      <c r="EI178" s="3">
        <v>0</v>
      </c>
      <c r="EJ178" s="3">
        <v>0</v>
      </c>
      <c r="EK178" s="3">
        <v>0</v>
      </c>
      <c r="EL178" s="3">
        <v>0</v>
      </c>
      <c r="EM178" s="3">
        <v>0</v>
      </c>
      <c r="EN178" s="3">
        <v>0</v>
      </c>
      <c r="EO178" s="4">
        <f t="shared" si="101"/>
        <v>0</v>
      </c>
      <c r="EP178" s="8">
        <f t="shared" si="102"/>
        <v>5</v>
      </c>
      <c r="EQ178" s="181">
        <f>IFERROR(VLOOKUP(I178,CEI_012018!$A$1:$U$509,9,FALSE),0)</f>
        <v>0</v>
      </c>
      <c r="ER178" s="181">
        <f>IFERROR(VLOOKUP(I178,CEI_022018!$A$1:$U$509,9,FALSE),0)</f>
        <v>0</v>
      </c>
      <c r="ES178" s="181">
        <f>IFERROR(VLOOKUP(I178,CEI_032018!$A$1:$U$509,9,FALSE),0)</f>
        <v>0</v>
      </c>
      <c r="ET178" s="181">
        <f>IFERROR(VLOOKUP(I178,CEI_042018!$A$1:$U$491,9,FALSE),0)</f>
        <v>0</v>
      </c>
      <c r="EU178" s="181">
        <f>IFERROR(VLOOKUP(I178,CEI_052018!$A$1:$U$489,9,FALSE),0)</f>
        <v>0</v>
      </c>
      <c r="EV178" s="181">
        <f>IFERROR(VLOOKUP(I178,CEI_062018!$A$1:$U$489,9,FALSE),0)</f>
        <v>0</v>
      </c>
      <c r="EW178" s="181">
        <f>IFERROR(VLOOKUP(I178,CEI_072018!$A$1:$U$489,9,FALSE),0)</f>
        <v>0</v>
      </c>
      <c r="EX178" s="181">
        <f>IFERROR(VLOOKUP(I178,CEI_082018!$A$1:$U$489,9,FALSE),0)</f>
        <v>16.879440307617187</v>
      </c>
      <c r="EY178" s="181">
        <f>IFERROR(VLOOKUP(I178,CEI_092018!$A$1:$U$489,9,FALSE),0)</f>
        <v>35.139549970626831</v>
      </c>
      <c r="EZ178" s="181"/>
      <c r="FA178" s="181"/>
      <c r="FB178" s="181"/>
      <c r="FC178" s="181">
        <f>IFERROR(VLOOKUP(I178,CEI_092018!$A$1:$U$489,12,FALSE),0)</f>
        <v>1.8612299859523773</v>
      </c>
      <c r="FD178" s="181">
        <f t="shared" si="104"/>
        <v>1.8612299859523773</v>
      </c>
      <c r="FE178" s="181">
        <f t="shared" si="105"/>
        <v>106.06357001404763</v>
      </c>
      <c r="FF178"/>
      <c r="FG178"/>
      <c r="FH178"/>
      <c r="FI178"/>
      <c r="FJ178"/>
      <c r="FK178"/>
      <c r="FL178"/>
      <c r="FM178"/>
      <c r="FN178"/>
      <c r="FO178"/>
      <c r="FP178"/>
      <c r="FQ178"/>
      <c r="FR178"/>
      <c r="FS178"/>
      <c r="FT178"/>
      <c r="FU178"/>
      <c r="FV178"/>
      <c r="FW178"/>
      <c r="FX178"/>
      <c r="FY178"/>
      <c r="FZ178"/>
      <c r="GA178"/>
      <c r="GB178"/>
      <c r="GC178"/>
    </row>
    <row r="179" spans="1:185" ht="12.75" customHeight="1" x14ac:dyDescent="0.25">
      <c r="A179" s="202"/>
      <c r="B179" s="22" t="s">
        <v>57</v>
      </c>
      <c r="C179" s="34" t="s">
        <v>42</v>
      </c>
      <c r="D179" s="22" t="s">
        <v>318</v>
      </c>
      <c r="E179" s="25" t="s">
        <v>1061</v>
      </c>
      <c r="F179" s="25" t="s">
        <v>318</v>
      </c>
      <c r="G179" s="25" t="s">
        <v>1061</v>
      </c>
      <c r="H179" s="22" t="s">
        <v>56</v>
      </c>
      <c r="I179" s="423" t="s">
        <v>565</v>
      </c>
      <c r="J179" s="37" t="s">
        <v>59</v>
      </c>
      <c r="K179" s="23" t="s">
        <v>743</v>
      </c>
      <c r="L179" s="23" t="s">
        <v>744</v>
      </c>
      <c r="M179" s="23" t="s">
        <v>726</v>
      </c>
      <c r="N179" s="23" t="s">
        <v>1864</v>
      </c>
      <c r="O179" s="2">
        <v>0</v>
      </c>
      <c r="P179" s="2">
        <v>0</v>
      </c>
      <c r="Q179" s="2">
        <v>0</v>
      </c>
      <c r="R179" s="2">
        <v>0</v>
      </c>
      <c r="S179" s="2">
        <v>0</v>
      </c>
      <c r="T179" s="116">
        <f t="shared" si="82"/>
        <v>0</v>
      </c>
      <c r="U179" s="324">
        <v>0</v>
      </c>
      <c r="V179" s="324">
        <v>0</v>
      </c>
      <c r="W179" s="324">
        <v>0</v>
      </c>
      <c r="X179" s="324">
        <v>0</v>
      </c>
      <c r="Y179" s="324">
        <v>0</v>
      </c>
      <c r="Z179" s="324">
        <v>0</v>
      </c>
      <c r="AA179" s="324">
        <v>0</v>
      </c>
      <c r="AB179" s="324">
        <v>0</v>
      </c>
      <c r="AC179" s="324">
        <v>0</v>
      </c>
      <c r="AD179" s="324">
        <v>0</v>
      </c>
      <c r="AE179" s="324">
        <v>0</v>
      </c>
      <c r="AF179" s="324">
        <v>0</v>
      </c>
      <c r="AG179" s="140">
        <f t="shared" si="83"/>
        <v>0</v>
      </c>
      <c r="AH179" s="324">
        <v>0</v>
      </c>
      <c r="AI179" s="324">
        <v>0</v>
      </c>
      <c r="AJ179" s="324">
        <v>0</v>
      </c>
      <c r="AK179" s="324">
        <v>0</v>
      </c>
      <c r="AL179" s="324">
        <v>0</v>
      </c>
      <c r="AM179" s="324">
        <v>0</v>
      </c>
      <c r="AN179" s="324">
        <v>0</v>
      </c>
      <c r="AO179" s="324">
        <v>0</v>
      </c>
      <c r="AP179" s="324">
        <v>0</v>
      </c>
      <c r="AQ179" s="324">
        <v>0</v>
      </c>
      <c r="AR179" s="324">
        <v>0</v>
      </c>
      <c r="AS179" s="324">
        <v>58</v>
      </c>
      <c r="AT179" s="140">
        <f t="shared" si="84"/>
        <v>58</v>
      </c>
      <c r="AU179" s="324">
        <v>0</v>
      </c>
      <c r="AV179" s="324">
        <v>0</v>
      </c>
      <c r="AW179" s="324">
        <v>0</v>
      </c>
      <c r="AX179" s="324">
        <v>0</v>
      </c>
      <c r="AY179" s="324">
        <v>0</v>
      </c>
      <c r="AZ179" s="324">
        <v>0</v>
      </c>
      <c r="BA179" s="324">
        <v>0</v>
      </c>
      <c r="BB179" s="324">
        <v>0</v>
      </c>
      <c r="BC179" s="324">
        <v>0</v>
      </c>
      <c r="BD179" s="324">
        <v>0</v>
      </c>
      <c r="BE179" s="324">
        <v>26</v>
      </c>
      <c r="BF179" s="324">
        <v>0</v>
      </c>
      <c r="BG179" s="140">
        <f t="shared" si="85"/>
        <v>26</v>
      </c>
      <c r="BH179" s="324">
        <v>0</v>
      </c>
      <c r="BI179" s="324">
        <v>0</v>
      </c>
      <c r="BJ179" s="324">
        <v>0</v>
      </c>
      <c r="BK179" s="324">
        <v>0</v>
      </c>
      <c r="BL179" s="324">
        <v>0</v>
      </c>
      <c r="BM179" s="324">
        <v>0</v>
      </c>
      <c r="BN179" s="324">
        <v>0</v>
      </c>
      <c r="BO179" s="324">
        <v>0</v>
      </c>
      <c r="BP179" s="324">
        <v>0</v>
      </c>
      <c r="BQ179" s="324">
        <v>0</v>
      </c>
      <c r="BR179" s="324">
        <v>0</v>
      </c>
      <c r="BS179" s="324">
        <v>10.311</v>
      </c>
      <c r="BT179" s="140">
        <f t="shared" si="86"/>
        <v>10.311</v>
      </c>
      <c r="BU179" s="114">
        <f t="shared" si="87"/>
        <v>94.311000000000007</v>
      </c>
      <c r="BV179" s="432"/>
      <c r="BW179" s="432"/>
      <c r="BX179" s="432"/>
      <c r="BY179" s="432"/>
      <c r="BZ179" s="433"/>
      <c r="CA179" s="434"/>
      <c r="CB179" s="7" t="s">
        <v>1681</v>
      </c>
      <c r="CC179" s="3">
        <v>0</v>
      </c>
      <c r="CD179" s="3">
        <v>0</v>
      </c>
      <c r="CE179" s="3">
        <v>0</v>
      </c>
      <c r="CF179" s="3">
        <v>0</v>
      </c>
      <c r="CG179" s="3">
        <v>0</v>
      </c>
      <c r="CH179" s="3">
        <v>0</v>
      </c>
      <c r="CI179" s="3">
        <v>0</v>
      </c>
      <c r="CJ179" s="3">
        <v>0</v>
      </c>
      <c r="CK179" s="3">
        <v>0</v>
      </c>
      <c r="CL179" s="3">
        <v>0</v>
      </c>
      <c r="CM179" s="3">
        <v>0</v>
      </c>
      <c r="CN179" s="3">
        <v>0</v>
      </c>
      <c r="CO179" s="4">
        <f t="shared" si="97"/>
        <v>0</v>
      </c>
      <c r="CP179" s="3">
        <v>0</v>
      </c>
      <c r="CQ179" s="3">
        <v>0</v>
      </c>
      <c r="CR179" s="3">
        <v>0</v>
      </c>
      <c r="CS179" s="3">
        <v>0</v>
      </c>
      <c r="CT179" s="3">
        <v>0</v>
      </c>
      <c r="CU179" s="3">
        <v>0</v>
      </c>
      <c r="CV179" s="3">
        <v>0</v>
      </c>
      <c r="CW179" s="3">
        <v>0</v>
      </c>
      <c r="CX179" s="3">
        <v>0</v>
      </c>
      <c r="CY179" s="3">
        <v>0</v>
      </c>
      <c r="CZ179" s="3">
        <v>0</v>
      </c>
      <c r="DA179" s="3">
        <v>0</v>
      </c>
      <c r="DB179" s="4">
        <f t="shared" si="98"/>
        <v>0</v>
      </c>
      <c r="DC179" s="3">
        <v>0</v>
      </c>
      <c r="DD179" s="3">
        <v>0</v>
      </c>
      <c r="DE179" s="3">
        <v>0</v>
      </c>
      <c r="DF179" s="3">
        <v>0</v>
      </c>
      <c r="DG179" s="3">
        <v>0</v>
      </c>
      <c r="DH179" s="3">
        <v>0</v>
      </c>
      <c r="DI179" s="3">
        <v>0</v>
      </c>
      <c r="DJ179" s="3">
        <v>0</v>
      </c>
      <c r="DK179" s="3">
        <v>0</v>
      </c>
      <c r="DL179" s="3">
        <v>0</v>
      </c>
      <c r="DM179" s="3">
        <v>0</v>
      </c>
      <c r="DN179" s="3">
        <v>2</v>
      </c>
      <c r="DO179" s="4">
        <f t="shared" si="99"/>
        <v>2</v>
      </c>
      <c r="DP179" s="3">
        <v>0</v>
      </c>
      <c r="DQ179" s="3">
        <v>0</v>
      </c>
      <c r="DR179" s="3">
        <v>0</v>
      </c>
      <c r="DS179" s="3">
        <v>0</v>
      </c>
      <c r="DT179" s="3">
        <v>0</v>
      </c>
      <c r="DU179" s="3">
        <v>0</v>
      </c>
      <c r="DV179" s="3">
        <v>0</v>
      </c>
      <c r="DW179" s="3">
        <v>0</v>
      </c>
      <c r="DX179" s="3">
        <v>0</v>
      </c>
      <c r="DY179" s="3">
        <v>0</v>
      </c>
      <c r="DZ179" s="3">
        <v>1</v>
      </c>
      <c r="EA179" s="3">
        <v>0</v>
      </c>
      <c r="EB179" s="4">
        <f t="shared" si="100"/>
        <v>1</v>
      </c>
      <c r="EC179" s="3">
        <v>0</v>
      </c>
      <c r="ED179" s="3">
        <v>0</v>
      </c>
      <c r="EE179" s="3">
        <v>0</v>
      </c>
      <c r="EF179" s="3">
        <v>0</v>
      </c>
      <c r="EG179" s="3">
        <v>0</v>
      </c>
      <c r="EH179" s="3">
        <v>0</v>
      </c>
      <c r="EI179" s="3">
        <v>0</v>
      </c>
      <c r="EJ179" s="3">
        <v>0</v>
      </c>
      <c r="EK179" s="3">
        <v>0</v>
      </c>
      <c r="EL179" s="3">
        <v>0</v>
      </c>
      <c r="EM179" s="3">
        <v>0</v>
      </c>
      <c r="EN179" s="3">
        <v>1</v>
      </c>
      <c r="EO179" s="4">
        <f t="shared" si="101"/>
        <v>1</v>
      </c>
      <c r="EP179" s="8">
        <f t="shared" si="102"/>
        <v>4</v>
      </c>
      <c r="EQ179" s="181">
        <f>IFERROR(VLOOKUP(I179,CEI_012018!$A$1:$U$509,9,FALSE),0)</f>
        <v>0</v>
      </c>
      <c r="ER179" s="181">
        <f>IFERROR(VLOOKUP(I179,CEI_022018!$A$1:$U$509,9,FALSE),0)</f>
        <v>0</v>
      </c>
      <c r="ES179" s="181">
        <f>IFERROR(VLOOKUP(I179,CEI_032018!$A$1:$U$509,9,FALSE),0)</f>
        <v>0</v>
      </c>
      <c r="ET179" s="181">
        <f>IFERROR(VLOOKUP(I179,CEI_042018!$A$1:$U$491,9,FALSE),0)</f>
        <v>0</v>
      </c>
      <c r="EU179" s="181">
        <f>IFERROR(VLOOKUP(I179,CEI_052018!$A$1:$U$489,9,FALSE),0)</f>
        <v>0</v>
      </c>
      <c r="EV179" s="181">
        <f>IFERROR(VLOOKUP(I179,CEI_062018!$A$1:$U$489,9,FALSE),0)</f>
        <v>0</v>
      </c>
      <c r="EW179" s="181">
        <f>IFERROR(VLOOKUP(I179,CEI_072018!$A$1:$U$489,9,FALSE),0)</f>
        <v>0</v>
      </c>
      <c r="EX179" s="181">
        <f>IFERROR(VLOOKUP(I179,CEI_082018!$A$1:$U$489,9,FALSE),0)</f>
        <v>0</v>
      </c>
      <c r="EY179" s="181">
        <f>IFERROR(VLOOKUP(I179,CEI_092018!$A$1:$U$489,9,FALSE),0)</f>
        <v>0</v>
      </c>
      <c r="EZ179" s="181"/>
      <c r="FA179" s="181"/>
      <c r="FB179" s="181"/>
      <c r="FC179" s="181">
        <f>IFERROR(VLOOKUP(I179,CEI_092018!$A$1:$U$489,12,FALSE),0)</f>
        <v>0</v>
      </c>
      <c r="FD179" s="181">
        <f t="shared" si="104"/>
        <v>0</v>
      </c>
      <c r="FE179" s="181">
        <f t="shared" si="105"/>
        <v>0</v>
      </c>
      <c r="FF179"/>
      <c r="FG179"/>
      <c r="FH179"/>
      <c r="FI179"/>
      <c r="FJ179"/>
      <c r="FK179"/>
      <c r="FL179"/>
      <c r="FM179"/>
      <c r="FN179"/>
      <c r="FO179"/>
      <c r="FP179"/>
      <c r="FQ179"/>
      <c r="FR179"/>
      <c r="FS179"/>
      <c r="FT179"/>
      <c r="FU179"/>
      <c r="FV179"/>
      <c r="FW179"/>
      <c r="FX179"/>
      <c r="FY179"/>
      <c r="FZ179"/>
      <c r="GA179"/>
      <c r="GB179"/>
      <c r="GC179"/>
    </row>
    <row r="180" spans="1:185" ht="12.75" customHeight="1" x14ac:dyDescent="0.25">
      <c r="A180" s="202"/>
      <c r="B180" s="22" t="s">
        <v>57</v>
      </c>
      <c r="C180" s="34" t="s">
        <v>42</v>
      </c>
      <c r="D180" s="22" t="s">
        <v>318</v>
      </c>
      <c r="E180" s="25" t="s">
        <v>1061</v>
      </c>
      <c r="F180" s="25" t="s">
        <v>318</v>
      </c>
      <c r="G180" s="25" t="s">
        <v>1061</v>
      </c>
      <c r="H180" s="22" t="s">
        <v>56</v>
      </c>
      <c r="I180" s="423" t="s">
        <v>565</v>
      </c>
      <c r="J180" s="37" t="s">
        <v>59</v>
      </c>
      <c r="K180" s="23" t="s">
        <v>721</v>
      </c>
      <c r="L180" s="23" t="s">
        <v>722</v>
      </c>
      <c r="M180" s="23" t="s">
        <v>723</v>
      </c>
      <c r="N180" s="23" t="s">
        <v>1864</v>
      </c>
      <c r="O180" s="2">
        <v>0</v>
      </c>
      <c r="P180" s="2">
        <v>0</v>
      </c>
      <c r="Q180" s="2">
        <v>0</v>
      </c>
      <c r="R180" s="2">
        <v>0</v>
      </c>
      <c r="S180" s="2">
        <v>0</v>
      </c>
      <c r="T180" s="116">
        <f t="shared" si="82"/>
        <v>0</v>
      </c>
      <c r="U180" s="324">
        <v>0</v>
      </c>
      <c r="V180" s="324">
        <v>0</v>
      </c>
      <c r="W180" s="324">
        <v>0</v>
      </c>
      <c r="X180" s="324">
        <v>0</v>
      </c>
      <c r="Y180" s="324">
        <v>0</v>
      </c>
      <c r="Z180" s="324">
        <v>0</v>
      </c>
      <c r="AA180" s="324">
        <v>0</v>
      </c>
      <c r="AB180" s="324">
        <v>10</v>
      </c>
      <c r="AC180" s="324">
        <v>0</v>
      </c>
      <c r="AD180" s="324">
        <v>0</v>
      </c>
      <c r="AE180" s="324">
        <v>0</v>
      </c>
      <c r="AF180" s="324">
        <v>0</v>
      </c>
      <c r="AG180" s="140">
        <f t="shared" si="83"/>
        <v>10</v>
      </c>
      <c r="AH180" s="324">
        <v>0</v>
      </c>
      <c r="AI180" s="324">
        <v>0</v>
      </c>
      <c r="AJ180" s="324">
        <v>0</v>
      </c>
      <c r="AK180" s="324">
        <v>0</v>
      </c>
      <c r="AL180" s="324">
        <v>0</v>
      </c>
      <c r="AM180" s="324">
        <v>0</v>
      </c>
      <c r="AN180" s="324">
        <v>0</v>
      </c>
      <c r="AO180" s="324">
        <v>0</v>
      </c>
      <c r="AP180" s="324">
        <v>0</v>
      </c>
      <c r="AQ180" s="324">
        <v>0</v>
      </c>
      <c r="AR180" s="324">
        <v>0</v>
      </c>
      <c r="AS180" s="324">
        <v>0</v>
      </c>
      <c r="AT180" s="140">
        <f t="shared" si="84"/>
        <v>0</v>
      </c>
      <c r="AU180" s="324">
        <v>0</v>
      </c>
      <c r="AV180" s="324">
        <v>0</v>
      </c>
      <c r="AW180" s="324">
        <v>0</v>
      </c>
      <c r="AX180" s="324">
        <v>0</v>
      </c>
      <c r="AY180" s="324">
        <v>0</v>
      </c>
      <c r="AZ180" s="324">
        <v>0</v>
      </c>
      <c r="BA180" s="324">
        <v>0</v>
      </c>
      <c r="BB180" s="324">
        <v>0</v>
      </c>
      <c r="BC180" s="324">
        <v>0</v>
      </c>
      <c r="BD180" s="324">
        <v>0</v>
      </c>
      <c r="BE180" s="324">
        <v>0</v>
      </c>
      <c r="BF180" s="324">
        <v>0</v>
      </c>
      <c r="BG180" s="140">
        <f t="shared" si="85"/>
        <v>0</v>
      </c>
      <c r="BH180" s="324">
        <v>0</v>
      </c>
      <c r="BI180" s="324">
        <v>0</v>
      </c>
      <c r="BJ180" s="324">
        <v>0</v>
      </c>
      <c r="BK180" s="324">
        <v>0</v>
      </c>
      <c r="BL180" s="324">
        <v>0</v>
      </c>
      <c r="BM180" s="324">
        <v>0</v>
      </c>
      <c r="BN180" s="324">
        <v>0</v>
      </c>
      <c r="BO180" s="324">
        <v>0</v>
      </c>
      <c r="BP180" s="324">
        <v>0</v>
      </c>
      <c r="BQ180" s="324">
        <v>0</v>
      </c>
      <c r="BR180" s="324">
        <v>0</v>
      </c>
      <c r="BS180" s="324">
        <v>0</v>
      </c>
      <c r="BT180" s="140">
        <f t="shared" si="86"/>
        <v>0</v>
      </c>
      <c r="BU180" s="114">
        <f t="shared" si="87"/>
        <v>10</v>
      </c>
      <c r="BV180" s="432"/>
      <c r="BW180" s="432"/>
      <c r="BX180" s="432"/>
      <c r="BY180" s="432"/>
      <c r="BZ180" s="433"/>
      <c r="CA180" s="434"/>
      <c r="CB180" s="7" t="s">
        <v>1681</v>
      </c>
      <c r="CC180" s="3">
        <v>0</v>
      </c>
      <c r="CD180" s="3">
        <v>0</v>
      </c>
      <c r="CE180" s="3">
        <v>0</v>
      </c>
      <c r="CF180" s="3">
        <v>0</v>
      </c>
      <c r="CG180" s="3">
        <v>0</v>
      </c>
      <c r="CH180" s="3">
        <v>0</v>
      </c>
      <c r="CI180" s="3">
        <v>0</v>
      </c>
      <c r="CJ180" s="3">
        <v>0</v>
      </c>
      <c r="CK180" s="3">
        <v>0</v>
      </c>
      <c r="CL180" s="3">
        <v>0</v>
      </c>
      <c r="CM180" s="3">
        <v>0</v>
      </c>
      <c r="CN180" s="3">
        <v>0</v>
      </c>
      <c r="CO180" s="4">
        <f t="shared" si="97"/>
        <v>0</v>
      </c>
      <c r="CP180" s="3">
        <v>0</v>
      </c>
      <c r="CQ180" s="3">
        <v>0</v>
      </c>
      <c r="CR180" s="3">
        <v>0</v>
      </c>
      <c r="CS180" s="3">
        <v>0</v>
      </c>
      <c r="CT180" s="3">
        <v>0</v>
      </c>
      <c r="CU180" s="3">
        <v>0</v>
      </c>
      <c r="CV180" s="3">
        <v>0</v>
      </c>
      <c r="CW180" s="3">
        <v>1</v>
      </c>
      <c r="CX180" s="3">
        <v>0</v>
      </c>
      <c r="CY180" s="3">
        <v>0</v>
      </c>
      <c r="CZ180" s="3">
        <v>0</v>
      </c>
      <c r="DA180" s="3">
        <v>0</v>
      </c>
      <c r="DB180" s="4">
        <f t="shared" si="98"/>
        <v>1</v>
      </c>
      <c r="DC180" s="3">
        <v>0</v>
      </c>
      <c r="DD180" s="3">
        <v>0</v>
      </c>
      <c r="DE180" s="3">
        <v>0</v>
      </c>
      <c r="DF180" s="3">
        <v>0</v>
      </c>
      <c r="DG180" s="3">
        <v>0</v>
      </c>
      <c r="DH180" s="3">
        <v>0</v>
      </c>
      <c r="DI180" s="3">
        <v>0</v>
      </c>
      <c r="DJ180" s="3">
        <v>0</v>
      </c>
      <c r="DK180" s="3">
        <v>0</v>
      </c>
      <c r="DL180" s="3">
        <v>0</v>
      </c>
      <c r="DM180" s="3">
        <v>0</v>
      </c>
      <c r="DN180" s="3">
        <v>0</v>
      </c>
      <c r="DO180" s="4">
        <f t="shared" si="99"/>
        <v>0</v>
      </c>
      <c r="DP180" s="3">
        <v>0</v>
      </c>
      <c r="DQ180" s="3">
        <v>0</v>
      </c>
      <c r="DR180" s="3">
        <v>0</v>
      </c>
      <c r="DS180" s="3">
        <v>0</v>
      </c>
      <c r="DT180" s="3">
        <v>0</v>
      </c>
      <c r="DU180" s="3">
        <v>0</v>
      </c>
      <c r="DV180" s="3">
        <v>0</v>
      </c>
      <c r="DW180" s="3">
        <v>0</v>
      </c>
      <c r="DX180" s="3">
        <v>0</v>
      </c>
      <c r="DY180" s="3">
        <v>0</v>
      </c>
      <c r="DZ180" s="3">
        <v>0</v>
      </c>
      <c r="EA180" s="3">
        <v>0</v>
      </c>
      <c r="EB180" s="4">
        <f t="shared" si="100"/>
        <v>0</v>
      </c>
      <c r="EC180" s="3">
        <v>0</v>
      </c>
      <c r="ED180" s="3">
        <v>0</v>
      </c>
      <c r="EE180" s="3">
        <v>0</v>
      </c>
      <c r="EF180" s="3">
        <v>0</v>
      </c>
      <c r="EG180" s="3">
        <v>0</v>
      </c>
      <c r="EH180" s="3">
        <v>0</v>
      </c>
      <c r="EI180" s="3">
        <v>0</v>
      </c>
      <c r="EJ180" s="3">
        <v>0</v>
      </c>
      <c r="EK180" s="3">
        <v>0</v>
      </c>
      <c r="EL180" s="3">
        <v>0</v>
      </c>
      <c r="EM180" s="3">
        <v>0</v>
      </c>
      <c r="EN180" s="3">
        <v>0</v>
      </c>
      <c r="EO180" s="4">
        <f t="shared" si="101"/>
        <v>0</v>
      </c>
      <c r="EP180" s="8">
        <f t="shared" si="102"/>
        <v>1</v>
      </c>
      <c r="EQ180" s="181">
        <f>IFERROR(VLOOKUP(I180,CEI_012018!$A$1:$U$509,9,FALSE),0)</f>
        <v>0</v>
      </c>
      <c r="ER180" s="181">
        <f>IFERROR(VLOOKUP(I180,CEI_022018!$A$1:$U$509,9,FALSE),0)</f>
        <v>0</v>
      </c>
      <c r="ES180" s="181">
        <f>IFERROR(VLOOKUP(I180,CEI_032018!$A$1:$U$509,9,FALSE),0)</f>
        <v>0</v>
      </c>
      <c r="ET180" s="181">
        <f>IFERROR(VLOOKUP(I180,CEI_042018!$A$1:$U$491,9,FALSE),0)</f>
        <v>0</v>
      </c>
      <c r="EU180" s="181">
        <f>IFERROR(VLOOKUP(I180,CEI_052018!$A$1:$U$489,9,FALSE),0)</f>
        <v>0</v>
      </c>
      <c r="EV180" s="181">
        <f>IFERROR(VLOOKUP(I180,CEI_062018!$A$1:$U$489,9,FALSE),0)</f>
        <v>0</v>
      </c>
      <c r="EW180" s="181">
        <f>IFERROR(VLOOKUP(I180,CEI_072018!$A$1:$U$489,9,FALSE),0)</f>
        <v>0</v>
      </c>
      <c r="EX180" s="181">
        <f>IFERROR(VLOOKUP(I180,CEI_082018!$A$1:$U$489,9,FALSE),0)</f>
        <v>0</v>
      </c>
      <c r="EY180" s="181">
        <f>IFERROR(VLOOKUP(I180,CEI_092018!$A$1:$U$489,9,FALSE),0)</f>
        <v>0</v>
      </c>
      <c r="EZ180" s="181"/>
      <c r="FA180" s="181"/>
      <c r="FB180" s="181"/>
      <c r="FC180" s="181">
        <f>IFERROR(VLOOKUP(I180,CEI_092018!$A$1:$U$489,12,FALSE),0)</f>
        <v>0</v>
      </c>
      <c r="FD180" s="181">
        <f t="shared" si="104"/>
        <v>0</v>
      </c>
      <c r="FE180" s="181">
        <f t="shared" si="105"/>
        <v>0</v>
      </c>
      <c r="FF180"/>
      <c r="FG180"/>
      <c r="FH180"/>
      <c r="FI180"/>
      <c r="FJ180"/>
      <c r="FK180"/>
      <c r="FL180"/>
      <c r="FM180"/>
      <c r="FN180"/>
      <c r="FO180"/>
      <c r="FP180"/>
      <c r="FQ180"/>
      <c r="FR180"/>
      <c r="FS180"/>
      <c r="FT180"/>
      <c r="FU180"/>
      <c r="FV180"/>
      <c r="FW180"/>
      <c r="FX180"/>
      <c r="FY180"/>
      <c r="FZ180"/>
      <c r="GA180"/>
      <c r="GB180"/>
      <c r="GC180"/>
    </row>
    <row r="181" spans="1:185" ht="12.75" customHeight="1" x14ac:dyDescent="0.25">
      <c r="A181" s="202"/>
      <c r="B181" s="22" t="s">
        <v>57</v>
      </c>
      <c r="C181" s="34" t="s">
        <v>42</v>
      </c>
      <c r="D181" s="22" t="s">
        <v>318</v>
      </c>
      <c r="E181" s="25" t="s">
        <v>1061</v>
      </c>
      <c r="F181" s="25" t="s">
        <v>318</v>
      </c>
      <c r="G181" s="25" t="s">
        <v>1061</v>
      </c>
      <c r="H181" s="22" t="s">
        <v>56</v>
      </c>
      <c r="I181" s="423" t="s">
        <v>1705</v>
      </c>
      <c r="J181" s="37" t="s">
        <v>59</v>
      </c>
      <c r="K181" s="23" t="s">
        <v>732</v>
      </c>
      <c r="L181" s="23" t="s">
        <v>733</v>
      </c>
      <c r="M181" s="23" t="s">
        <v>734</v>
      </c>
      <c r="N181" s="23" t="s">
        <v>1864</v>
      </c>
      <c r="O181" s="2">
        <v>0</v>
      </c>
      <c r="P181" s="2">
        <v>0</v>
      </c>
      <c r="Q181" s="2">
        <v>0</v>
      </c>
      <c r="R181" s="2">
        <v>0</v>
      </c>
      <c r="S181" s="2">
        <v>0</v>
      </c>
      <c r="T181" s="116">
        <f t="shared" si="82"/>
        <v>0</v>
      </c>
      <c r="U181" s="324">
        <v>0</v>
      </c>
      <c r="V181" s="324">
        <v>0</v>
      </c>
      <c r="W181" s="324">
        <v>0</v>
      </c>
      <c r="X181" s="324">
        <v>0</v>
      </c>
      <c r="Y181" s="324">
        <v>0</v>
      </c>
      <c r="Z181" s="324">
        <v>0</v>
      </c>
      <c r="AA181" s="324">
        <v>0</v>
      </c>
      <c r="AB181" s="324">
        <v>5</v>
      </c>
      <c r="AC181" s="324">
        <v>0</v>
      </c>
      <c r="AD181" s="324">
        <v>0</v>
      </c>
      <c r="AE181" s="324">
        <v>0</v>
      </c>
      <c r="AF181" s="324">
        <v>0</v>
      </c>
      <c r="AG181" s="140">
        <f t="shared" si="83"/>
        <v>5</v>
      </c>
      <c r="AH181" s="324">
        <v>0</v>
      </c>
      <c r="AI181" s="324">
        <v>0</v>
      </c>
      <c r="AJ181" s="324">
        <v>0</v>
      </c>
      <c r="AK181" s="324">
        <v>0</v>
      </c>
      <c r="AL181" s="324">
        <v>0</v>
      </c>
      <c r="AM181" s="324">
        <v>0</v>
      </c>
      <c r="AN181" s="324">
        <v>0</v>
      </c>
      <c r="AO181" s="324">
        <v>0</v>
      </c>
      <c r="AP181" s="324">
        <v>0</v>
      </c>
      <c r="AQ181" s="324">
        <v>0</v>
      </c>
      <c r="AR181" s="324">
        <v>0</v>
      </c>
      <c r="AS181" s="324">
        <v>0</v>
      </c>
      <c r="AT181" s="140">
        <f t="shared" si="84"/>
        <v>0</v>
      </c>
      <c r="AU181" s="324">
        <v>0</v>
      </c>
      <c r="AV181" s="324">
        <v>0</v>
      </c>
      <c r="AW181" s="324">
        <v>0</v>
      </c>
      <c r="AX181" s="324">
        <v>0</v>
      </c>
      <c r="AY181" s="324">
        <v>0</v>
      </c>
      <c r="AZ181" s="324">
        <v>0</v>
      </c>
      <c r="BA181" s="324">
        <v>0</v>
      </c>
      <c r="BB181" s="324">
        <v>0</v>
      </c>
      <c r="BC181" s="324">
        <v>0</v>
      </c>
      <c r="BD181" s="324">
        <v>0</v>
      </c>
      <c r="BE181" s="324">
        <v>0</v>
      </c>
      <c r="BF181" s="324">
        <v>0</v>
      </c>
      <c r="BG181" s="140">
        <f t="shared" si="85"/>
        <v>0</v>
      </c>
      <c r="BH181" s="324">
        <v>0</v>
      </c>
      <c r="BI181" s="324">
        <v>0</v>
      </c>
      <c r="BJ181" s="324">
        <v>0</v>
      </c>
      <c r="BK181" s="324">
        <v>0</v>
      </c>
      <c r="BL181" s="324">
        <v>0</v>
      </c>
      <c r="BM181" s="324">
        <v>0</v>
      </c>
      <c r="BN181" s="324">
        <v>0</v>
      </c>
      <c r="BO181" s="324">
        <v>0</v>
      </c>
      <c r="BP181" s="324">
        <v>0</v>
      </c>
      <c r="BQ181" s="324">
        <v>0</v>
      </c>
      <c r="BR181" s="324">
        <v>0</v>
      </c>
      <c r="BS181" s="324">
        <v>0</v>
      </c>
      <c r="BT181" s="140">
        <f t="shared" si="86"/>
        <v>0</v>
      </c>
      <c r="BU181" s="114">
        <f t="shared" si="87"/>
        <v>5</v>
      </c>
      <c r="BV181" s="432"/>
      <c r="BW181" s="432"/>
      <c r="BX181" s="432"/>
      <c r="BY181" s="432"/>
      <c r="BZ181" s="433"/>
      <c r="CA181" s="434"/>
      <c r="CB181" s="7" t="s">
        <v>1681</v>
      </c>
      <c r="CC181" s="3">
        <v>0</v>
      </c>
      <c r="CD181" s="3">
        <v>0</v>
      </c>
      <c r="CE181" s="3">
        <v>0</v>
      </c>
      <c r="CF181" s="3">
        <v>0</v>
      </c>
      <c r="CG181" s="3">
        <v>0</v>
      </c>
      <c r="CH181" s="3">
        <v>0</v>
      </c>
      <c r="CI181" s="3">
        <v>0</v>
      </c>
      <c r="CJ181" s="3">
        <v>0</v>
      </c>
      <c r="CK181" s="3">
        <v>0</v>
      </c>
      <c r="CL181" s="3">
        <v>0</v>
      </c>
      <c r="CM181" s="3">
        <v>0</v>
      </c>
      <c r="CN181" s="3">
        <v>0</v>
      </c>
      <c r="CO181" s="4">
        <f t="shared" si="97"/>
        <v>0</v>
      </c>
      <c r="CP181" s="3">
        <v>0</v>
      </c>
      <c r="CQ181" s="3">
        <v>0</v>
      </c>
      <c r="CR181" s="3">
        <v>0</v>
      </c>
      <c r="CS181" s="3">
        <v>0</v>
      </c>
      <c r="CT181" s="3">
        <v>0</v>
      </c>
      <c r="CU181" s="3">
        <v>0</v>
      </c>
      <c r="CV181" s="3">
        <v>0</v>
      </c>
      <c r="CW181" s="3">
        <v>1</v>
      </c>
      <c r="CX181" s="3">
        <v>0</v>
      </c>
      <c r="CY181" s="3">
        <v>0</v>
      </c>
      <c r="CZ181" s="3">
        <v>0</v>
      </c>
      <c r="DA181" s="3">
        <v>0</v>
      </c>
      <c r="DB181" s="4">
        <f t="shared" si="98"/>
        <v>1</v>
      </c>
      <c r="DC181" s="3">
        <v>0</v>
      </c>
      <c r="DD181" s="3">
        <v>0</v>
      </c>
      <c r="DE181" s="3">
        <v>0</v>
      </c>
      <c r="DF181" s="3">
        <v>0</v>
      </c>
      <c r="DG181" s="3">
        <v>0</v>
      </c>
      <c r="DH181" s="3">
        <v>0</v>
      </c>
      <c r="DI181" s="3">
        <v>0</v>
      </c>
      <c r="DJ181" s="3">
        <v>0</v>
      </c>
      <c r="DK181" s="3">
        <v>0</v>
      </c>
      <c r="DL181" s="3">
        <v>0</v>
      </c>
      <c r="DM181" s="3">
        <v>0</v>
      </c>
      <c r="DN181" s="3">
        <v>0</v>
      </c>
      <c r="DO181" s="4">
        <f t="shared" si="99"/>
        <v>0</v>
      </c>
      <c r="DP181" s="3">
        <v>0</v>
      </c>
      <c r="DQ181" s="3">
        <v>0</v>
      </c>
      <c r="DR181" s="3">
        <v>0</v>
      </c>
      <c r="DS181" s="3">
        <v>0</v>
      </c>
      <c r="DT181" s="3">
        <v>0</v>
      </c>
      <c r="DU181" s="3">
        <v>0</v>
      </c>
      <c r="DV181" s="3">
        <v>0</v>
      </c>
      <c r="DW181" s="3">
        <v>0</v>
      </c>
      <c r="DX181" s="3">
        <v>0</v>
      </c>
      <c r="DY181" s="3">
        <v>0</v>
      </c>
      <c r="DZ181" s="3">
        <v>0</v>
      </c>
      <c r="EA181" s="3">
        <v>0</v>
      </c>
      <c r="EB181" s="4">
        <f t="shared" si="100"/>
        <v>0</v>
      </c>
      <c r="EC181" s="3">
        <v>0</v>
      </c>
      <c r="ED181" s="3">
        <v>0</v>
      </c>
      <c r="EE181" s="3">
        <v>0</v>
      </c>
      <c r="EF181" s="3">
        <v>0</v>
      </c>
      <c r="EG181" s="3">
        <v>0</v>
      </c>
      <c r="EH181" s="3">
        <v>0</v>
      </c>
      <c r="EI181" s="3">
        <v>0</v>
      </c>
      <c r="EJ181" s="3">
        <v>0</v>
      </c>
      <c r="EK181" s="3">
        <v>0</v>
      </c>
      <c r="EL181" s="3">
        <v>0</v>
      </c>
      <c r="EM181" s="3">
        <v>0</v>
      </c>
      <c r="EN181" s="3">
        <v>0</v>
      </c>
      <c r="EO181" s="4">
        <f t="shared" si="101"/>
        <v>0</v>
      </c>
      <c r="EP181" s="8">
        <f t="shared" si="102"/>
        <v>1</v>
      </c>
      <c r="EQ181" s="181">
        <f>IFERROR(VLOOKUP(I181,CEI_012018!$A$1:$U$509,9,FALSE),0)</f>
        <v>0</v>
      </c>
      <c r="ER181" s="181">
        <f>IFERROR(VLOOKUP(I181,CEI_022018!$A$1:$U$509,9,FALSE),0)</f>
        <v>0</v>
      </c>
      <c r="ES181" s="181">
        <f>IFERROR(VLOOKUP(I181,CEI_032018!$A$1:$U$509,9,FALSE),0)</f>
        <v>0</v>
      </c>
      <c r="ET181" s="181">
        <f>IFERROR(VLOOKUP(I181,CEI_042018!$A$1:$U$491,9,FALSE),0)</f>
        <v>0</v>
      </c>
      <c r="EU181" s="181">
        <f>IFERROR(VLOOKUP(I181,CEI_052018!$A$1:$U$489,9,FALSE),0)</f>
        <v>0</v>
      </c>
      <c r="EV181" s="181">
        <f>IFERROR(VLOOKUP(I181,CEI_062018!$A$1:$U$489,9,FALSE),0)</f>
        <v>0</v>
      </c>
      <c r="EW181" s="181">
        <f>IFERROR(VLOOKUP(I181,CEI_072018!$A$1:$U$489,9,FALSE),0)</f>
        <v>0</v>
      </c>
      <c r="EX181" s="181">
        <f>IFERROR(VLOOKUP(I181,CEI_082018!$A$1:$U$489,9,FALSE),0)</f>
        <v>0</v>
      </c>
      <c r="EY181" s="181">
        <f>IFERROR(VLOOKUP(I181,CEI_092018!$A$1:$U$489,9,FALSE),0)</f>
        <v>0</v>
      </c>
      <c r="EZ181" s="181"/>
      <c r="FA181" s="181"/>
      <c r="FB181" s="181"/>
      <c r="FC181" s="181">
        <f>IFERROR(VLOOKUP(I181,CEI_092018!$A$1:$U$489,12,FALSE),0)</f>
        <v>0</v>
      </c>
      <c r="FD181" s="181">
        <f t="shared" si="104"/>
        <v>0</v>
      </c>
      <c r="FE181" s="181">
        <f t="shared" si="105"/>
        <v>0</v>
      </c>
      <c r="FF181"/>
      <c r="FG181"/>
      <c r="FH181"/>
      <c r="FI181"/>
      <c r="FJ181"/>
      <c r="FK181"/>
      <c r="FL181"/>
      <c r="FM181"/>
      <c r="FN181"/>
      <c r="FO181"/>
      <c r="FP181"/>
      <c r="FQ181"/>
      <c r="FR181"/>
      <c r="FS181"/>
      <c r="FT181"/>
      <c r="FU181"/>
      <c r="FV181"/>
      <c r="FW181"/>
      <c r="FX181"/>
      <c r="FY181"/>
      <c r="FZ181"/>
      <c r="GA181"/>
      <c r="GB181"/>
      <c r="GC181"/>
    </row>
    <row r="182" spans="1:185" ht="12.75" customHeight="1" x14ac:dyDescent="0.25">
      <c r="A182" s="202"/>
      <c r="B182" s="22" t="s">
        <v>57</v>
      </c>
      <c r="C182" s="34" t="s">
        <v>43</v>
      </c>
      <c r="D182" s="22" t="s">
        <v>1058</v>
      </c>
      <c r="E182" s="25" t="s">
        <v>1062</v>
      </c>
      <c r="F182" s="25" t="s">
        <v>1058</v>
      </c>
      <c r="G182" s="25" t="s">
        <v>1062</v>
      </c>
      <c r="H182" s="22" t="s">
        <v>56</v>
      </c>
      <c r="I182" s="483" t="s">
        <v>1462</v>
      </c>
      <c r="J182" s="255" t="s">
        <v>1464</v>
      </c>
      <c r="K182" s="23" t="s">
        <v>1717</v>
      </c>
      <c r="L182" s="23" t="s">
        <v>399</v>
      </c>
      <c r="M182" s="23" t="s">
        <v>323</v>
      </c>
      <c r="N182" s="23" t="s">
        <v>59</v>
      </c>
      <c r="O182" s="2">
        <v>0</v>
      </c>
      <c r="P182" s="2">
        <v>0</v>
      </c>
      <c r="Q182" s="2">
        <v>0</v>
      </c>
      <c r="R182" s="2">
        <v>0</v>
      </c>
      <c r="S182" s="2">
        <v>4684</v>
      </c>
      <c r="T182" s="116">
        <f t="shared" si="82"/>
        <v>4684</v>
      </c>
      <c r="U182" s="324">
        <v>0</v>
      </c>
      <c r="V182" s="324">
        <v>0</v>
      </c>
      <c r="W182" s="324">
        <v>0</v>
      </c>
      <c r="X182" s="324">
        <v>0</v>
      </c>
      <c r="Y182" s="324">
        <v>0</v>
      </c>
      <c r="Z182" s="324">
        <v>0</v>
      </c>
      <c r="AA182" s="324">
        <v>0</v>
      </c>
      <c r="AB182" s="324">
        <v>200</v>
      </c>
      <c r="AC182" s="324">
        <v>0</v>
      </c>
      <c r="AD182" s="324">
        <v>0</v>
      </c>
      <c r="AE182" s="324">
        <v>0</v>
      </c>
      <c r="AF182" s="324">
        <v>0</v>
      </c>
      <c r="AG182" s="140">
        <f t="shared" si="83"/>
        <v>200</v>
      </c>
      <c r="AH182" s="324">
        <v>0</v>
      </c>
      <c r="AI182" s="324">
        <v>0</v>
      </c>
      <c r="AJ182" s="324">
        <v>0</v>
      </c>
      <c r="AK182" s="324">
        <v>0</v>
      </c>
      <c r="AL182" s="324">
        <v>0</v>
      </c>
      <c r="AM182" s="324">
        <v>0</v>
      </c>
      <c r="AN182" s="324">
        <v>0</v>
      </c>
      <c r="AO182" s="324">
        <v>0</v>
      </c>
      <c r="AP182" s="324">
        <v>0</v>
      </c>
      <c r="AQ182" s="324">
        <v>0</v>
      </c>
      <c r="AR182" s="324">
        <v>2220</v>
      </c>
      <c r="AS182" s="324">
        <v>0</v>
      </c>
      <c r="AT182" s="140">
        <f t="shared" si="84"/>
        <v>2220</v>
      </c>
      <c r="AU182" s="324">
        <v>0</v>
      </c>
      <c r="AV182" s="324">
        <v>0</v>
      </c>
      <c r="AW182" s="324">
        <v>0</v>
      </c>
      <c r="AX182" s="324">
        <v>0</v>
      </c>
      <c r="AY182" s="324">
        <v>0</v>
      </c>
      <c r="AZ182" s="324">
        <v>0</v>
      </c>
      <c r="BA182" s="324">
        <v>0</v>
      </c>
      <c r="BB182" s="324">
        <v>200</v>
      </c>
      <c r="BC182" s="324">
        <v>0</v>
      </c>
      <c r="BD182" s="324">
        <v>0</v>
      </c>
      <c r="BE182" s="324">
        <v>0</v>
      </c>
      <c r="BF182" s="324">
        <v>0</v>
      </c>
      <c r="BG182" s="140">
        <f t="shared" si="85"/>
        <v>200</v>
      </c>
      <c r="BH182" s="324">
        <v>0</v>
      </c>
      <c r="BI182" s="324">
        <v>0</v>
      </c>
      <c r="BJ182" s="324">
        <v>0</v>
      </c>
      <c r="BK182" s="324">
        <v>0</v>
      </c>
      <c r="BL182" s="324">
        <v>0</v>
      </c>
      <c r="BM182" s="324">
        <v>0</v>
      </c>
      <c r="BN182" s="324">
        <v>0</v>
      </c>
      <c r="BO182" s="324">
        <v>2736</v>
      </c>
      <c r="BP182" s="324">
        <v>0</v>
      </c>
      <c r="BQ182" s="324">
        <v>0</v>
      </c>
      <c r="BR182" s="324">
        <v>0</v>
      </c>
      <c r="BS182" s="324">
        <v>0</v>
      </c>
      <c r="BT182" s="140">
        <f t="shared" si="86"/>
        <v>2736</v>
      </c>
      <c r="BU182" s="114">
        <f t="shared" si="87"/>
        <v>10040</v>
      </c>
      <c r="BV182" s="372">
        <v>1</v>
      </c>
      <c r="BW182" s="372">
        <v>1</v>
      </c>
      <c r="BX182" s="372">
        <v>1</v>
      </c>
      <c r="BY182" s="372">
        <v>-1</v>
      </c>
      <c r="BZ182" s="436">
        <f>IFERROR((EX182/T182%),0)</f>
        <v>0</v>
      </c>
      <c r="CA182" s="428">
        <f>IFERROR((FD182/T182%),0)</f>
        <v>99.278252762062337</v>
      </c>
      <c r="CB182" s="7" t="s">
        <v>1681</v>
      </c>
      <c r="CC182" s="3">
        <v>0</v>
      </c>
      <c r="CD182" s="3">
        <v>0</v>
      </c>
      <c r="CE182" s="3">
        <v>0</v>
      </c>
      <c r="CF182" s="3">
        <v>0</v>
      </c>
      <c r="CG182" s="3">
        <v>0</v>
      </c>
      <c r="CH182" s="3">
        <v>0</v>
      </c>
      <c r="CI182" s="3">
        <v>0</v>
      </c>
      <c r="CJ182" s="3">
        <v>836.8</v>
      </c>
      <c r="CK182" s="3">
        <v>0</v>
      </c>
      <c r="CL182" s="3">
        <v>0</v>
      </c>
      <c r="CM182" s="3">
        <v>0</v>
      </c>
      <c r="CN182" s="3">
        <v>0</v>
      </c>
      <c r="CO182" s="4">
        <f t="shared" si="97"/>
        <v>836.8</v>
      </c>
      <c r="CP182" s="3">
        <v>0</v>
      </c>
      <c r="CQ182" s="3">
        <v>0</v>
      </c>
      <c r="CR182" s="3">
        <v>0</v>
      </c>
      <c r="CS182" s="3">
        <v>0</v>
      </c>
      <c r="CT182" s="3">
        <v>0</v>
      </c>
      <c r="CU182" s="3">
        <v>0</v>
      </c>
      <c r="CV182" s="3">
        <v>0</v>
      </c>
      <c r="CW182" s="3">
        <v>50</v>
      </c>
      <c r="CX182" s="3">
        <v>0</v>
      </c>
      <c r="CY182" s="3">
        <v>0</v>
      </c>
      <c r="CZ182" s="3">
        <v>0</v>
      </c>
      <c r="DA182" s="3">
        <v>0</v>
      </c>
      <c r="DB182" s="4">
        <f t="shared" si="98"/>
        <v>50</v>
      </c>
      <c r="DC182" s="3">
        <v>0</v>
      </c>
      <c r="DD182" s="3">
        <v>0</v>
      </c>
      <c r="DE182" s="3">
        <v>0</v>
      </c>
      <c r="DF182" s="3">
        <v>0</v>
      </c>
      <c r="DG182" s="3">
        <v>0</v>
      </c>
      <c r="DH182" s="3">
        <v>0</v>
      </c>
      <c r="DI182" s="3">
        <v>0</v>
      </c>
      <c r="DJ182" s="3">
        <v>0</v>
      </c>
      <c r="DK182" s="3">
        <v>0</v>
      </c>
      <c r="DL182" s="3">
        <v>0</v>
      </c>
      <c r="DM182" s="3">
        <v>532</v>
      </c>
      <c r="DN182" s="3">
        <v>0</v>
      </c>
      <c r="DO182" s="4">
        <f t="shared" si="99"/>
        <v>532</v>
      </c>
      <c r="DP182" s="3">
        <v>0</v>
      </c>
      <c r="DQ182" s="3">
        <v>0</v>
      </c>
      <c r="DR182" s="3">
        <v>0</v>
      </c>
      <c r="DS182" s="3">
        <v>0</v>
      </c>
      <c r="DT182" s="3">
        <v>0</v>
      </c>
      <c r="DU182" s="3">
        <v>0</v>
      </c>
      <c r="DV182" s="3">
        <v>0</v>
      </c>
      <c r="DW182" s="3">
        <v>50</v>
      </c>
      <c r="DX182" s="3">
        <v>0</v>
      </c>
      <c r="DY182" s="3">
        <v>0</v>
      </c>
      <c r="DZ182" s="3">
        <v>0</v>
      </c>
      <c r="EA182" s="3">
        <v>0</v>
      </c>
      <c r="EB182" s="4">
        <f t="shared" si="100"/>
        <v>50</v>
      </c>
      <c r="EC182" s="3">
        <v>0</v>
      </c>
      <c r="ED182" s="3">
        <v>0</v>
      </c>
      <c r="EE182" s="3">
        <v>0</v>
      </c>
      <c r="EF182" s="3">
        <v>0</v>
      </c>
      <c r="EG182" s="3">
        <v>0</v>
      </c>
      <c r="EH182" s="3">
        <v>0</v>
      </c>
      <c r="EI182" s="3">
        <v>0</v>
      </c>
      <c r="EJ182" s="3">
        <v>532</v>
      </c>
      <c r="EK182" s="3">
        <v>0</v>
      </c>
      <c r="EL182" s="3">
        <v>0</v>
      </c>
      <c r="EM182" s="3">
        <v>0</v>
      </c>
      <c r="EN182" s="3">
        <v>0</v>
      </c>
      <c r="EO182" s="4">
        <f t="shared" si="101"/>
        <v>532</v>
      </c>
      <c r="EP182" s="8">
        <f t="shared" si="102"/>
        <v>2000.8</v>
      </c>
      <c r="EQ182" s="181">
        <f>IFERROR(VLOOKUP(I182,CEI_012018!$A$1:$U$509,9,FALSE),0)</f>
        <v>0</v>
      </c>
      <c r="ER182" s="181">
        <f>IFERROR(VLOOKUP(I182,CEI_022018!$A$1:$U$509,9,FALSE),0)</f>
        <v>0</v>
      </c>
      <c r="ES182" s="181">
        <f>IFERROR(VLOOKUP(I182,CEI_032018!$A$1:$U$509,9,FALSE),0)</f>
        <v>0</v>
      </c>
      <c r="ET182" s="181">
        <f>IFERROR(VLOOKUP(I182,CEI_042018!$A$1:$U$491,9,FALSE),0)</f>
        <v>0</v>
      </c>
      <c r="EU182" s="181">
        <f>IFERROR(VLOOKUP(I182,CEI_052018!$A$1:$U$489,9,FALSE),0)</f>
        <v>0</v>
      </c>
      <c r="EV182" s="181">
        <f>IFERROR(VLOOKUP(I182,CEI_062018!$A$1:$U$489,9,FALSE),0)</f>
        <v>0</v>
      </c>
      <c r="EW182" s="181">
        <f>IFERROR(VLOOKUP(I182,CEI_072018!$A$1:$U$489,9,FALSE),0)</f>
        <v>0</v>
      </c>
      <c r="EX182" s="181">
        <f>IFERROR(VLOOKUP(I182,CEI_082018!$A$1:$U$489,9,FALSE),0)</f>
        <v>0</v>
      </c>
      <c r="EY182" s="181">
        <f>IFERROR(VLOOKUP(I182,CEI_092018!$A$1:$U$489,9,FALSE),0)</f>
        <v>0</v>
      </c>
      <c r="EZ182" s="181"/>
      <c r="FA182" s="181"/>
      <c r="FB182" s="181"/>
      <c r="FC182" s="181">
        <f>IFERROR(VLOOKUP(I182,CEI_092018!$A$1:$U$489,12,FALSE),0)</f>
        <v>4650.193359375</v>
      </c>
      <c r="FD182" s="181">
        <f t="shared" si="104"/>
        <v>4650.193359375</v>
      </c>
      <c r="FE182" s="181">
        <f t="shared" si="105"/>
        <v>33.806640625</v>
      </c>
      <c r="FF182"/>
      <c r="FG182"/>
      <c r="FH182"/>
      <c r="FI182"/>
      <c r="FJ182"/>
      <c r="FK182"/>
      <c r="FL182"/>
      <c r="FM182"/>
      <c r="FN182"/>
      <c r="FO182"/>
      <c r="FP182"/>
      <c r="FQ182"/>
      <c r="FR182"/>
      <c r="FS182"/>
      <c r="FT182"/>
      <c r="FU182"/>
      <c r="FV182"/>
      <c r="FW182"/>
      <c r="FX182"/>
      <c r="FY182"/>
      <c r="FZ182"/>
      <c r="GA182"/>
      <c r="GB182"/>
      <c r="GC182"/>
    </row>
    <row r="183" spans="1:185" ht="12.75" customHeight="1" x14ac:dyDescent="0.25">
      <c r="A183" s="202"/>
      <c r="B183" s="22" t="s">
        <v>57</v>
      </c>
      <c r="C183" s="34" t="s">
        <v>43</v>
      </c>
      <c r="D183" s="22" t="s">
        <v>1058</v>
      </c>
      <c r="E183" s="25" t="s">
        <v>1062</v>
      </c>
      <c r="F183" s="25" t="s">
        <v>515</v>
      </c>
      <c r="G183" s="25" t="s">
        <v>516</v>
      </c>
      <c r="H183" s="22" t="s">
        <v>62</v>
      </c>
      <c r="I183" s="423" t="s">
        <v>565</v>
      </c>
      <c r="J183" s="37" t="s">
        <v>59</v>
      </c>
      <c r="K183" s="23" t="s">
        <v>517</v>
      </c>
      <c r="L183" s="23" t="s">
        <v>518</v>
      </c>
      <c r="M183" s="23" t="s">
        <v>519</v>
      </c>
      <c r="N183" s="23" t="s">
        <v>59</v>
      </c>
      <c r="O183" s="2">
        <v>0</v>
      </c>
      <c r="P183" s="2">
        <v>0</v>
      </c>
      <c r="Q183" s="2">
        <v>0</v>
      </c>
      <c r="R183" s="2">
        <v>0</v>
      </c>
      <c r="S183" s="2">
        <v>0</v>
      </c>
      <c r="T183" s="116">
        <f t="shared" si="82"/>
        <v>0</v>
      </c>
      <c r="U183" s="324">
        <v>0</v>
      </c>
      <c r="V183" s="324">
        <v>0</v>
      </c>
      <c r="W183" s="324">
        <v>0</v>
      </c>
      <c r="X183" s="324">
        <v>10000</v>
      </c>
      <c r="Y183" s="324">
        <v>0</v>
      </c>
      <c r="Z183" s="324">
        <v>0</v>
      </c>
      <c r="AA183" s="324">
        <v>0</v>
      </c>
      <c r="AB183" s="324">
        <v>0</v>
      </c>
      <c r="AC183" s="324">
        <v>0</v>
      </c>
      <c r="AD183" s="324">
        <v>0</v>
      </c>
      <c r="AE183" s="324">
        <v>0</v>
      </c>
      <c r="AF183" s="324">
        <v>0</v>
      </c>
      <c r="AG183" s="140">
        <f t="shared" si="83"/>
        <v>10000</v>
      </c>
      <c r="AH183" s="324">
        <v>0</v>
      </c>
      <c r="AI183" s="324">
        <v>0</v>
      </c>
      <c r="AJ183" s="324">
        <v>0</v>
      </c>
      <c r="AK183" s="324">
        <v>0</v>
      </c>
      <c r="AL183" s="324">
        <v>0</v>
      </c>
      <c r="AM183" s="324">
        <v>0</v>
      </c>
      <c r="AN183" s="324">
        <v>0</v>
      </c>
      <c r="AO183" s="324">
        <v>0</v>
      </c>
      <c r="AP183" s="324">
        <v>0</v>
      </c>
      <c r="AQ183" s="324">
        <v>0</v>
      </c>
      <c r="AR183" s="324">
        <v>0</v>
      </c>
      <c r="AS183" s="324">
        <v>0</v>
      </c>
      <c r="AT183" s="140">
        <f t="shared" si="84"/>
        <v>0</v>
      </c>
      <c r="AU183" s="324">
        <v>0</v>
      </c>
      <c r="AV183" s="324">
        <v>0</v>
      </c>
      <c r="AW183" s="324">
        <v>0</v>
      </c>
      <c r="AX183" s="324">
        <v>0</v>
      </c>
      <c r="AY183" s="324">
        <v>0</v>
      </c>
      <c r="AZ183" s="324">
        <v>0</v>
      </c>
      <c r="BA183" s="324">
        <v>0</v>
      </c>
      <c r="BB183" s="324">
        <v>0</v>
      </c>
      <c r="BC183" s="324">
        <v>0</v>
      </c>
      <c r="BD183" s="324">
        <v>0</v>
      </c>
      <c r="BE183" s="324">
        <v>0</v>
      </c>
      <c r="BF183" s="324">
        <v>0</v>
      </c>
      <c r="BG183" s="140">
        <f t="shared" si="85"/>
        <v>0</v>
      </c>
      <c r="BH183" s="324">
        <v>0</v>
      </c>
      <c r="BI183" s="324">
        <v>0</v>
      </c>
      <c r="BJ183" s="324">
        <v>0</v>
      </c>
      <c r="BK183" s="324">
        <v>0</v>
      </c>
      <c r="BL183" s="324">
        <v>0</v>
      </c>
      <c r="BM183" s="324">
        <v>0</v>
      </c>
      <c r="BN183" s="324">
        <v>0</v>
      </c>
      <c r="BO183" s="324">
        <v>0</v>
      </c>
      <c r="BP183" s="324">
        <v>0</v>
      </c>
      <c r="BQ183" s="324">
        <v>0</v>
      </c>
      <c r="BR183" s="324">
        <v>0</v>
      </c>
      <c r="BS183" s="324">
        <v>0</v>
      </c>
      <c r="BT183" s="140">
        <f t="shared" si="86"/>
        <v>0</v>
      </c>
      <c r="BU183" s="114">
        <f t="shared" si="87"/>
        <v>10000</v>
      </c>
      <c r="BV183" s="432"/>
      <c r="BW183" s="432"/>
      <c r="BX183" s="432"/>
      <c r="BY183" s="432"/>
      <c r="BZ183" s="433"/>
      <c r="CA183" s="434"/>
      <c r="CB183" s="7" t="s">
        <v>1681</v>
      </c>
      <c r="CC183" s="3">
        <v>0</v>
      </c>
      <c r="CD183" s="3">
        <v>0</v>
      </c>
      <c r="CE183" s="3">
        <v>0</v>
      </c>
      <c r="CF183" s="3">
        <v>0</v>
      </c>
      <c r="CG183" s="3">
        <v>0</v>
      </c>
      <c r="CH183" s="3">
        <v>0</v>
      </c>
      <c r="CI183" s="3">
        <v>0</v>
      </c>
      <c r="CJ183" s="3">
        <v>0</v>
      </c>
      <c r="CK183" s="3">
        <v>0</v>
      </c>
      <c r="CL183" s="3">
        <v>0</v>
      </c>
      <c r="CM183" s="3">
        <v>0</v>
      </c>
      <c r="CN183" s="3">
        <v>0</v>
      </c>
      <c r="CO183" s="4">
        <f t="shared" si="97"/>
        <v>0</v>
      </c>
      <c r="CP183" s="3">
        <v>0</v>
      </c>
      <c r="CQ183" s="3">
        <v>0</v>
      </c>
      <c r="CR183" s="3">
        <v>0</v>
      </c>
      <c r="CS183" s="3">
        <v>2100</v>
      </c>
      <c r="CT183" s="3">
        <v>0</v>
      </c>
      <c r="CU183" s="3">
        <v>0</v>
      </c>
      <c r="CV183" s="3">
        <v>0</v>
      </c>
      <c r="CW183" s="3">
        <v>0</v>
      </c>
      <c r="CX183" s="3">
        <v>0</v>
      </c>
      <c r="CY183" s="3">
        <v>0</v>
      </c>
      <c r="CZ183" s="3">
        <v>0</v>
      </c>
      <c r="DA183" s="3">
        <v>0</v>
      </c>
      <c r="DB183" s="4">
        <f t="shared" si="98"/>
        <v>2100</v>
      </c>
      <c r="DC183" s="3">
        <v>0</v>
      </c>
      <c r="DD183" s="3">
        <v>0</v>
      </c>
      <c r="DE183" s="3">
        <v>0</v>
      </c>
      <c r="DF183" s="3">
        <v>0</v>
      </c>
      <c r="DG183" s="3">
        <v>0</v>
      </c>
      <c r="DH183" s="3">
        <v>0</v>
      </c>
      <c r="DI183" s="3">
        <v>0</v>
      </c>
      <c r="DJ183" s="3">
        <v>0</v>
      </c>
      <c r="DK183" s="3">
        <v>0</v>
      </c>
      <c r="DL183" s="3">
        <v>0</v>
      </c>
      <c r="DM183" s="3">
        <v>0</v>
      </c>
      <c r="DN183" s="3">
        <v>0</v>
      </c>
      <c r="DO183" s="4">
        <f t="shared" si="99"/>
        <v>0</v>
      </c>
      <c r="DP183" s="3">
        <v>0</v>
      </c>
      <c r="DQ183" s="3">
        <v>0</v>
      </c>
      <c r="DR183" s="3">
        <v>0</v>
      </c>
      <c r="DS183" s="3">
        <v>0</v>
      </c>
      <c r="DT183" s="3">
        <v>0</v>
      </c>
      <c r="DU183" s="3">
        <v>0</v>
      </c>
      <c r="DV183" s="3">
        <v>0</v>
      </c>
      <c r="DW183" s="3">
        <v>0</v>
      </c>
      <c r="DX183" s="3">
        <v>0</v>
      </c>
      <c r="DY183" s="3">
        <v>0</v>
      </c>
      <c r="DZ183" s="3">
        <v>0</v>
      </c>
      <c r="EA183" s="3">
        <v>0</v>
      </c>
      <c r="EB183" s="4">
        <f t="shared" si="100"/>
        <v>0</v>
      </c>
      <c r="EC183" s="3">
        <v>0</v>
      </c>
      <c r="ED183" s="3">
        <v>0</v>
      </c>
      <c r="EE183" s="3">
        <v>0</v>
      </c>
      <c r="EF183" s="3">
        <v>0</v>
      </c>
      <c r="EG183" s="3">
        <v>0</v>
      </c>
      <c r="EH183" s="3">
        <v>0</v>
      </c>
      <c r="EI183" s="3">
        <v>0</v>
      </c>
      <c r="EJ183" s="3">
        <v>0</v>
      </c>
      <c r="EK183" s="3">
        <v>0</v>
      </c>
      <c r="EL183" s="3">
        <v>0</v>
      </c>
      <c r="EM183" s="3">
        <v>0</v>
      </c>
      <c r="EN183" s="3">
        <v>0</v>
      </c>
      <c r="EO183" s="4">
        <f t="shared" si="101"/>
        <v>0</v>
      </c>
      <c r="EP183" s="8">
        <f t="shared" si="102"/>
        <v>2100</v>
      </c>
      <c r="EQ183" s="181">
        <f>IFERROR(VLOOKUP(I183,CEI_012018!$A$1:$U$509,9,FALSE),0)</f>
        <v>0</v>
      </c>
      <c r="ER183" s="181">
        <f>IFERROR(VLOOKUP(I183,CEI_022018!$A$1:$U$509,9,FALSE),0)</f>
        <v>0</v>
      </c>
      <c r="ES183" s="181">
        <f>IFERROR(VLOOKUP(I183,CEI_032018!$A$1:$U$509,9,FALSE),0)</f>
        <v>0</v>
      </c>
      <c r="ET183" s="181">
        <f>IFERROR(VLOOKUP(I183,CEI_042018!$A$1:$U$491,9,FALSE),0)</f>
        <v>0</v>
      </c>
      <c r="EU183" s="181">
        <f>IFERROR(VLOOKUP(I183,CEI_052018!$A$1:$U$489,9,FALSE),0)</f>
        <v>0</v>
      </c>
      <c r="EV183" s="181">
        <f>IFERROR(VLOOKUP(I183,CEI_062018!$A$1:$U$489,9,FALSE),0)</f>
        <v>0</v>
      </c>
      <c r="EW183" s="181">
        <f>IFERROR(VLOOKUP(I183,CEI_072018!$A$1:$U$489,9,FALSE),0)</f>
        <v>0</v>
      </c>
      <c r="EX183" s="181">
        <f>IFERROR(VLOOKUP(I183,CEI_082018!$A$1:$U$489,9,FALSE),0)</f>
        <v>0</v>
      </c>
      <c r="EY183" s="181">
        <f>IFERROR(VLOOKUP(I183,CEI_092018!$A$1:$U$489,9,FALSE),0)</f>
        <v>0</v>
      </c>
      <c r="EZ183" s="181"/>
      <c r="FA183" s="181"/>
      <c r="FB183" s="181"/>
      <c r="FC183" s="181">
        <f>IFERROR(VLOOKUP(I183,CEI_092018!$A$1:$U$489,12,FALSE),0)</f>
        <v>0</v>
      </c>
      <c r="FD183" s="181">
        <f t="shared" si="104"/>
        <v>0</v>
      </c>
      <c r="FE183" s="181">
        <f t="shared" si="105"/>
        <v>0</v>
      </c>
      <c r="FF183"/>
      <c r="FG183"/>
      <c r="FH183"/>
      <c r="FI183"/>
      <c r="FJ183"/>
      <c r="FK183"/>
      <c r="FL183"/>
      <c r="FM183"/>
      <c r="FN183"/>
      <c r="FO183"/>
      <c r="FP183"/>
      <c r="FQ183"/>
      <c r="FR183"/>
      <c r="FS183"/>
      <c r="FT183"/>
      <c r="FU183"/>
      <c r="FV183"/>
      <c r="FW183"/>
      <c r="FX183"/>
      <c r="FY183"/>
      <c r="FZ183"/>
      <c r="GA183"/>
      <c r="GB183"/>
      <c r="GC183"/>
    </row>
    <row r="184" spans="1:185" ht="12.75" customHeight="1" x14ac:dyDescent="0.25">
      <c r="A184" s="202"/>
      <c r="B184" s="22" t="s">
        <v>57</v>
      </c>
      <c r="C184" s="34" t="s">
        <v>43</v>
      </c>
      <c r="D184" s="22" t="s">
        <v>1058</v>
      </c>
      <c r="E184" s="25" t="s">
        <v>1062</v>
      </c>
      <c r="F184" s="25" t="s">
        <v>515</v>
      </c>
      <c r="G184" s="25" t="s">
        <v>516</v>
      </c>
      <c r="H184" s="22" t="s">
        <v>62</v>
      </c>
      <c r="I184" s="423" t="s">
        <v>565</v>
      </c>
      <c r="J184" s="37" t="s">
        <v>59</v>
      </c>
      <c r="K184" s="23" t="s">
        <v>998</v>
      </c>
      <c r="L184" s="23" t="s">
        <v>518</v>
      </c>
      <c r="M184" s="23" t="s">
        <v>519</v>
      </c>
      <c r="N184" s="23" t="s">
        <v>59</v>
      </c>
      <c r="O184" s="2">
        <v>0</v>
      </c>
      <c r="P184" s="2">
        <v>0</v>
      </c>
      <c r="Q184" s="2">
        <v>0</v>
      </c>
      <c r="R184" s="2">
        <v>0</v>
      </c>
      <c r="S184" s="2">
        <v>0</v>
      </c>
      <c r="T184" s="116">
        <f t="shared" si="82"/>
        <v>0</v>
      </c>
      <c r="U184" s="324">
        <v>0</v>
      </c>
      <c r="V184" s="324">
        <v>0</v>
      </c>
      <c r="W184" s="324">
        <v>0</v>
      </c>
      <c r="X184" s="324">
        <v>4000</v>
      </c>
      <c r="Y184" s="324">
        <v>0</v>
      </c>
      <c r="Z184" s="324">
        <v>0</v>
      </c>
      <c r="AA184" s="324">
        <v>0</v>
      </c>
      <c r="AB184" s="324">
        <v>0</v>
      </c>
      <c r="AC184" s="324">
        <v>0</v>
      </c>
      <c r="AD184" s="324">
        <v>0</v>
      </c>
      <c r="AE184" s="324">
        <v>0</v>
      </c>
      <c r="AF184" s="324">
        <v>0</v>
      </c>
      <c r="AG184" s="140">
        <f t="shared" si="83"/>
        <v>4000</v>
      </c>
      <c r="AH184" s="324">
        <v>0</v>
      </c>
      <c r="AI184" s="324">
        <v>0</v>
      </c>
      <c r="AJ184" s="324">
        <v>0</v>
      </c>
      <c r="AK184" s="324">
        <v>0</v>
      </c>
      <c r="AL184" s="324">
        <v>0</v>
      </c>
      <c r="AM184" s="324">
        <v>0</v>
      </c>
      <c r="AN184" s="324">
        <v>0</v>
      </c>
      <c r="AO184" s="324">
        <v>0</v>
      </c>
      <c r="AP184" s="324">
        <v>0</v>
      </c>
      <c r="AQ184" s="324">
        <v>0</v>
      </c>
      <c r="AR184" s="324">
        <v>0</v>
      </c>
      <c r="AS184" s="324">
        <v>0</v>
      </c>
      <c r="AT184" s="140">
        <f t="shared" si="84"/>
        <v>0</v>
      </c>
      <c r="AU184" s="324">
        <v>0</v>
      </c>
      <c r="AV184" s="324">
        <v>0</v>
      </c>
      <c r="AW184" s="324">
        <v>0</v>
      </c>
      <c r="AX184" s="324">
        <v>0</v>
      </c>
      <c r="AY184" s="324">
        <v>0</v>
      </c>
      <c r="AZ184" s="324">
        <v>0</v>
      </c>
      <c r="BA184" s="324">
        <v>0</v>
      </c>
      <c r="BB184" s="324">
        <v>0</v>
      </c>
      <c r="BC184" s="324">
        <v>0</v>
      </c>
      <c r="BD184" s="324">
        <v>0</v>
      </c>
      <c r="BE184" s="324">
        <v>0</v>
      </c>
      <c r="BF184" s="324">
        <v>0</v>
      </c>
      <c r="BG184" s="140">
        <f t="shared" si="85"/>
        <v>0</v>
      </c>
      <c r="BH184" s="324">
        <v>0</v>
      </c>
      <c r="BI184" s="324">
        <v>0</v>
      </c>
      <c r="BJ184" s="324">
        <v>0</v>
      </c>
      <c r="BK184" s="324">
        <v>0</v>
      </c>
      <c r="BL184" s="324">
        <v>0</v>
      </c>
      <c r="BM184" s="324">
        <v>0</v>
      </c>
      <c r="BN184" s="324">
        <v>0</v>
      </c>
      <c r="BO184" s="324">
        <v>0</v>
      </c>
      <c r="BP184" s="324">
        <v>0</v>
      </c>
      <c r="BQ184" s="324">
        <v>0</v>
      </c>
      <c r="BR184" s="324">
        <v>0</v>
      </c>
      <c r="BS184" s="324">
        <v>0</v>
      </c>
      <c r="BT184" s="140">
        <f t="shared" si="86"/>
        <v>0</v>
      </c>
      <c r="BU184" s="114">
        <f t="shared" si="87"/>
        <v>4000</v>
      </c>
      <c r="BV184" s="432"/>
      <c r="BW184" s="432"/>
      <c r="BX184" s="432"/>
      <c r="BY184" s="432"/>
      <c r="BZ184" s="433"/>
      <c r="CA184" s="434"/>
      <c r="CB184" s="7" t="s">
        <v>1681</v>
      </c>
      <c r="CC184" s="3">
        <v>0</v>
      </c>
      <c r="CD184" s="3">
        <v>0</v>
      </c>
      <c r="CE184" s="3">
        <v>0</v>
      </c>
      <c r="CF184" s="3">
        <v>0</v>
      </c>
      <c r="CG184" s="3">
        <v>0</v>
      </c>
      <c r="CH184" s="3">
        <v>0</v>
      </c>
      <c r="CI184" s="3">
        <v>0</v>
      </c>
      <c r="CJ184" s="3">
        <v>0</v>
      </c>
      <c r="CK184" s="3">
        <v>0</v>
      </c>
      <c r="CL184" s="3">
        <v>0</v>
      </c>
      <c r="CM184" s="3">
        <v>0</v>
      </c>
      <c r="CN184" s="3">
        <v>0</v>
      </c>
      <c r="CO184" s="4">
        <f t="shared" si="97"/>
        <v>0</v>
      </c>
      <c r="CP184" s="3">
        <v>0</v>
      </c>
      <c r="CQ184" s="3">
        <v>0</v>
      </c>
      <c r="CR184" s="3">
        <v>0</v>
      </c>
      <c r="CS184" s="3">
        <v>2100</v>
      </c>
      <c r="CT184" s="3">
        <v>0</v>
      </c>
      <c r="CU184" s="3">
        <v>0</v>
      </c>
      <c r="CV184" s="3">
        <v>0</v>
      </c>
      <c r="CW184" s="3">
        <v>0</v>
      </c>
      <c r="CX184" s="3">
        <v>0</v>
      </c>
      <c r="CY184" s="3">
        <v>0</v>
      </c>
      <c r="CZ184" s="3">
        <v>0</v>
      </c>
      <c r="DA184" s="3">
        <v>0</v>
      </c>
      <c r="DB184" s="4">
        <f t="shared" si="98"/>
        <v>2100</v>
      </c>
      <c r="DC184" s="3">
        <v>0</v>
      </c>
      <c r="DD184" s="3">
        <v>0</v>
      </c>
      <c r="DE184" s="3">
        <v>0</v>
      </c>
      <c r="DF184" s="3">
        <v>0</v>
      </c>
      <c r="DG184" s="3">
        <v>0</v>
      </c>
      <c r="DH184" s="3">
        <v>0</v>
      </c>
      <c r="DI184" s="3">
        <v>0</v>
      </c>
      <c r="DJ184" s="3">
        <v>0</v>
      </c>
      <c r="DK184" s="3">
        <v>0</v>
      </c>
      <c r="DL184" s="3">
        <v>0</v>
      </c>
      <c r="DM184" s="3">
        <v>0</v>
      </c>
      <c r="DN184" s="3">
        <v>0</v>
      </c>
      <c r="DO184" s="4">
        <f t="shared" si="99"/>
        <v>0</v>
      </c>
      <c r="DP184" s="3">
        <v>0</v>
      </c>
      <c r="DQ184" s="3">
        <v>0</v>
      </c>
      <c r="DR184" s="3">
        <v>0</v>
      </c>
      <c r="DS184" s="3">
        <v>0</v>
      </c>
      <c r="DT184" s="3">
        <v>0</v>
      </c>
      <c r="DU184" s="3">
        <v>0</v>
      </c>
      <c r="DV184" s="3">
        <v>0</v>
      </c>
      <c r="DW184" s="3">
        <v>0</v>
      </c>
      <c r="DX184" s="3">
        <v>0</v>
      </c>
      <c r="DY184" s="3">
        <v>0</v>
      </c>
      <c r="DZ184" s="3">
        <v>0</v>
      </c>
      <c r="EA184" s="3">
        <v>0</v>
      </c>
      <c r="EB184" s="4">
        <f t="shared" si="100"/>
        <v>0</v>
      </c>
      <c r="EC184" s="3">
        <v>0</v>
      </c>
      <c r="ED184" s="3">
        <v>0</v>
      </c>
      <c r="EE184" s="3">
        <v>0</v>
      </c>
      <c r="EF184" s="3">
        <v>0</v>
      </c>
      <c r="EG184" s="3">
        <v>0</v>
      </c>
      <c r="EH184" s="3">
        <v>0</v>
      </c>
      <c r="EI184" s="3">
        <v>0</v>
      </c>
      <c r="EJ184" s="3">
        <v>0</v>
      </c>
      <c r="EK184" s="3">
        <v>0</v>
      </c>
      <c r="EL184" s="3">
        <v>0</v>
      </c>
      <c r="EM184" s="3">
        <v>0</v>
      </c>
      <c r="EN184" s="3">
        <v>0</v>
      </c>
      <c r="EO184" s="4">
        <f t="shared" si="101"/>
        <v>0</v>
      </c>
      <c r="EP184" s="8">
        <f t="shared" si="102"/>
        <v>2100</v>
      </c>
      <c r="EQ184" s="181">
        <f>IFERROR(VLOOKUP(I184,CEI_012018!$A$1:$U$509,9,FALSE),0)</f>
        <v>0</v>
      </c>
      <c r="ER184" s="181">
        <f>IFERROR(VLOOKUP(I184,CEI_022018!$A$1:$U$509,9,FALSE),0)</f>
        <v>0</v>
      </c>
      <c r="ES184" s="181">
        <f>IFERROR(VLOOKUP(I184,CEI_032018!$A$1:$U$509,9,FALSE),0)</f>
        <v>0</v>
      </c>
      <c r="ET184" s="181">
        <f>IFERROR(VLOOKUP(I184,CEI_042018!$A$1:$U$491,9,FALSE),0)</f>
        <v>0</v>
      </c>
      <c r="EU184" s="181">
        <f>IFERROR(VLOOKUP(I184,CEI_052018!$A$1:$U$489,9,FALSE),0)</f>
        <v>0</v>
      </c>
      <c r="EV184" s="181">
        <f>IFERROR(VLOOKUP(I184,CEI_062018!$A$1:$U$489,9,FALSE),0)</f>
        <v>0</v>
      </c>
      <c r="EW184" s="181">
        <f>IFERROR(VLOOKUP(I184,CEI_072018!$A$1:$U$489,9,FALSE),0)</f>
        <v>0</v>
      </c>
      <c r="EX184" s="181">
        <f>IFERROR(VLOOKUP(I184,CEI_082018!$A$1:$U$489,9,FALSE),0)</f>
        <v>0</v>
      </c>
      <c r="EY184" s="181">
        <f>IFERROR(VLOOKUP(I184,CEI_092018!$A$1:$U$489,9,FALSE),0)</f>
        <v>0</v>
      </c>
      <c r="EZ184" s="181"/>
      <c r="FA184" s="181"/>
      <c r="FB184" s="181"/>
      <c r="FC184" s="181">
        <f>IFERROR(VLOOKUP(I184,CEI_092018!$A$1:$U$489,12,FALSE),0)</f>
        <v>0</v>
      </c>
      <c r="FD184" s="181">
        <f t="shared" si="104"/>
        <v>0</v>
      </c>
      <c r="FE184" s="181">
        <f t="shared" si="105"/>
        <v>0</v>
      </c>
      <c r="FF184"/>
      <c r="FG184"/>
      <c r="FH184"/>
      <c r="FI184"/>
      <c r="FJ184"/>
      <c r="FK184"/>
      <c r="FL184"/>
      <c r="FM184"/>
      <c r="FN184"/>
      <c r="FO184"/>
      <c r="FP184"/>
      <c r="FQ184"/>
      <c r="FR184"/>
      <c r="FS184"/>
      <c r="FT184"/>
      <c r="FU184"/>
      <c r="FV184"/>
      <c r="FW184"/>
      <c r="FX184"/>
      <c r="FY184"/>
      <c r="FZ184"/>
      <c r="GA184"/>
      <c r="GB184"/>
      <c r="GC184"/>
    </row>
    <row r="185" spans="1:185" ht="12.75" customHeight="1" x14ac:dyDescent="0.25">
      <c r="A185" s="202"/>
      <c r="B185" s="22" t="s">
        <v>57</v>
      </c>
      <c r="C185" s="34" t="s">
        <v>43</v>
      </c>
      <c r="D185" s="22" t="s">
        <v>1058</v>
      </c>
      <c r="E185" s="25" t="s">
        <v>1062</v>
      </c>
      <c r="F185" s="25" t="s">
        <v>515</v>
      </c>
      <c r="G185" s="25" t="s">
        <v>516</v>
      </c>
      <c r="H185" s="22" t="s">
        <v>62</v>
      </c>
      <c r="I185" s="423" t="s">
        <v>565</v>
      </c>
      <c r="J185" s="37" t="s">
        <v>59</v>
      </c>
      <c r="K185" s="23" t="s">
        <v>520</v>
      </c>
      <c r="L185" s="23" t="s">
        <v>518</v>
      </c>
      <c r="M185" s="23" t="s">
        <v>519</v>
      </c>
      <c r="N185" s="23" t="s">
        <v>59</v>
      </c>
      <c r="O185" s="2">
        <v>0</v>
      </c>
      <c r="P185" s="2">
        <v>0</v>
      </c>
      <c r="Q185" s="2">
        <v>0</v>
      </c>
      <c r="R185" s="2">
        <v>0</v>
      </c>
      <c r="S185" s="2">
        <v>0</v>
      </c>
      <c r="T185" s="116">
        <f t="shared" si="82"/>
        <v>0</v>
      </c>
      <c r="U185" s="324">
        <v>0</v>
      </c>
      <c r="V185" s="324">
        <v>0</v>
      </c>
      <c r="W185" s="324">
        <v>0</v>
      </c>
      <c r="X185" s="324">
        <v>1000</v>
      </c>
      <c r="Y185" s="324">
        <v>0</v>
      </c>
      <c r="Z185" s="324">
        <v>0</v>
      </c>
      <c r="AA185" s="324">
        <v>0</v>
      </c>
      <c r="AB185" s="324">
        <v>0</v>
      </c>
      <c r="AC185" s="324">
        <v>0</v>
      </c>
      <c r="AD185" s="324">
        <v>0</v>
      </c>
      <c r="AE185" s="324">
        <v>0</v>
      </c>
      <c r="AF185" s="324">
        <v>0</v>
      </c>
      <c r="AG185" s="140">
        <f t="shared" si="83"/>
        <v>1000</v>
      </c>
      <c r="AH185" s="324">
        <v>0</v>
      </c>
      <c r="AI185" s="324">
        <v>0</v>
      </c>
      <c r="AJ185" s="324">
        <v>0</v>
      </c>
      <c r="AK185" s="324">
        <v>0</v>
      </c>
      <c r="AL185" s="324">
        <v>0</v>
      </c>
      <c r="AM185" s="324">
        <v>0</v>
      </c>
      <c r="AN185" s="324">
        <v>0</v>
      </c>
      <c r="AO185" s="324">
        <v>0</v>
      </c>
      <c r="AP185" s="324">
        <v>0</v>
      </c>
      <c r="AQ185" s="324">
        <v>0</v>
      </c>
      <c r="AR185" s="324">
        <v>0</v>
      </c>
      <c r="AS185" s="324">
        <v>0</v>
      </c>
      <c r="AT185" s="140">
        <f t="shared" si="84"/>
        <v>0</v>
      </c>
      <c r="AU185" s="324">
        <v>0</v>
      </c>
      <c r="AV185" s="324">
        <v>0</v>
      </c>
      <c r="AW185" s="324">
        <v>0</v>
      </c>
      <c r="AX185" s="324">
        <v>0</v>
      </c>
      <c r="AY185" s="324">
        <v>0</v>
      </c>
      <c r="AZ185" s="324">
        <v>0</v>
      </c>
      <c r="BA185" s="324">
        <v>0</v>
      </c>
      <c r="BB185" s="324">
        <v>0</v>
      </c>
      <c r="BC185" s="324">
        <v>0</v>
      </c>
      <c r="BD185" s="324">
        <v>0</v>
      </c>
      <c r="BE185" s="324">
        <v>0</v>
      </c>
      <c r="BF185" s="324">
        <v>0</v>
      </c>
      <c r="BG185" s="140">
        <f t="shared" si="85"/>
        <v>0</v>
      </c>
      <c r="BH185" s="324">
        <v>0</v>
      </c>
      <c r="BI185" s="324">
        <v>0</v>
      </c>
      <c r="BJ185" s="324">
        <v>0</v>
      </c>
      <c r="BK185" s="324">
        <v>0</v>
      </c>
      <c r="BL185" s="324">
        <v>0</v>
      </c>
      <c r="BM185" s="324">
        <v>0</v>
      </c>
      <c r="BN185" s="324">
        <v>0</v>
      </c>
      <c r="BO185" s="324">
        <v>0</v>
      </c>
      <c r="BP185" s="324">
        <v>0</v>
      </c>
      <c r="BQ185" s="324">
        <v>0</v>
      </c>
      <c r="BR185" s="324">
        <v>0</v>
      </c>
      <c r="BS185" s="324">
        <v>0</v>
      </c>
      <c r="BT185" s="140">
        <f t="shared" si="86"/>
        <v>0</v>
      </c>
      <c r="BU185" s="114">
        <f t="shared" si="87"/>
        <v>1000</v>
      </c>
      <c r="BV185" s="432"/>
      <c r="BW185" s="432"/>
      <c r="BX185" s="432"/>
      <c r="BY185" s="432"/>
      <c r="BZ185" s="433"/>
      <c r="CA185" s="434"/>
      <c r="CB185" s="7" t="s">
        <v>1681</v>
      </c>
      <c r="CC185" s="3">
        <v>0</v>
      </c>
      <c r="CD185" s="3">
        <v>0</v>
      </c>
      <c r="CE185" s="3">
        <v>0</v>
      </c>
      <c r="CF185" s="3">
        <v>0</v>
      </c>
      <c r="CG185" s="3">
        <v>0</v>
      </c>
      <c r="CH185" s="3">
        <v>0</v>
      </c>
      <c r="CI185" s="3">
        <v>0</v>
      </c>
      <c r="CJ185" s="3">
        <v>0</v>
      </c>
      <c r="CK185" s="3">
        <v>0</v>
      </c>
      <c r="CL185" s="3">
        <v>0</v>
      </c>
      <c r="CM185" s="3">
        <v>0</v>
      </c>
      <c r="CN185" s="3">
        <v>0</v>
      </c>
      <c r="CO185" s="4">
        <f t="shared" si="97"/>
        <v>0</v>
      </c>
      <c r="CP185" s="3">
        <v>0</v>
      </c>
      <c r="CQ185" s="3">
        <v>0</v>
      </c>
      <c r="CR185" s="3">
        <v>0</v>
      </c>
      <c r="CS185" s="3">
        <v>2100</v>
      </c>
      <c r="CT185" s="3">
        <v>0</v>
      </c>
      <c r="CU185" s="3">
        <v>0</v>
      </c>
      <c r="CV185" s="3">
        <v>0</v>
      </c>
      <c r="CW185" s="3">
        <v>0</v>
      </c>
      <c r="CX185" s="3">
        <v>0</v>
      </c>
      <c r="CY185" s="3">
        <v>0</v>
      </c>
      <c r="CZ185" s="3">
        <v>0</v>
      </c>
      <c r="DA185" s="3">
        <v>0</v>
      </c>
      <c r="DB185" s="4">
        <f t="shared" si="98"/>
        <v>2100</v>
      </c>
      <c r="DC185" s="3">
        <v>0</v>
      </c>
      <c r="DD185" s="3">
        <v>0</v>
      </c>
      <c r="DE185" s="3">
        <v>0</v>
      </c>
      <c r="DF185" s="3">
        <v>0</v>
      </c>
      <c r="DG185" s="3">
        <v>0</v>
      </c>
      <c r="DH185" s="3">
        <v>0</v>
      </c>
      <c r="DI185" s="3">
        <v>0</v>
      </c>
      <c r="DJ185" s="3">
        <v>0</v>
      </c>
      <c r="DK185" s="3">
        <v>0</v>
      </c>
      <c r="DL185" s="3">
        <v>0</v>
      </c>
      <c r="DM185" s="3">
        <v>0</v>
      </c>
      <c r="DN185" s="3">
        <v>0</v>
      </c>
      <c r="DO185" s="4">
        <f t="shared" si="99"/>
        <v>0</v>
      </c>
      <c r="DP185" s="3">
        <v>0</v>
      </c>
      <c r="DQ185" s="3">
        <v>0</v>
      </c>
      <c r="DR185" s="3">
        <v>0</v>
      </c>
      <c r="DS185" s="3">
        <v>0</v>
      </c>
      <c r="DT185" s="3">
        <v>0</v>
      </c>
      <c r="DU185" s="3">
        <v>0</v>
      </c>
      <c r="DV185" s="3">
        <v>0</v>
      </c>
      <c r="DW185" s="3">
        <v>0</v>
      </c>
      <c r="DX185" s="3">
        <v>0</v>
      </c>
      <c r="DY185" s="3">
        <v>0</v>
      </c>
      <c r="DZ185" s="3">
        <v>0</v>
      </c>
      <c r="EA185" s="3">
        <v>0</v>
      </c>
      <c r="EB185" s="4">
        <f t="shared" si="100"/>
        <v>0</v>
      </c>
      <c r="EC185" s="3">
        <v>0</v>
      </c>
      <c r="ED185" s="3">
        <v>0</v>
      </c>
      <c r="EE185" s="3">
        <v>0</v>
      </c>
      <c r="EF185" s="3">
        <v>0</v>
      </c>
      <c r="EG185" s="3">
        <v>0</v>
      </c>
      <c r="EH185" s="3">
        <v>0</v>
      </c>
      <c r="EI185" s="3">
        <v>0</v>
      </c>
      <c r="EJ185" s="3">
        <v>0</v>
      </c>
      <c r="EK185" s="3">
        <v>0</v>
      </c>
      <c r="EL185" s="3">
        <v>0</v>
      </c>
      <c r="EM185" s="3">
        <v>0</v>
      </c>
      <c r="EN185" s="3">
        <v>0</v>
      </c>
      <c r="EO185" s="4">
        <f t="shared" si="101"/>
        <v>0</v>
      </c>
      <c r="EP185" s="8">
        <f t="shared" si="102"/>
        <v>2100</v>
      </c>
      <c r="EQ185" s="181">
        <f>IFERROR(VLOOKUP(I185,CEI_012018!$A$1:$U$509,9,FALSE),0)</f>
        <v>0</v>
      </c>
      <c r="ER185" s="181">
        <f>IFERROR(VLOOKUP(I185,CEI_022018!$A$1:$U$509,9,FALSE),0)</f>
        <v>0</v>
      </c>
      <c r="ES185" s="181">
        <f>IFERROR(VLOOKUP(I185,CEI_032018!$A$1:$U$509,9,FALSE),0)</f>
        <v>0</v>
      </c>
      <c r="ET185" s="181">
        <f>IFERROR(VLOOKUP(I185,CEI_042018!$A$1:$U$491,9,FALSE),0)</f>
        <v>0</v>
      </c>
      <c r="EU185" s="181">
        <f>IFERROR(VLOOKUP(I185,CEI_052018!$A$1:$U$489,9,FALSE),0)</f>
        <v>0</v>
      </c>
      <c r="EV185" s="181">
        <f>IFERROR(VLOOKUP(I185,CEI_062018!$A$1:$U$489,9,FALSE),0)</f>
        <v>0</v>
      </c>
      <c r="EW185" s="181">
        <f>IFERROR(VLOOKUP(I185,CEI_072018!$A$1:$U$489,9,FALSE),0)</f>
        <v>0</v>
      </c>
      <c r="EX185" s="181">
        <f>IFERROR(VLOOKUP(I185,CEI_082018!$A$1:$U$489,9,FALSE),0)</f>
        <v>0</v>
      </c>
      <c r="EY185" s="181">
        <f>IFERROR(VLOOKUP(I185,CEI_092018!$A$1:$U$489,9,FALSE),0)</f>
        <v>0</v>
      </c>
      <c r="EZ185" s="181"/>
      <c r="FA185" s="181"/>
      <c r="FB185" s="181"/>
      <c r="FC185" s="181">
        <f>IFERROR(VLOOKUP(I185,CEI_092018!$A$1:$U$489,12,FALSE),0)</f>
        <v>0</v>
      </c>
      <c r="FD185" s="181">
        <f t="shared" si="104"/>
        <v>0</v>
      </c>
      <c r="FE185" s="181">
        <f t="shared" si="105"/>
        <v>0</v>
      </c>
      <c r="FF185"/>
      <c r="FG185"/>
      <c r="FH185"/>
      <c r="FI185"/>
      <c r="FJ185"/>
      <c r="FK185"/>
      <c r="FL185"/>
      <c r="FM185"/>
      <c r="FN185"/>
      <c r="FO185"/>
      <c r="FP185"/>
      <c r="FQ185"/>
      <c r="FR185"/>
      <c r="FS185"/>
      <c r="FT185"/>
      <c r="FU185"/>
      <c r="FV185"/>
      <c r="FW185"/>
      <c r="FX185"/>
      <c r="FY185"/>
      <c r="FZ185"/>
      <c r="GA185"/>
      <c r="GB185"/>
      <c r="GC185"/>
    </row>
    <row r="186" spans="1:185" ht="12.75" customHeight="1" x14ac:dyDescent="0.25">
      <c r="A186" s="437"/>
      <c r="B186" s="22" t="s">
        <v>57</v>
      </c>
      <c r="C186" s="34" t="s">
        <v>43</v>
      </c>
      <c r="D186" s="22" t="s">
        <v>1059</v>
      </c>
      <c r="E186" s="25" t="s">
        <v>1065</v>
      </c>
      <c r="F186" s="25" t="s">
        <v>1059</v>
      </c>
      <c r="G186" s="25" t="s">
        <v>1065</v>
      </c>
      <c r="H186" s="22" t="s">
        <v>56</v>
      </c>
      <c r="I186" s="423" t="s">
        <v>711</v>
      </c>
      <c r="J186" s="37" t="s">
        <v>1321</v>
      </c>
      <c r="K186" s="23" t="s">
        <v>712</v>
      </c>
      <c r="L186" s="23" t="s">
        <v>396</v>
      </c>
      <c r="M186" s="23" t="s">
        <v>397</v>
      </c>
      <c r="N186" s="23" t="s">
        <v>1864</v>
      </c>
      <c r="O186" s="2">
        <v>0</v>
      </c>
      <c r="P186" s="2">
        <v>0</v>
      </c>
      <c r="Q186" s="2">
        <v>0</v>
      </c>
      <c r="R186" s="2">
        <v>0</v>
      </c>
      <c r="S186" s="2">
        <v>0</v>
      </c>
      <c r="T186" s="116">
        <f t="shared" si="82"/>
        <v>0</v>
      </c>
      <c r="U186" s="324">
        <v>0</v>
      </c>
      <c r="V186" s="324">
        <v>0</v>
      </c>
      <c r="W186" s="324">
        <v>280</v>
      </c>
      <c r="X186" s="324">
        <v>0</v>
      </c>
      <c r="Y186" s="324">
        <v>0</v>
      </c>
      <c r="Z186" s="324">
        <v>0</v>
      </c>
      <c r="AA186" s="324">
        <v>0</v>
      </c>
      <c r="AB186" s="324">
        <v>0</v>
      </c>
      <c r="AC186" s="324">
        <v>0</v>
      </c>
      <c r="AD186" s="324">
        <v>0</v>
      </c>
      <c r="AE186" s="324">
        <v>0</v>
      </c>
      <c r="AF186" s="324">
        <v>0</v>
      </c>
      <c r="AG186" s="140">
        <f t="shared" si="83"/>
        <v>280</v>
      </c>
      <c r="AH186" s="324">
        <v>0</v>
      </c>
      <c r="AI186" s="324">
        <v>0</v>
      </c>
      <c r="AJ186" s="324">
        <v>0</v>
      </c>
      <c r="AK186" s="324">
        <v>0</v>
      </c>
      <c r="AL186" s="324">
        <v>0</v>
      </c>
      <c r="AM186" s="324">
        <v>0</v>
      </c>
      <c r="AN186" s="324">
        <v>0</v>
      </c>
      <c r="AO186" s="324">
        <v>0</v>
      </c>
      <c r="AP186" s="324">
        <v>0</v>
      </c>
      <c r="AQ186" s="324">
        <v>0</v>
      </c>
      <c r="AR186" s="324">
        <v>0</v>
      </c>
      <c r="AS186" s="324">
        <v>0</v>
      </c>
      <c r="AT186" s="140">
        <f t="shared" si="84"/>
        <v>0</v>
      </c>
      <c r="AU186" s="324">
        <v>0</v>
      </c>
      <c r="AV186" s="324">
        <v>0</v>
      </c>
      <c r="AW186" s="324">
        <v>0</v>
      </c>
      <c r="AX186" s="324">
        <v>0</v>
      </c>
      <c r="AY186" s="324">
        <v>0</v>
      </c>
      <c r="AZ186" s="324">
        <v>140</v>
      </c>
      <c r="BA186" s="324">
        <v>0</v>
      </c>
      <c r="BB186" s="324">
        <v>0</v>
      </c>
      <c r="BC186" s="324">
        <v>0</v>
      </c>
      <c r="BD186" s="324">
        <v>0</v>
      </c>
      <c r="BE186" s="324">
        <v>0</v>
      </c>
      <c r="BF186" s="324">
        <v>0</v>
      </c>
      <c r="BG186" s="140">
        <f t="shared" si="85"/>
        <v>140</v>
      </c>
      <c r="BH186" s="324">
        <v>0</v>
      </c>
      <c r="BI186" s="324">
        <v>0</v>
      </c>
      <c r="BJ186" s="324">
        <v>0</v>
      </c>
      <c r="BK186" s="324">
        <v>0</v>
      </c>
      <c r="BL186" s="324">
        <v>0</v>
      </c>
      <c r="BM186" s="324">
        <v>0</v>
      </c>
      <c r="BN186" s="324">
        <v>0</v>
      </c>
      <c r="BO186" s="324">
        <v>0</v>
      </c>
      <c r="BP186" s="324">
        <v>0</v>
      </c>
      <c r="BQ186" s="324">
        <v>0</v>
      </c>
      <c r="BR186" s="324">
        <v>0</v>
      </c>
      <c r="BS186" s="324">
        <v>0</v>
      </c>
      <c r="BT186" s="140">
        <f t="shared" si="86"/>
        <v>0</v>
      </c>
      <c r="BU186" s="114">
        <f t="shared" si="87"/>
        <v>420</v>
      </c>
      <c r="BV186" s="432"/>
      <c r="BW186" s="432"/>
      <c r="BX186" s="432"/>
      <c r="BY186" s="432"/>
      <c r="BZ186" s="436">
        <f t="shared" ref="BZ186:BZ187" si="106">IFERROR((EX186/T186%),0)</f>
        <v>0</v>
      </c>
      <c r="CA186" s="434"/>
      <c r="CB186" s="7" t="s">
        <v>1681</v>
      </c>
      <c r="CC186" s="3">
        <v>0</v>
      </c>
      <c r="CD186" s="3">
        <v>0</v>
      </c>
      <c r="CE186" s="3">
        <v>0</v>
      </c>
      <c r="CF186" s="3">
        <v>0</v>
      </c>
      <c r="CG186" s="3">
        <v>0</v>
      </c>
      <c r="CH186" s="3">
        <v>0</v>
      </c>
      <c r="CI186" s="3">
        <v>0</v>
      </c>
      <c r="CJ186" s="3">
        <v>0</v>
      </c>
      <c r="CK186" s="3">
        <v>0</v>
      </c>
      <c r="CL186" s="3">
        <v>0</v>
      </c>
      <c r="CM186" s="3">
        <v>0</v>
      </c>
      <c r="CN186" s="3">
        <v>0</v>
      </c>
      <c r="CO186" s="4">
        <f t="shared" si="97"/>
        <v>0</v>
      </c>
      <c r="CP186" s="3">
        <v>0</v>
      </c>
      <c r="CQ186" s="3">
        <v>0</v>
      </c>
      <c r="CR186" s="3">
        <v>80</v>
      </c>
      <c r="CS186" s="3">
        <v>0</v>
      </c>
      <c r="CT186" s="3">
        <v>0</v>
      </c>
      <c r="CU186" s="3">
        <v>0</v>
      </c>
      <c r="CV186" s="3">
        <v>0</v>
      </c>
      <c r="CW186" s="3">
        <v>0</v>
      </c>
      <c r="CX186" s="3">
        <v>0</v>
      </c>
      <c r="CY186" s="3">
        <v>0</v>
      </c>
      <c r="CZ186" s="3">
        <v>0</v>
      </c>
      <c r="DA186" s="3">
        <v>0</v>
      </c>
      <c r="DB186" s="4">
        <f t="shared" si="98"/>
        <v>80</v>
      </c>
      <c r="DC186" s="3">
        <v>0</v>
      </c>
      <c r="DD186" s="3">
        <v>0</v>
      </c>
      <c r="DE186" s="3">
        <v>0</v>
      </c>
      <c r="DF186" s="3">
        <v>0</v>
      </c>
      <c r="DG186" s="3">
        <v>0</v>
      </c>
      <c r="DH186" s="3">
        <v>0</v>
      </c>
      <c r="DI186" s="3">
        <v>0</v>
      </c>
      <c r="DJ186" s="3">
        <v>0</v>
      </c>
      <c r="DK186" s="3">
        <v>0</v>
      </c>
      <c r="DL186" s="3">
        <v>0</v>
      </c>
      <c r="DM186" s="3">
        <v>0</v>
      </c>
      <c r="DN186" s="3">
        <v>0</v>
      </c>
      <c r="DO186" s="4">
        <f t="shared" si="99"/>
        <v>0</v>
      </c>
      <c r="DP186" s="3">
        <v>0</v>
      </c>
      <c r="DQ186" s="3">
        <v>0</v>
      </c>
      <c r="DR186" s="3">
        <v>0</v>
      </c>
      <c r="DS186" s="3">
        <v>0</v>
      </c>
      <c r="DT186" s="3">
        <v>0</v>
      </c>
      <c r="DU186" s="3">
        <v>40</v>
      </c>
      <c r="DV186" s="3">
        <v>0</v>
      </c>
      <c r="DW186" s="3">
        <v>0</v>
      </c>
      <c r="DX186" s="3">
        <v>0</v>
      </c>
      <c r="DY186" s="3">
        <v>0</v>
      </c>
      <c r="DZ186" s="3">
        <v>0</v>
      </c>
      <c r="EA186" s="3">
        <v>0</v>
      </c>
      <c r="EB186" s="4">
        <f t="shared" si="100"/>
        <v>40</v>
      </c>
      <c r="EC186" s="3">
        <v>0</v>
      </c>
      <c r="ED186" s="3">
        <v>0</v>
      </c>
      <c r="EE186" s="3">
        <v>0</v>
      </c>
      <c r="EF186" s="3">
        <v>0</v>
      </c>
      <c r="EG186" s="3">
        <v>0</v>
      </c>
      <c r="EH186" s="3">
        <v>0</v>
      </c>
      <c r="EI186" s="3">
        <v>0</v>
      </c>
      <c r="EJ186" s="3">
        <v>0</v>
      </c>
      <c r="EK186" s="3">
        <v>0</v>
      </c>
      <c r="EL186" s="3">
        <v>0</v>
      </c>
      <c r="EM186" s="3">
        <v>0</v>
      </c>
      <c r="EN186" s="3">
        <v>0</v>
      </c>
      <c r="EO186" s="4">
        <f t="shared" si="101"/>
        <v>0</v>
      </c>
      <c r="EP186" s="8">
        <f t="shared" si="102"/>
        <v>120</v>
      </c>
      <c r="EQ186" s="181">
        <f>IFERROR(VLOOKUP(I186,CEI_012018!$A$1:$U$509,9,FALSE),0)</f>
        <v>0</v>
      </c>
      <c r="ER186" s="181">
        <f>IFERROR(VLOOKUP(I186,CEI_022018!$A$1:$U$509,9,FALSE),0)</f>
        <v>0</v>
      </c>
      <c r="ES186" s="181">
        <f>IFERROR(VLOOKUP(I186,CEI_032018!$A$1:$U$509,9,FALSE),0)</f>
        <v>0</v>
      </c>
      <c r="ET186" s="181">
        <f>IFERROR(VLOOKUP(I186,CEI_042018!$A$1:$U$491,9,FALSE),0)</f>
        <v>0</v>
      </c>
      <c r="EU186" s="181">
        <f>IFERROR(VLOOKUP(I186,CEI_052018!$A$1:$U$489,9,FALSE),0)</f>
        <v>0</v>
      </c>
      <c r="EV186" s="181">
        <f>IFERROR(VLOOKUP(I186,CEI_062018!$A$1:$U$489,9,FALSE),0)</f>
        <v>0</v>
      </c>
      <c r="EW186" s="181">
        <f>IFERROR(VLOOKUP(I186,CEI_072018!$A$1:$U$489,9,FALSE),0)</f>
        <v>0</v>
      </c>
      <c r="EX186" s="181">
        <f>IFERROR(VLOOKUP(I186,CEI_082018!$A$1:$U$489,9,FALSE),0)</f>
        <v>0</v>
      </c>
      <c r="EY186" s="181">
        <f>IFERROR(VLOOKUP(I186,CEI_092018!$A$1:$U$489,9,FALSE),0)</f>
        <v>0</v>
      </c>
      <c r="EZ186" s="181"/>
      <c r="FA186" s="181"/>
      <c r="FB186" s="181"/>
      <c r="FC186" s="181">
        <f>IFERROR(VLOOKUP(I186,CEI_092018!$A$1:$U$489,12,FALSE),0)</f>
        <v>0</v>
      </c>
      <c r="FD186" s="181">
        <f t="shared" si="104"/>
        <v>0</v>
      </c>
      <c r="FE186" s="181">
        <f t="shared" si="105"/>
        <v>0</v>
      </c>
      <c r="FF186"/>
      <c r="FG186"/>
      <c r="FH186"/>
      <c r="FI186"/>
      <c r="FJ186"/>
      <c r="FK186"/>
      <c r="FL186"/>
      <c r="FM186"/>
      <c r="FN186"/>
      <c r="FO186"/>
      <c r="FP186"/>
      <c r="FQ186"/>
      <c r="FR186"/>
      <c r="FS186"/>
      <c r="FT186"/>
      <c r="FU186"/>
      <c r="FV186"/>
      <c r="FW186"/>
      <c r="FX186"/>
      <c r="FY186"/>
      <c r="FZ186"/>
      <c r="GA186"/>
      <c r="GB186"/>
      <c r="GC186"/>
    </row>
    <row r="187" spans="1:185" ht="12.75" customHeight="1" x14ac:dyDescent="0.25">
      <c r="A187" s="202"/>
      <c r="B187" s="22" t="s">
        <v>57</v>
      </c>
      <c r="C187" s="34" t="s">
        <v>44</v>
      </c>
      <c r="D187" s="22" t="s">
        <v>1059</v>
      </c>
      <c r="E187" s="390" t="s">
        <v>1065</v>
      </c>
      <c r="F187" s="25" t="s">
        <v>1059</v>
      </c>
      <c r="G187" s="25" t="s">
        <v>1065</v>
      </c>
      <c r="H187" s="22" t="s">
        <v>56</v>
      </c>
      <c r="I187" s="423" t="s">
        <v>752</v>
      </c>
      <c r="J187" s="37" t="s">
        <v>1360</v>
      </c>
      <c r="K187" s="23" t="s">
        <v>329</v>
      </c>
      <c r="L187" s="121" t="s">
        <v>330</v>
      </c>
      <c r="M187" s="121" t="s">
        <v>331</v>
      </c>
      <c r="N187" s="23" t="s">
        <v>1887</v>
      </c>
      <c r="O187" s="2">
        <v>5092.7049396038055</v>
      </c>
      <c r="P187" s="2">
        <v>600</v>
      </c>
      <c r="Q187" s="2">
        <v>750</v>
      </c>
      <c r="R187" s="2">
        <v>750</v>
      </c>
      <c r="S187" s="2">
        <v>1157.6696760943596</v>
      </c>
      <c r="T187" s="116">
        <f t="shared" si="82"/>
        <v>8350.3746156981651</v>
      </c>
      <c r="U187" s="324">
        <v>450</v>
      </c>
      <c r="V187" s="324">
        <v>450</v>
      </c>
      <c r="W187" s="324">
        <v>500</v>
      </c>
      <c r="X187" s="324">
        <v>450</v>
      </c>
      <c r="Y187" s="324">
        <v>450</v>
      </c>
      <c r="Z187" s="324">
        <v>500</v>
      </c>
      <c r="AA187" s="324">
        <v>450</v>
      </c>
      <c r="AB187" s="324">
        <v>500</v>
      </c>
      <c r="AC187" s="324">
        <v>450</v>
      </c>
      <c r="AD187" s="324">
        <v>500</v>
      </c>
      <c r="AE187" s="324">
        <v>500</v>
      </c>
      <c r="AF187" s="324">
        <v>781</v>
      </c>
      <c r="AG187" s="140">
        <f t="shared" si="83"/>
        <v>5981</v>
      </c>
      <c r="AH187" s="324">
        <v>450</v>
      </c>
      <c r="AI187" s="324">
        <v>450</v>
      </c>
      <c r="AJ187" s="324">
        <v>500</v>
      </c>
      <c r="AK187" s="324">
        <v>450</v>
      </c>
      <c r="AL187" s="324">
        <v>450</v>
      </c>
      <c r="AM187" s="324">
        <v>500</v>
      </c>
      <c r="AN187" s="324">
        <v>450</v>
      </c>
      <c r="AO187" s="324">
        <v>500</v>
      </c>
      <c r="AP187" s="324">
        <v>450</v>
      </c>
      <c r="AQ187" s="324">
        <v>500</v>
      </c>
      <c r="AR187" s="324">
        <v>500</v>
      </c>
      <c r="AS187" s="324">
        <v>781</v>
      </c>
      <c r="AT187" s="140">
        <f t="shared" si="84"/>
        <v>5981</v>
      </c>
      <c r="AU187" s="324">
        <v>547.5</v>
      </c>
      <c r="AV187" s="324">
        <v>547.5</v>
      </c>
      <c r="AW187" s="324">
        <v>547.5</v>
      </c>
      <c r="AX187" s="324">
        <v>547.5</v>
      </c>
      <c r="AY187" s="324">
        <v>547.5</v>
      </c>
      <c r="AZ187" s="324">
        <v>547.5</v>
      </c>
      <c r="BA187" s="324">
        <v>547.5</v>
      </c>
      <c r="BB187" s="324">
        <v>547.5</v>
      </c>
      <c r="BC187" s="324">
        <v>547.5</v>
      </c>
      <c r="BD187" s="324">
        <v>547.5</v>
      </c>
      <c r="BE187" s="324">
        <v>547.5</v>
      </c>
      <c r="BF187" s="324">
        <v>547</v>
      </c>
      <c r="BG187" s="140">
        <f t="shared" si="85"/>
        <v>6569.5</v>
      </c>
      <c r="BH187" s="324">
        <v>547.5</v>
      </c>
      <c r="BI187" s="324">
        <v>547.5</v>
      </c>
      <c r="BJ187" s="324">
        <v>547.5</v>
      </c>
      <c r="BK187" s="324">
        <v>547.5</v>
      </c>
      <c r="BL187" s="324">
        <v>547.5</v>
      </c>
      <c r="BM187" s="324">
        <v>547.5</v>
      </c>
      <c r="BN187" s="324">
        <v>547.5</v>
      </c>
      <c r="BO187" s="324">
        <v>547.5</v>
      </c>
      <c r="BP187" s="324">
        <v>547.5</v>
      </c>
      <c r="BQ187" s="324">
        <v>547.5</v>
      </c>
      <c r="BR187" s="324">
        <v>547.5</v>
      </c>
      <c r="BS187" s="324">
        <v>547</v>
      </c>
      <c r="BT187" s="140">
        <f t="shared" si="86"/>
        <v>6569.5</v>
      </c>
      <c r="BU187" s="114">
        <f t="shared" si="87"/>
        <v>33451.374615698165</v>
      </c>
      <c r="BV187" s="372">
        <v>1</v>
      </c>
      <c r="BW187" s="372">
        <v>1</v>
      </c>
      <c r="BX187" s="372">
        <v>1</v>
      </c>
      <c r="BY187" s="372">
        <v>1</v>
      </c>
      <c r="BZ187" s="436">
        <f t="shared" si="106"/>
        <v>60.987742155062712</v>
      </c>
      <c r="CA187" s="428">
        <f>IFERROR((FD187/T187%),0)</f>
        <v>96.199710704037741</v>
      </c>
      <c r="CB187" s="7" t="s">
        <v>1700</v>
      </c>
      <c r="CC187" s="3">
        <v>0</v>
      </c>
      <c r="CD187" s="3">
        <v>1036.904609883795</v>
      </c>
      <c r="CE187" s="3">
        <v>1140.4753543608736</v>
      </c>
      <c r="CF187" s="3">
        <v>1475.0230877282595</v>
      </c>
      <c r="CG187" s="3">
        <v>803.44502617801038</v>
      </c>
      <c r="CH187" s="3">
        <v>828.839905503767</v>
      </c>
      <c r="CI187" s="3">
        <v>766.18567232792748</v>
      </c>
      <c r="CJ187" s="3">
        <v>766.18567232792748</v>
      </c>
      <c r="CK187" s="3">
        <v>766.18567232792748</v>
      </c>
      <c r="CL187" s="3">
        <v>957.73209040990935</v>
      </c>
      <c r="CM187" s="3">
        <v>957.73209040990935</v>
      </c>
      <c r="CN187" s="3">
        <v>1164.5198186693908</v>
      </c>
      <c r="CO187" s="4">
        <f t="shared" si="97"/>
        <v>10663.229000127694</v>
      </c>
      <c r="CP187" s="3">
        <v>707.76401481292294</v>
      </c>
      <c r="CQ187" s="3">
        <v>899.31043289490481</v>
      </c>
      <c r="CR187" s="3">
        <v>899.31043289490481</v>
      </c>
      <c r="CS187" s="3">
        <v>899.31043289490481</v>
      </c>
      <c r="CT187" s="3">
        <v>707.76401481292294</v>
      </c>
      <c r="CU187" s="3">
        <v>899.31043289490481</v>
      </c>
      <c r="CV187" s="3">
        <v>707.76401481292294</v>
      </c>
      <c r="CW187" s="3">
        <v>899.31043289490481</v>
      </c>
      <c r="CX187" s="3">
        <v>899.31043289490481</v>
      </c>
      <c r="CY187" s="3">
        <v>707.76401481292294</v>
      </c>
      <c r="CZ187" s="3">
        <v>899.31043289490481</v>
      </c>
      <c r="DA187" s="3">
        <v>899.31043289490481</v>
      </c>
      <c r="DB187" s="4">
        <f t="shared" si="98"/>
        <v>10025.539522410931</v>
      </c>
      <c r="DC187" s="3">
        <v>611.88439109521983</v>
      </c>
      <c r="DD187" s="3">
        <v>611.88439109521983</v>
      </c>
      <c r="DE187" s="3">
        <v>611.88439109521983</v>
      </c>
      <c r="DF187" s="3">
        <v>611.88439109521983</v>
      </c>
      <c r="DG187" s="3">
        <v>611.88439109521983</v>
      </c>
      <c r="DH187" s="3">
        <v>611.88439109521983</v>
      </c>
      <c r="DI187" s="3">
        <v>611.88439109521983</v>
      </c>
      <c r="DJ187" s="3">
        <v>611.88439109521983</v>
      </c>
      <c r="DK187" s="3">
        <v>611.88439109521983</v>
      </c>
      <c r="DL187" s="3">
        <v>611.88439109521983</v>
      </c>
      <c r="DM187" s="3">
        <v>611.88439109521983</v>
      </c>
      <c r="DN187" s="3">
        <v>611.88439109521983</v>
      </c>
      <c r="DO187" s="4">
        <f t="shared" si="99"/>
        <v>7342.6126931426397</v>
      </c>
      <c r="DP187" s="3">
        <v>611.88439109521983</v>
      </c>
      <c r="DQ187" s="3">
        <v>611.88439109521983</v>
      </c>
      <c r="DR187" s="3">
        <v>611.88439109521983</v>
      </c>
      <c r="DS187" s="3">
        <v>611.88439109521983</v>
      </c>
      <c r="DT187" s="3">
        <v>611.88439109521983</v>
      </c>
      <c r="DU187" s="3">
        <v>611.88439109521983</v>
      </c>
      <c r="DV187" s="3">
        <v>611.88439109521983</v>
      </c>
      <c r="DW187" s="3">
        <v>611.88439109521983</v>
      </c>
      <c r="DX187" s="3">
        <v>611.88439109521983</v>
      </c>
      <c r="DY187" s="3">
        <v>611.88439109521983</v>
      </c>
      <c r="DZ187" s="3">
        <v>611.88439109521983</v>
      </c>
      <c r="EA187" s="3">
        <v>611.88439109521983</v>
      </c>
      <c r="EB187" s="4">
        <f t="shared" si="100"/>
        <v>7342.6126931426397</v>
      </c>
      <c r="EC187" s="3">
        <v>611.88439109521983</v>
      </c>
      <c r="ED187" s="3">
        <v>611.88439109521983</v>
      </c>
      <c r="EE187" s="3">
        <v>611.88439109521983</v>
      </c>
      <c r="EF187" s="3">
        <v>611.88439109521983</v>
      </c>
      <c r="EG187" s="3">
        <v>611.88439109521983</v>
      </c>
      <c r="EH187" s="3">
        <v>611.88439109521983</v>
      </c>
      <c r="EI187" s="3">
        <v>611.88439109521983</v>
      </c>
      <c r="EJ187" s="3">
        <v>611.88439109521983</v>
      </c>
      <c r="EK187" s="3">
        <v>611.88439109521983</v>
      </c>
      <c r="EL187" s="3">
        <v>611.88439109521983</v>
      </c>
      <c r="EM187" s="3">
        <v>611.88439109521983</v>
      </c>
      <c r="EN187" s="3">
        <v>611.88439109521983</v>
      </c>
      <c r="EO187" s="4">
        <f t="shared" si="101"/>
        <v>7342.6126931426397</v>
      </c>
      <c r="EP187" s="8">
        <f t="shared" si="102"/>
        <v>42716.606601966545</v>
      </c>
      <c r="EQ187" s="181">
        <f>IFERROR(VLOOKUP(I187,CEI_012018!$A$1:$U$509,9,FALSE),0)</f>
        <v>0</v>
      </c>
      <c r="ER187" s="181">
        <f>IFERROR(VLOOKUP(I187,CEI_022018!$A$1:$U$509,9,FALSE),0)</f>
        <v>812</v>
      </c>
      <c r="ES187" s="181">
        <f>IFERROR(VLOOKUP(I187,CEI_032018!$A$1:$U$509,9,FALSE),0)</f>
        <v>1705.1062276363373</v>
      </c>
      <c r="ET187" s="181">
        <f>IFERROR(VLOOKUP(I187,CEI_042018!$A$1:$U$491,9,FALSE),0)</f>
        <v>2860.1967809200287</v>
      </c>
      <c r="EU187" s="181">
        <f>IFERROR(VLOOKUP(I187,CEI_052018!$A$1:$U$489,9,FALSE),0)</f>
        <v>3489.3745973110199</v>
      </c>
      <c r="EV187" s="181">
        <f>IFERROR(VLOOKUP(I187,CEI_062018!$A$1:$U$489,9,FALSE),0)</f>
        <v>4138.4391467571259</v>
      </c>
      <c r="EW187" s="181">
        <f>IFERROR(VLOOKUP(I187,CEI_072018!$A$1:$U$489,9,FALSE),0)</f>
        <v>4816.0257956981659</v>
      </c>
      <c r="EX187" s="181">
        <f>IFERROR(VLOOKUP(I187,CEI_082018!$A$1:$U$489,9,FALSE),0)</f>
        <v>5092.7049396038055</v>
      </c>
      <c r="EY187" s="181">
        <f>IFERROR(VLOOKUP(I187,CEI_092018!$A$1:$U$489,9,FALSE),0)</f>
        <v>5092.7049396038055</v>
      </c>
      <c r="EZ187" s="181"/>
      <c r="FA187" s="181"/>
      <c r="FB187" s="181"/>
      <c r="FC187" s="181">
        <f>IFERROR(VLOOKUP(I187,CEI_092018!$A$1:$U$489,12,FALSE),0)</f>
        <v>3217.0104273068719</v>
      </c>
      <c r="FD187" s="181">
        <f t="shared" si="104"/>
        <v>8033.0362230050378</v>
      </c>
      <c r="FE187" s="181">
        <f t="shared" si="105"/>
        <v>317.33839269312739</v>
      </c>
      <c r="FF187"/>
      <c r="FG187"/>
      <c r="FH187"/>
      <c r="FI187"/>
      <c r="FJ187"/>
      <c r="FK187"/>
      <c r="FL187"/>
      <c r="FM187"/>
      <c r="FN187"/>
      <c r="FO187"/>
      <c r="FP187"/>
      <c r="FQ187"/>
      <c r="FR187"/>
      <c r="FS187"/>
      <c r="FT187"/>
      <c r="FU187"/>
      <c r="FV187"/>
      <c r="FW187"/>
      <c r="FX187"/>
      <c r="FY187"/>
      <c r="FZ187"/>
      <c r="GA187"/>
      <c r="GB187"/>
      <c r="GC187"/>
    </row>
    <row r="188" spans="1:185" ht="12.75" customHeight="1" x14ac:dyDescent="0.25">
      <c r="A188" s="202"/>
      <c r="B188" s="22" t="s">
        <v>57</v>
      </c>
      <c r="C188" s="34" t="s">
        <v>44</v>
      </c>
      <c r="D188" s="22" t="s">
        <v>1058</v>
      </c>
      <c r="E188" s="25" t="s">
        <v>1062</v>
      </c>
      <c r="F188" s="25" t="s">
        <v>1058</v>
      </c>
      <c r="G188" s="25" t="s">
        <v>1062</v>
      </c>
      <c r="H188" s="22" t="s">
        <v>56</v>
      </c>
      <c r="I188" s="423" t="s">
        <v>565</v>
      </c>
      <c r="J188" s="37" t="s">
        <v>59</v>
      </c>
      <c r="K188" s="23" t="s">
        <v>350</v>
      </c>
      <c r="L188" s="23" t="s">
        <v>351</v>
      </c>
      <c r="M188" s="23" t="s">
        <v>352</v>
      </c>
      <c r="N188" s="23" t="s">
        <v>1878</v>
      </c>
      <c r="O188" s="2">
        <v>0</v>
      </c>
      <c r="P188" s="2">
        <v>0</v>
      </c>
      <c r="Q188" s="2">
        <v>0</v>
      </c>
      <c r="R188" s="2">
        <v>0</v>
      </c>
      <c r="S188" s="2">
        <v>20000</v>
      </c>
      <c r="T188" s="116">
        <f t="shared" si="82"/>
        <v>20000</v>
      </c>
      <c r="U188" s="324">
        <v>0</v>
      </c>
      <c r="V188" s="324">
        <v>0</v>
      </c>
      <c r="W188" s="324">
        <v>0</v>
      </c>
      <c r="X188" s="324">
        <v>0</v>
      </c>
      <c r="Y188" s="324">
        <v>0</v>
      </c>
      <c r="Z188" s="324">
        <v>0</v>
      </c>
      <c r="AA188" s="324">
        <v>0</v>
      </c>
      <c r="AB188" s="324">
        <v>0</v>
      </c>
      <c r="AC188" s="324">
        <v>0</v>
      </c>
      <c r="AD188" s="324">
        <v>0</v>
      </c>
      <c r="AE188" s="324">
        <v>0</v>
      </c>
      <c r="AF188" s="324">
        <v>0</v>
      </c>
      <c r="AG188" s="140">
        <f t="shared" si="83"/>
        <v>0</v>
      </c>
      <c r="AH188" s="324">
        <v>0</v>
      </c>
      <c r="AI188" s="324">
        <v>0</v>
      </c>
      <c r="AJ188" s="324">
        <v>0</v>
      </c>
      <c r="AK188" s="324">
        <v>0</v>
      </c>
      <c r="AL188" s="324">
        <v>0</v>
      </c>
      <c r="AM188" s="324">
        <v>0</v>
      </c>
      <c r="AN188" s="324">
        <v>0</v>
      </c>
      <c r="AO188" s="324">
        <v>0</v>
      </c>
      <c r="AP188" s="324">
        <v>0</v>
      </c>
      <c r="AQ188" s="324">
        <v>0</v>
      </c>
      <c r="AR188" s="324">
        <v>0</v>
      </c>
      <c r="AS188" s="324">
        <v>0</v>
      </c>
      <c r="AT188" s="140">
        <f t="shared" si="84"/>
        <v>0</v>
      </c>
      <c r="AU188" s="324">
        <v>0</v>
      </c>
      <c r="AV188" s="324">
        <v>0</v>
      </c>
      <c r="AW188" s="324">
        <v>0</v>
      </c>
      <c r="AX188" s="324">
        <v>0</v>
      </c>
      <c r="AY188" s="324">
        <v>0</v>
      </c>
      <c r="AZ188" s="324">
        <v>0</v>
      </c>
      <c r="BA188" s="324">
        <v>0</v>
      </c>
      <c r="BB188" s="324">
        <v>0</v>
      </c>
      <c r="BC188" s="324">
        <v>0</v>
      </c>
      <c r="BD188" s="324">
        <v>0</v>
      </c>
      <c r="BE188" s="324">
        <v>0</v>
      </c>
      <c r="BF188" s="324">
        <v>0</v>
      </c>
      <c r="BG188" s="140">
        <f t="shared" si="85"/>
        <v>0</v>
      </c>
      <c r="BH188" s="324">
        <v>0</v>
      </c>
      <c r="BI188" s="324">
        <v>0</v>
      </c>
      <c r="BJ188" s="324">
        <v>0</v>
      </c>
      <c r="BK188" s="324">
        <v>0</v>
      </c>
      <c r="BL188" s="324">
        <v>0</v>
      </c>
      <c r="BM188" s="324">
        <v>0</v>
      </c>
      <c r="BN188" s="324">
        <v>0</v>
      </c>
      <c r="BO188" s="324">
        <v>0</v>
      </c>
      <c r="BP188" s="324">
        <v>0</v>
      </c>
      <c r="BQ188" s="324">
        <v>0</v>
      </c>
      <c r="BR188" s="324">
        <v>0</v>
      </c>
      <c r="BS188" s="324">
        <v>0</v>
      </c>
      <c r="BT188" s="140">
        <f t="shared" si="86"/>
        <v>0</v>
      </c>
      <c r="BU188" s="114">
        <f t="shared" si="87"/>
        <v>20000</v>
      </c>
      <c r="BV188" s="372">
        <v>-1</v>
      </c>
      <c r="BW188" s="372">
        <v>-1</v>
      </c>
      <c r="BX188" s="372">
        <v>-1</v>
      </c>
      <c r="BY188" s="372">
        <v>-1</v>
      </c>
      <c r="BZ188" s="436">
        <f>IFERROR((EX188/T188%),0)</f>
        <v>0</v>
      </c>
      <c r="CA188" s="428">
        <f>IFERROR((FD188/T188%),0)</f>
        <v>0</v>
      </c>
      <c r="CB188" s="7" t="s">
        <v>1681</v>
      </c>
      <c r="CC188" s="3">
        <v>0</v>
      </c>
      <c r="CD188" s="3">
        <v>0</v>
      </c>
      <c r="CE188" s="3">
        <v>0</v>
      </c>
      <c r="CF188" s="3">
        <v>0</v>
      </c>
      <c r="CG188" s="3">
        <v>0</v>
      </c>
      <c r="CH188" s="3">
        <v>0</v>
      </c>
      <c r="CI188" s="3">
        <v>0</v>
      </c>
      <c r="CJ188" s="3">
        <v>0</v>
      </c>
      <c r="CK188" s="3">
        <v>0</v>
      </c>
      <c r="CL188" s="3">
        <v>0</v>
      </c>
      <c r="CM188" s="3">
        <v>0</v>
      </c>
      <c r="CN188" s="3">
        <v>1</v>
      </c>
      <c r="CO188" s="4">
        <f t="shared" si="97"/>
        <v>1</v>
      </c>
      <c r="CP188" s="3">
        <v>0</v>
      </c>
      <c r="CQ188" s="3">
        <v>0</v>
      </c>
      <c r="CR188" s="3">
        <v>0</v>
      </c>
      <c r="CS188" s="3">
        <v>0</v>
      </c>
      <c r="CT188" s="3">
        <v>0</v>
      </c>
      <c r="CU188" s="3">
        <v>0</v>
      </c>
      <c r="CV188" s="3">
        <v>0</v>
      </c>
      <c r="CW188" s="3">
        <v>0</v>
      </c>
      <c r="CX188" s="3">
        <v>0</v>
      </c>
      <c r="CY188" s="3">
        <v>0</v>
      </c>
      <c r="CZ188" s="3">
        <v>0</v>
      </c>
      <c r="DA188" s="3">
        <v>0</v>
      </c>
      <c r="DB188" s="4">
        <f t="shared" si="98"/>
        <v>0</v>
      </c>
      <c r="DC188" s="3">
        <v>0</v>
      </c>
      <c r="DD188" s="3">
        <v>0</v>
      </c>
      <c r="DE188" s="3">
        <v>0</v>
      </c>
      <c r="DF188" s="3">
        <v>0</v>
      </c>
      <c r="DG188" s="3">
        <v>0</v>
      </c>
      <c r="DH188" s="3">
        <v>0</v>
      </c>
      <c r="DI188" s="3">
        <v>0</v>
      </c>
      <c r="DJ188" s="3">
        <v>0</v>
      </c>
      <c r="DK188" s="3">
        <v>0</v>
      </c>
      <c r="DL188" s="3">
        <v>0</v>
      </c>
      <c r="DM188" s="3">
        <v>0</v>
      </c>
      <c r="DN188" s="3">
        <v>0</v>
      </c>
      <c r="DO188" s="4">
        <f t="shared" si="99"/>
        <v>0</v>
      </c>
      <c r="DP188" s="3">
        <v>0</v>
      </c>
      <c r="DQ188" s="3">
        <v>0</v>
      </c>
      <c r="DR188" s="3">
        <v>0</v>
      </c>
      <c r="DS188" s="3">
        <v>0</v>
      </c>
      <c r="DT188" s="3">
        <v>0</v>
      </c>
      <c r="DU188" s="3">
        <v>0</v>
      </c>
      <c r="DV188" s="3">
        <v>0</v>
      </c>
      <c r="DW188" s="3">
        <v>0</v>
      </c>
      <c r="DX188" s="3">
        <v>0</v>
      </c>
      <c r="DY188" s="3">
        <v>0</v>
      </c>
      <c r="DZ188" s="3">
        <v>0</v>
      </c>
      <c r="EA188" s="3">
        <v>0</v>
      </c>
      <c r="EB188" s="4">
        <f t="shared" si="100"/>
        <v>0</v>
      </c>
      <c r="EC188" s="3">
        <v>0</v>
      </c>
      <c r="ED188" s="3">
        <v>0</v>
      </c>
      <c r="EE188" s="3">
        <v>0</v>
      </c>
      <c r="EF188" s="3">
        <v>0</v>
      </c>
      <c r="EG188" s="3">
        <v>0</v>
      </c>
      <c r="EH188" s="3">
        <v>0</v>
      </c>
      <c r="EI188" s="3">
        <v>0</v>
      </c>
      <c r="EJ188" s="3">
        <v>0</v>
      </c>
      <c r="EK188" s="3">
        <v>0</v>
      </c>
      <c r="EL188" s="3">
        <v>0</v>
      </c>
      <c r="EM188" s="3">
        <v>0</v>
      </c>
      <c r="EN188" s="3">
        <v>0</v>
      </c>
      <c r="EO188" s="4">
        <f t="shared" si="101"/>
        <v>0</v>
      </c>
      <c r="EP188" s="8">
        <f t="shared" si="102"/>
        <v>1</v>
      </c>
      <c r="EQ188" s="181">
        <f>IFERROR(VLOOKUP(I188,CEI_012018!$A$1:$U$509,9,FALSE),0)</f>
        <v>0</v>
      </c>
      <c r="ER188" s="181">
        <f>IFERROR(VLOOKUP(I188,CEI_022018!$A$1:$U$509,9,FALSE),0)</f>
        <v>0</v>
      </c>
      <c r="ES188" s="181">
        <f>IFERROR(VLOOKUP(I188,CEI_032018!$A$1:$U$509,9,FALSE),0)</f>
        <v>0</v>
      </c>
      <c r="ET188" s="181">
        <f>IFERROR(VLOOKUP(I188,CEI_042018!$A$1:$U$491,9,FALSE),0)</f>
        <v>0</v>
      </c>
      <c r="EU188" s="181">
        <f>IFERROR(VLOOKUP(I188,CEI_052018!$A$1:$U$489,9,FALSE),0)</f>
        <v>0</v>
      </c>
      <c r="EV188" s="181">
        <f>IFERROR(VLOOKUP(I188,CEI_062018!$A$1:$U$489,9,FALSE),0)</f>
        <v>0</v>
      </c>
      <c r="EW188" s="181">
        <f>IFERROR(VLOOKUP(I188,CEI_072018!$A$1:$U$489,9,FALSE),0)</f>
        <v>0</v>
      </c>
      <c r="EX188" s="181">
        <f>IFERROR(VLOOKUP(I188,CEI_082018!$A$1:$U$489,9,FALSE),0)</f>
        <v>0</v>
      </c>
      <c r="EY188" s="181">
        <f>IFERROR(VLOOKUP(I188,CEI_092018!$A$1:$U$489,9,FALSE),0)</f>
        <v>0</v>
      </c>
      <c r="EZ188" s="181"/>
      <c r="FA188" s="181"/>
      <c r="FB188" s="181"/>
      <c r="FC188" s="181">
        <f>IFERROR(VLOOKUP(I188,CEI_092018!$A$1:$U$489,12,FALSE),0)</f>
        <v>0</v>
      </c>
      <c r="FD188" s="181">
        <f t="shared" si="104"/>
        <v>0</v>
      </c>
      <c r="FE188" s="181">
        <f t="shared" si="105"/>
        <v>20000</v>
      </c>
      <c r="FF188"/>
      <c r="FG188"/>
      <c r="FH188"/>
      <c r="FI188"/>
      <c r="FJ188"/>
      <c r="FK188"/>
      <c r="FL188"/>
      <c r="FM188"/>
      <c r="FN188"/>
      <c r="FO188"/>
      <c r="FP188"/>
      <c r="FQ188"/>
      <c r="FR188"/>
      <c r="FS188"/>
      <c r="FT188"/>
      <c r="FU188"/>
      <c r="FV188"/>
      <c r="FW188"/>
      <c r="FX188"/>
      <c r="FY188"/>
      <c r="FZ188"/>
      <c r="GA188"/>
      <c r="GB188"/>
      <c r="GC188"/>
    </row>
    <row r="189" spans="1:185" ht="12.75" customHeight="1" x14ac:dyDescent="0.25">
      <c r="A189" s="202"/>
      <c r="B189" s="23" t="s">
        <v>57</v>
      </c>
      <c r="C189" s="34" t="s">
        <v>44</v>
      </c>
      <c r="D189" s="23" t="s">
        <v>1059</v>
      </c>
      <c r="E189" s="34" t="s">
        <v>1063</v>
      </c>
      <c r="F189" s="34" t="s">
        <v>1059</v>
      </c>
      <c r="G189" s="34" t="s">
        <v>1063</v>
      </c>
      <c r="H189" s="23" t="s">
        <v>56</v>
      </c>
      <c r="I189" s="423" t="s">
        <v>1049</v>
      </c>
      <c r="J189" s="373" t="s">
        <v>1384</v>
      </c>
      <c r="K189" s="23" t="s">
        <v>1721</v>
      </c>
      <c r="L189" s="23" t="s">
        <v>1599</v>
      </c>
      <c r="M189" s="23" t="s">
        <v>1601</v>
      </c>
      <c r="N189" s="23" t="s">
        <v>1882</v>
      </c>
      <c r="O189" s="2">
        <v>341.49017333984375</v>
      </c>
      <c r="P189" s="2">
        <v>0</v>
      </c>
      <c r="Q189" s="2">
        <v>500</v>
      </c>
      <c r="R189" s="2">
        <v>500</v>
      </c>
      <c r="S189" s="2">
        <v>158.50982666015625</v>
      </c>
      <c r="T189" s="116">
        <f t="shared" si="82"/>
        <v>1500</v>
      </c>
      <c r="U189" s="324">
        <v>0</v>
      </c>
      <c r="V189" s="324">
        <v>0</v>
      </c>
      <c r="W189" s="324">
        <v>0</v>
      </c>
      <c r="X189" s="324">
        <v>0</v>
      </c>
      <c r="Y189" s="324">
        <v>0</v>
      </c>
      <c r="Z189" s="324">
        <v>0</v>
      </c>
      <c r="AA189" s="324">
        <v>500</v>
      </c>
      <c r="AB189" s="324">
        <v>500</v>
      </c>
      <c r="AC189" s="324">
        <v>500</v>
      </c>
      <c r="AD189" s="324">
        <v>500</v>
      </c>
      <c r="AE189" s="324">
        <v>500</v>
      </c>
      <c r="AF189" s="324">
        <v>500</v>
      </c>
      <c r="AG189" s="140">
        <f t="shared" si="83"/>
        <v>3000</v>
      </c>
      <c r="AH189" s="324">
        <v>0</v>
      </c>
      <c r="AI189" s="324">
        <v>0</v>
      </c>
      <c r="AJ189" s="324">
        <v>0</v>
      </c>
      <c r="AK189" s="324">
        <v>0</v>
      </c>
      <c r="AL189" s="324">
        <v>0</v>
      </c>
      <c r="AM189" s="324">
        <v>0</v>
      </c>
      <c r="AN189" s="324">
        <v>500</v>
      </c>
      <c r="AO189" s="324">
        <v>500</v>
      </c>
      <c r="AP189" s="324">
        <v>500</v>
      </c>
      <c r="AQ189" s="324">
        <v>500</v>
      </c>
      <c r="AR189" s="324">
        <v>500</v>
      </c>
      <c r="AS189" s="324">
        <v>500</v>
      </c>
      <c r="AT189" s="140">
        <f t="shared" si="84"/>
        <v>3000</v>
      </c>
      <c r="AU189" s="324">
        <v>0</v>
      </c>
      <c r="AV189" s="324">
        <v>0</v>
      </c>
      <c r="AW189" s="324">
        <v>0</v>
      </c>
      <c r="AX189" s="324">
        <v>0</v>
      </c>
      <c r="AY189" s="324">
        <v>0</v>
      </c>
      <c r="AZ189" s="324">
        <v>500</v>
      </c>
      <c r="BA189" s="324">
        <v>500</v>
      </c>
      <c r="BB189" s="324">
        <v>500</v>
      </c>
      <c r="BC189" s="324">
        <v>500</v>
      </c>
      <c r="BD189" s="324">
        <v>500</v>
      </c>
      <c r="BE189" s="324">
        <v>500</v>
      </c>
      <c r="BF189" s="324">
        <v>600</v>
      </c>
      <c r="BG189" s="140">
        <f t="shared" si="85"/>
        <v>3600</v>
      </c>
      <c r="BH189" s="324">
        <v>0</v>
      </c>
      <c r="BI189" s="324">
        <v>0</v>
      </c>
      <c r="BJ189" s="324">
        <v>0</v>
      </c>
      <c r="BK189" s="324">
        <v>0</v>
      </c>
      <c r="BL189" s="324">
        <v>0</v>
      </c>
      <c r="BM189" s="324">
        <v>500</v>
      </c>
      <c r="BN189" s="324">
        <v>500</v>
      </c>
      <c r="BO189" s="324">
        <v>500</v>
      </c>
      <c r="BP189" s="324">
        <v>500</v>
      </c>
      <c r="BQ189" s="324">
        <v>500</v>
      </c>
      <c r="BR189" s="324">
        <v>500</v>
      </c>
      <c r="BS189" s="324">
        <v>600</v>
      </c>
      <c r="BT189" s="140">
        <f t="shared" si="86"/>
        <v>3600</v>
      </c>
      <c r="BU189" s="114">
        <f t="shared" si="87"/>
        <v>14700</v>
      </c>
      <c r="BV189" s="372">
        <v>1</v>
      </c>
      <c r="BW189" s="372">
        <v>1</v>
      </c>
      <c r="BX189" s="372">
        <v>1</v>
      </c>
      <c r="BY189" s="372">
        <v>1</v>
      </c>
      <c r="BZ189" s="436">
        <f t="shared" ref="BZ189:BZ190" si="107">IFERROR((EX189/T189%),0)</f>
        <v>22.766011555989582</v>
      </c>
      <c r="CA189" s="428">
        <f>IFERROR((FD189/T189%),0)</f>
        <v>76.971192932128901</v>
      </c>
      <c r="CB189" s="7" t="s">
        <v>1703</v>
      </c>
      <c r="CC189" s="3">
        <v>0</v>
      </c>
      <c r="CD189" s="3">
        <v>0</v>
      </c>
      <c r="CE189" s="3">
        <v>0</v>
      </c>
      <c r="CF189" s="3">
        <v>0</v>
      </c>
      <c r="CG189" s="3">
        <v>0</v>
      </c>
      <c r="CH189" s="3">
        <v>0</v>
      </c>
      <c r="CI189" s="3">
        <v>0</v>
      </c>
      <c r="CJ189" s="3">
        <v>0</v>
      </c>
      <c r="CK189" s="3">
        <v>6250</v>
      </c>
      <c r="CL189" s="3">
        <v>6250</v>
      </c>
      <c r="CM189" s="3">
        <v>6250</v>
      </c>
      <c r="CN189" s="3">
        <v>7500</v>
      </c>
      <c r="CO189" s="4">
        <f t="shared" si="97"/>
        <v>26250</v>
      </c>
      <c r="CP189" s="3">
        <v>7500</v>
      </c>
      <c r="CQ189" s="3">
        <v>0</v>
      </c>
      <c r="CR189" s="3">
        <v>0</v>
      </c>
      <c r="CS189" s="3">
        <v>0</v>
      </c>
      <c r="CT189" s="3">
        <v>0</v>
      </c>
      <c r="CU189" s="3">
        <v>0</v>
      </c>
      <c r="CV189" s="3">
        <v>6250</v>
      </c>
      <c r="CW189" s="3">
        <v>6250</v>
      </c>
      <c r="CX189" s="3">
        <v>6250</v>
      </c>
      <c r="CY189" s="3">
        <v>6250</v>
      </c>
      <c r="CZ189" s="3">
        <v>6250</v>
      </c>
      <c r="DA189" s="3">
        <v>6250</v>
      </c>
      <c r="DB189" s="4">
        <f t="shared" si="98"/>
        <v>45000</v>
      </c>
      <c r="DC189" s="3">
        <v>0</v>
      </c>
      <c r="DD189" s="3">
        <v>0</v>
      </c>
      <c r="DE189" s="3">
        <v>0</v>
      </c>
      <c r="DF189" s="3">
        <v>0</v>
      </c>
      <c r="DG189" s="3">
        <v>0</v>
      </c>
      <c r="DH189" s="3">
        <v>0</v>
      </c>
      <c r="DI189" s="3">
        <v>6250</v>
      </c>
      <c r="DJ189" s="3">
        <v>6250</v>
      </c>
      <c r="DK189" s="3">
        <v>6250</v>
      </c>
      <c r="DL189" s="3">
        <v>6250</v>
      </c>
      <c r="DM189" s="3">
        <v>6250</v>
      </c>
      <c r="DN189" s="3">
        <v>6250</v>
      </c>
      <c r="DO189" s="4">
        <f t="shared" si="99"/>
        <v>37500</v>
      </c>
      <c r="DP189" s="3">
        <v>0</v>
      </c>
      <c r="DQ189" s="3">
        <v>0</v>
      </c>
      <c r="DR189" s="3">
        <v>0</v>
      </c>
      <c r="DS189" s="3">
        <v>0</v>
      </c>
      <c r="DT189" s="3">
        <v>0</v>
      </c>
      <c r="DU189" s="3">
        <v>0</v>
      </c>
      <c r="DV189" s="3">
        <v>6250</v>
      </c>
      <c r="DW189" s="3">
        <v>6250</v>
      </c>
      <c r="DX189" s="3">
        <v>6250</v>
      </c>
      <c r="DY189" s="3">
        <v>6250</v>
      </c>
      <c r="DZ189" s="3">
        <v>6250</v>
      </c>
      <c r="EA189" s="3">
        <v>6250</v>
      </c>
      <c r="EB189" s="4">
        <f t="shared" si="100"/>
        <v>37500</v>
      </c>
      <c r="EC189" s="3">
        <v>0</v>
      </c>
      <c r="ED189" s="3">
        <v>0</v>
      </c>
      <c r="EE189" s="3">
        <v>0</v>
      </c>
      <c r="EF189" s="3">
        <v>0</v>
      </c>
      <c r="EG189" s="3">
        <v>0</v>
      </c>
      <c r="EH189" s="3">
        <v>0</v>
      </c>
      <c r="EI189" s="3">
        <v>6250</v>
      </c>
      <c r="EJ189" s="3">
        <v>6250</v>
      </c>
      <c r="EK189" s="3">
        <v>6250</v>
      </c>
      <c r="EL189" s="3">
        <v>6250</v>
      </c>
      <c r="EM189" s="3">
        <v>6250</v>
      </c>
      <c r="EN189" s="3">
        <v>6250</v>
      </c>
      <c r="EO189" s="4">
        <f t="shared" si="101"/>
        <v>37500</v>
      </c>
      <c r="EP189" s="8">
        <f t="shared" si="102"/>
        <v>183750</v>
      </c>
      <c r="EQ189" s="181">
        <f>IFERROR(VLOOKUP(I189,CEI_012018!$A$1:$U$509,9,FALSE),0)</f>
        <v>0</v>
      </c>
      <c r="ER189" s="181">
        <f>IFERROR(VLOOKUP(I189,CEI_022018!$A$1:$U$509,9,FALSE),0)</f>
        <v>0</v>
      </c>
      <c r="ES189" s="181">
        <f>IFERROR(VLOOKUP(I189,CEI_032018!$A$1:$U$509,9,FALSE),0)</f>
        <v>0</v>
      </c>
      <c r="ET189" s="181">
        <f>IFERROR(VLOOKUP(I189,CEI_042018!$A$1:$U$491,9,FALSE),0)</f>
        <v>0</v>
      </c>
      <c r="EU189" s="181">
        <f>IFERROR(VLOOKUP(I189,CEI_052018!$A$1:$U$489,9,FALSE),0)</f>
        <v>0</v>
      </c>
      <c r="EV189" s="181">
        <f>IFERROR(VLOOKUP(I189,CEI_062018!$A$1:$U$489,9,FALSE),0)</f>
        <v>0</v>
      </c>
      <c r="EW189" s="181">
        <f>IFERROR(VLOOKUP(I189,CEI_072018!$A$1:$U$489,9,FALSE),0)</f>
        <v>0</v>
      </c>
      <c r="EX189" s="181">
        <f>IFERROR(VLOOKUP(I189,CEI_082018!$A$1:$U$489,9,FALSE),0)</f>
        <v>341.49017333984375</v>
      </c>
      <c r="EY189" s="181">
        <f>IFERROR(VLOOKUP(I189,CEI_092018!$A$1:$U$489,9,FALSE),0)</f>
        <v>341.49017333984375</v>
      </c>
      <c r="EZ189" s="181"/>
      <c r="FA189" s="181"/>
      <c r="FB189" s="181"/>
      <c r="FC189" s="181">
        <f>IFERROR(VLOOKUP(I189,CEI_092018!$A$1:$U$489,12,FALSE),0)</f>
        <v>1154.5678939819336</v>
      </c>
      <c r="FD189" s="181">
        <f t="shared" si="104"/>
        <v>1154.5678939819336</v>
      </c>
      <c r="FE189" s="181">
        <f t="shared" si="105"/>
        <v>345.43210601806641</v>
      </c>
      <c r="FF189"/>
      <c r="FG189"/>
      <c r="FH189"/>
      <c r="FI189"/>
      <c r="FJ189"/>
      <c r="FK189"/>
      <c r="FL189"/>
      <c r="FM189"/>
      <c r="FN189"/>
      <c r="FO189"/>
      <c r="FP189"/>
      <c r="FQ189"/>
      <c r="FR189"/>
      <c r="FS189"/>
      <c r="FT189"/>
      <c r="FU189"/>
      <c r="FV189"/>
      <c r="FW189"/>
      <c r="FX189"/>
      <c r="FY189"/>
      <c r="FZ189"/>
      <c r="GA189"/>
      <c r="GB189"/>
      <c r="GC189"/>
    </row>
    <row r="190" spans="1:185" ht="12.75" customHeight="1" x14ac:dyDescent="0.25">
      <c r="A190" s="202"/>
      <c r="B190" s="22" t="s">
        <v>57</v>
      </c>
      <c r="C190" s="34" t="s">
        <v>44</v>
      </c>
      <c r="D190" s="22" t="s">
        <v>1059</v>
      </c>
      <c r="E190" s="25" t="s">
        <v>1065</v>
      </c>
      <c r="F190" s="25" t="s">
        <v>1059</v>
      </c>
      <c r="G190" s="25" t="s">
        <v>1065</v>
      </c>
      <c r="H190" s="22" t="s">
        <v>56</v>
      </c>
      <c r="I190" s="423" t="s">
        <v>563</v>
      </c>
      <c r="J190" s="37" t="s">
        <v>1364</v>
      </c>
      <c r="K190" s="23" t="s">
        <v>374</v>
      </c>
      <c r="L190" s="23" t="s">
        <v>375</v>
      </c>
      <c r="M190" s="23" t="s">
        <v>376</v>
      </c>
      <c r="N190" s="23" t="s">
        <v>1879</v>
      </c>
      <c r="O190" s="2">
        <v>1291.7284393310547</v>
      </c>
      <c r="P190" s="2">
        <v>600</v>
      </c>
      <c r="Q190" s="2">
        <v>646.59554000000003</v>
      </c>
      <c r="R190" s="2">
        <v>150</v>
      </c>
      <c r="S190" s="2">
        <v>1078.306912631836</v>
      </c>
      <c r="T190" s="116">
        <f t="shared" si="82"/>
        <v>3766.6308919628909</v>
      </c>
      <c r="U190" s="324">
        <v>1150</v>
      </c>
      <c r="V190" s="324">
        <v>1261</v>
      </c>
      <c r="W190" s="324">
        <v>1200</v>
      </c>
      <c r="X190" s="324">
        <v>1250</v>
      </c>
      <c r="Y190" s="324">
        <v>1200</v>
      </c>
      <c r="Z190" s="324">
        <v>1250</v>
      </c>
      <c r="AA190" s="324">
        <v>1200</v>
      </c>
      <c r="AB190" s="324">
        <v>0</v>
      </c>
      <c r="AC190" s="324">
        <v>0</v>
      </c>
      <c r="AD190" s="324">
        <v>0</v>
      </c>
      <c r="AE190" s="324">
        <v>0</v>
      </c>
      <c r="AF190" s="324">
        <v>0</v>
      </c>
      <c r="AG190" s="140">
        <f t="shared" si="83"/>
        <v>8511</v>
      </c>
      <c r="AH190" s="324">
        <v>0</v>
      </c>
      <c r="AI190" s="324">
        <v>0</v>
      </c>
      <c r="AJ190" s="324">
        <v>0</v>
      </c>
      <c r="AK190" s="324">
        <v>0</v>
      </c>
      <c r="AL190" s="324">
        <v>0</v>
      </c>
      <c r="AM190" s="324">
        <v>0</v>
      </c>
      <c r="AN190" s="324">
        <v>0</v>
      </c>
      <c r="AO190" s="324">
        <v>0</v>
      </c>
      <c r="AP190" s="324">
        <v>0</v>
      </c>
      <c r="AQ190" s="324">
        <v>0</v>
      </c>
      <c r="AR190" s="324">
        <v>0</v>
      </c>
      <c r="AS190" s="324">
        <v>0</v>
      </c>
      <c r="AT190" s="140">
        <f t="shared" si="84"/>
        <v>0</v>
      </c>
      <c r="AU190" s="324">
        <v>0</v>
      </c>
      <c r="AV190" s="324">
        <v>0</v>
      </c>
      <c r="AW190" s="324">
        <v>0</v>
      </c>
      <c r="AX190" s="324">
        <v>0</v>
      </c>
      <c r="AY190" s="324">
        <v>0</v>
      </c>
      <c r="AZ190" s="324">
        <v>0</v>
      </c>
      <c r="BA190" s="324">
        <v>0</v>
      </c>
      <c r="BB190" s="324">
        <v>0</v>
      </c>
      <c r="BC190" s="324">
        <v>0</v>
      </c>
      <c r="BD190" s="324">
        <v>0</v>
      </c>
      <c r="BE190" s="324">
        <v>0</v>
      </c>
      <c r="BF190" s="324">
        <v>0</v>
      </c>
      <c r="BG190" s="140">
        <f t="shared" si="85"/>
        <v>0</v>
      </c>
      <c r="BH190" s="324">
        <v>0</v>
      </c>
      <c r="BI190" s="324">
        <v>0</v>
      </c>
      <c r="BJ190" s="324">
        <v>0</v>
      </c>
      <c r="BK190" s="324">
        <v>0</v>
      </c>
      <c r="BL190" s="324">
        <v>0</v>
      </c>
      <c r="BM190" s="324">
        <v>0</v>
      </c>
      <c r="BN190" s="324">
        <v>0</v>
      </c>
      <c r="BO190" s="324">
        <v>0</v>
      </c>
      <c r="BP190" s="324">
        <v>0</v>
      </c>
      <c r="BQ190" s="324">
        <v>0</v>
      </c>
      <c r="BR190" s="324">
        <v>0</v>
      </c>
      <c r="BS190" s="324">
        <v>0</v>
      </c>
      <c r="BT190" s="140">
        <f t="shared" si="86"/>
        <v>0</v>
      </c>
      <c r="BU190" s="114">
        <f t="shared" si="87"/>
        <v>12277.63089196289</v>
      </c>
      <c r="BV190" s="372">
        <v>1</v>
      </c>
      <c r="BW190" s="372">
        <v>1</v>
      </c>
      <c r="BX190" s="372">
        <v>1</v>
      </c>
      <c r="BY190" s="372">
        <v>1</v>
      </c>
      <c r="BZ190" s="436">
        <f t="shared" si="107"/>
        <v>34.29400109491219</v>
      </c>
      <c r="CA190" s="428">
        <f>IFERROR((FD190/T190%),0)</f>
        <v>30.632113039897309</v>
      </c>
      <c r="CB190" s="7" t="s">
        <v>1699</v>
      </c>
      <c r="CC190" s="3">
        <v>0</v>
      </c>
      <c r="CD190" s="3">
        <v>0</v>
      </c>
      <c r="CE190" s="3">
        <v>0</v>
      </c>
      <c r="CF190" s="3">
        <v>0</v>
      </c>
      <c r="CG190" s="3">
        <v>0</v>
      </c>
      <c r="CH190" s="3">
        <v>0</v>
      </c>
      <c r="CI190" s="3">
        <v>0</v>
      </c>
      <c r="CJ190" s="3">
        <v>0</v>
      </c>
      <c r="CK190" s="3">
        <v>0</v>
      </c>
      <c r="CL190" s="3">
        <v>0</v>
      </c>
      <c r="CM190" s="3">
        <v>0</v>
      </c>
      <c r="CN190" s="3">
        <v>1</v>
      </c>
      <c r="CO190" s="4">
        <f t="shared" si="97"/>
        <v>1</v>
      </c>
      <c r="CP190" s="3">
        <v>0</v>
      </c>
      <c r="CQ190" s="3">
        <v>0</v>
      </c>
      <c r="CR190" s="3">
        <v>0</v>
      </c>
      <c r="CS190" s="3">
        <v>0</v>
      </c>
      <c r="CT190" s="3">
        <v>0</v>
      </c>
      <c r="CU190" s="3">
        <v>0</v>
      </c>
      <c r="CV190" s="3">
        <v>1</v>
      </c>
      <c r="CW190" s="3">
        <v>0</v>
      </c>
      <c r="CX190" s="3">
        <v>0</v>
      </c>
      <c r="CY190" s="3">
        <v>0</v>
      </c>
      <c r="CZ190" s="3">
        <v>0</v>
      </c>
      <c r="DA190" s="3">
        <v>0</v>
      </c>
      <c r="DB190" s="4">
        <f t="shared" si="98"/>
        <v>1</v>
      </c>
      <c r="DC190" s="3">
        <v>0</v>
      </c>
      <c r="DD190" s="3">
        <v>0</v>
      </c>
      <c r="DE190" s="3">
        <v>0</v>
      </c>
      <c r="DF190" s="3">
        <v>0</v>
      </c>
      <c r="DG190" s="3">
        <v>0</v>
      </c>
      <c r="DH190" s="3">
        <v>0</v>
      </c>
      <c r="DI190" s="3">
        <v>0</v>
      </c>
      <c r="DJ190" s="3">
        <v>0</v>
      </c>
      <c r="DK190" s="3">
        <v>0</v>
      </c>
      <c r="DL190" s="3">
        <v>0</v>
      </c>
      <c r="DM190" s="3">
        <v>0</v>
      </c>
      <c r="DN190" s="3">
        <v>0</v>
      </c>
      <c r="DO190" s="4">
        <f t="shared" si="99"/>
        <v>0</v>
      </c>
      <c r="DP190" s="3">
        <v>0</v>
      </c>
      <c r="DQ190" s="3">
        <v>0</v>
      </c>
      <c r="DR190" s="3">
        <v>0</v>
      </c>
      <c r="DS190" s="3">
        <v>0</v>
      </c>
      <c r="DT190" s="3">
        <v>0</v>
      </c>
      <c r="DU190" s="3">
        <v>0</v>
      </c>
      <c r="DV190" s="3">
        <v>0</v>
      </c>
      <c r="DW190" s="3">
        <v>0</v>
      </c>
      <c r="DX190" s="3">
        <v>0</v>
      </c>
      <c r="DY190" s="3">
        <v>0</v>
      </c>
      <c r="DZ190" s="3">
        <v>0</v>
      </c>
      <c r="EA190" s="3">
        <v>0</v>
      </c>
      <c r="EB190" s="4">
        <f t="shared" si="100"/>
        <v>0</v>
      </c>
      <c r="EC190" s="3">
        <v>0</v>
      </c>
      <c r="ED190" s="3">
        <v>0</v>
      </c>
      <c r="EE190" s="3">
        <v>0</v>
      </c>
      <c r="EF190" s="3">
        <v>0</v>
      </c>
      <c r="EG190" s="3">
        <v>0</v>
      </c>
      <c r="EH190" s="3">
        <v>0</v>
      </c>
      <c r="EI190" s="3">
        <v>0</v>
      </c>
      <c r="EJ190" s="3">
        <v>0</v>
      </c>
      <c r="EK190" s="3">
        <v>0</v>
      </c>
      <c r="EL190" s="3">
        <v>0</v>
      </c>
      <c r="EM190" s="3">
        <v>0</v>
      </c>
      <c r="EN190" s="3">
        <v>0</v>
      </c>
      <c r="EO190" s="4">
        <f t="shared" si="101"/>
        <v>0</v>
      </c>
      <c r="EP190" s="8">
        <f t="shared" si="102"/>
        <v>2</v>
      </c>
      <c r="EQ190" s="181">
        <f>IFERROR(VLOOKUP(I190,CEI_012018!$A$1:$U$509,9,FALSE),0)</f>
        <v>0</v>
      </c>
      <c r="ER190" s="181">
        <f>IFERROR(VLOOKUP(I190,CEI_022018!$A$1:$U$509,9,FALSE),0)</f>
        <v>0</v>
      </c>
      <c r="ES190" s="181">
        <f>IFERROR(VLOOKUP(I190,CEI_032018!$A$1:$U$509,9,FALSE),0)</f>
        <v>160.23846435546875</v>
      </c>
      <c r="ET190" s="181">
        <f>IFERROR(VLOOKUP(I190,CEI_042018!$A$1:$U$491,9,FALSE),0)</f>
        <v>160.23846435546875</v>
      </c>
      <c r="EU190" s="181">
        <f>IFERROR(VLOOKUP(I190,CEI_052018!$A$1:$U$489,9,FALSE),0)</f>
        <v>456.630859375</v>
      </c>
      <c r="EV190" s="181">
        <f>IFERROR(VLOOKUP(I190,CEI_062018!$A$1:$U$489,9,FALSE),0)</f>
        <v>810.03533935546875</v>
      </c>
      <c r="EW190" s="181">
        <f>IFERROR(VLOOKUP(I190,CEI_072018!$A$1:$U$489,9,FALSE),0)</f>
        <v>1082.6935119628906</v>
      </c>
      <c r="EX190" s="181">
        <f>IFERROR(VLOOKUP(I190,CEI_082018!$A$1:$U$489,9,FALSE),0)</f>
        <v>1291.7284393310547</v>
      </c>
      <c r="EY190" s="181">
        <f>IFERROR(VLOOKUP(I190,CEI_092018!$A$1:$U$489,9,FALSE),0)</f>
        <v>1291.9011393338442</v>
      </c>
      <c r="EZ190" s="181"/>
      <c r="FA190" s="181"/>
      <c r="FB190" s="181"/>
      <c r="FC190" s="181">
        <f>IFERROR(VLOOKUP(I190,CEI_092018!$A$1:$U$489,12,FALSE),0)</f>
        <v>71.105120658874512</v>
      </c>
      <c r="FD190" s="181">
        <f t="shared" si="104"/>
        <v>1153.7986326217651</v>
      </c>
      <c r="FE190" s="181">
        <f t="shared" si="105"/>
        <v>2612.8322593411258</v>
      </c>
      <c r="FF190"/>
      <c r="FG190"/>
      <c r="FH190"/>
      <c r="FI190"/>
      <c r="FJ190"/>
      <c r="FK190"/>
      <c r="FL190"/>
      <c r="FM190"/>
      <c r="FN190"/>
      <c r="FO190"/>
      <c r="FP190"/>
      <c r="FQ190"/>
      <c r="FR190"/>
      <c r="FS190"/>
      <c r="FT190"/>
      <c r="FU190"/>
      <c r="FV190"/>
      <c r="FW190"/>
      <c r="FX190"/>
      <c r="FY190"/>
      <c r="FZ190"/>
      <c r="GA190"/>
      <c r="GB190"/>
      <c r="GC190"/>
    </row>
    <row r="191" spans="1:185" ht="12.75" customHeight="1" x14ac:dyDescent="0.25">
      <c r="A191" s="202"/>
      <c r="B191" s="22" t="s">
        <v>57</v>
      </c>
      <c r="C191" s="34" t="s">
        <v>44</v>
      </c>
      <c r="D191" s="22" t="s">
        <v>1059</v>
      </c>
      <c r="E191" s="25" t="s">
        <v>1063</v>
      </c>
      <c r="F191" s="25" t="s">
        <v>1844</v>
      </c>
      <c r="G191" s="25" t="s">
        <v>1845</v>
      </c>
      <c r="H191" s="22" t="s">
        <v>62</v>
      </c>
      <c r="I191" s="423" t="s">
        <v>565</v>
      </c>
      <c r="J191" s="37" t="s">
        <v>59</v>
      </c>
      <c r="K191" s="23" t="s">
        <v>554</v>
      </c>
      <c r="L191" s="23" t="s">
        <v>555</v>
      </c>
      <c r="M191" s="23" t="s">
        <v>556</v>
      </c>
      <c r="N191" s="23" t="s">
        <v>1864</v>
      </c>
      <c r="O191" s="2">
        <v>0</v>
      </c>
      <c r="P191" s="2">
        <v>0</v>
      </c>
      <c r="Q191" s="2">
        <v>0</v>
      </c>
      <c r="R191" s="2">
        <v>0</v>
      </c>
      <c r="S191" s="2">
        <v>0</v>
      </c>
      <c r="T191" s="116">
        <f t="shared" si="82"/>
        <v>0</v>
      </c>
      <c r="U191" s="324">
        <v>0</v>
      </c>
      <c r="V191" s="324">
        <v>0</v>
      </c>
      <c r="W191" s="324">
        <v>0</v>
      </c>
      <c r="X191" s="324">
        <v>0</v>
      </c>
      <c r="Y191" s="324">
        <v>0</v>
      </c>
      <c r="Z191" s="324">
        <v>0</v>
      </c>
      <c r="AA191" s="324">
        <v>3261</v>
      </c>
      <c r="AB191" s="324">
        <v>0</v>
      </c>
      <c r="AC191" s="324">
        <v>0</v>
      </c>
      <c r="AD191" s="324">
        <v>0</v>
      </c>
      <c r="AE191" s="324">
        <v>0</v>
      </c>
      <c r="AF191" s="324">
        <v>0</v>
      </c>
      <c r="AG191" s="140">
        <f t="shared" si="83"/>
        <v>3261</v>
      </c>
      <c r="AH191" s="324">
        <v>0</v>
      </c>
      <c r="AI191" s="324">
        <v>0</v>
      </c>
      <c r="AJ191" s="324">
        <v>0</v>
      </c>
      <c r="AK191" s="324">
        <v>0</v>
      </c>
      <c r="AL191" s="324">
        <v>0</v>
      </c>
      <c r="AM191" s="324">
        <v>0</v>
      </c>
      <c r="AN191" s="324">
        <v>2655</v>
      </c>
      <c r="AO191" s="324">
        <v>0</v>
      </c>
      <c r="AP191" s="324">
        <v>0</v>
      </c>
      <c r="AQ191" s="324">
        <v>0</v>
      </c>
      <c r="AR191" s="324">
        <v>0</v>
      </c>
      <c r="AS191" s="324">
        <v>0</v>
      </c>
      <c r="AT191" s="140">
        <f t="shared" si="84"/>
        <v>2655</v>
      </c>
      <c r="AU191" s="324">
        <v>0</v>
      </c>
      <c r="AV191" s="324">
        <v>0</v>
      </c>
      <c r="AW191" s="324">
        <v>0</v>
      </c>
      <c r="AX191" s="324">
        <v>0</v>
      </c>
      <c r="AY191" s="324">
        <v>0</v>
      </c>
      <c r="AZ191" s="324">
        <v>3665</v>
      </c>
      <c r="BA191" s="324">
        <v>0</v>
      </c>
      <c r="BB191" s="324">
        <v>0</v>
      </c>
      <c r="BC191" s="324">
        <v>0</v>
      </c>
      <c r="BD191" s="324">
        <v>0</v>
      </c>
      <c r="BE191" s="324">
        <v>0</v>
      </c>
      <c r="BF191" s="324">
        <v>0</v>
      </c>
      <c r="BG191" s="140">
        <f t="shared" si="85"/>
        <v>3665</v>
      </c>
      <c r="BH191" s="324">
        <v>0</v>
      </c>
      <c r="BI191" s="324">
        <v>0</v>
      </c>
      <c r="BJ191" s="324">
        <v>0</v>
      </c>
      <c r="BK191" s="324">
        <v>0</v>
      </c>
      <c r="BL191" s="324">
        <v>0</v>
      </c>
      <c r="BM191" s="324">
        <v>0</v>
      </c>
      <c r="BN191" s="324">
        <v>0</v>
      </c>
      <c r="BO191" s="324">
        <v>0</v>
      </c>
      <c r="BP191" s="324">
        <v>0</v>
      </c>
      <c r="BQ191" s="324">
        <v>0</v>
      </c>
      <c r="BR191" s="324">
        <v>0</v>
      </c>
      <c r="BS191" s="324">
        <v>0</v>
      </c>
      <c r="BT191" s="140">
        <f t="shared" si="86"/>
        <v>0</v>
      </c>
      <c r="BU191" s="114">
        <f t="shared" si="87"/>
        <v>9581</v>
      </c>
      <c r="BV191" s="432"/>
      <c r="BW191" s="432"/>
      <c r="BX191" s="432"/>
      <c r="BY191" s="432"/>
      <c r="BZ191" s="433"/>
      <c r="CA191" s="434"/>
      <c r="CB191" s="7" t="s">
        <v>1702</v>
      </c>
      <c r="CC191" s="3">
        <v>0</v>
      </c>
      <c r="CD191" s="3">
        <v>0</v>
      </c>
      <c r="CE191" s="3">
        <v>0</v>
      </c>
      <c r="CF191" s="3">
        <v>0</v>
      </c>
      <c r="CG191" s="3">
        <v>0</v>
      </c>
      <c r="CH191" s="3">
        <v>0</v>
      </c>
      <c r="CI191" s="3">
        <v>0</v>
      </c>
      <c r="CJ191" s="3">
        <v>0</v>
      </c>
      <c r="CK191" s="3">
        <v>0</v>
      </c>
      <c r="CL191" s="3">
        <v>0</v>
      </c>
      <c r="CM191" s="3">
        <v>0</v>
      </c>
      <c r="CN191" s="3">
        <v>0</v>
      </c>
      <c r="CO191" s="4">
        <f t="shared" si="97"/>
        <v>0</v>
      </c>
      <c r="CP191" s="3">
        <v>0</v>
      </c>
      <c r="CQ191" s="3">
        <v>0</v>
      </c>
      <c r="CR191" s="3">
        <v>0</v>
      </c>
      <c r="CS191" s="3">
        <v>0</v>
      </c>
      <c r="CT191" s="3">
        <v>0</v>
      </c>
      <c r="CU191" s="3">
        <v>0</v>
      </c>
      <c r="CV191" s="3">
        <v>134</v>
      </c>
      <c r="CW191" s="3">
        <v>0</v>
      </c>
      <c r="CX191" s="3">
        <v>0</v>
      </c>
      <c r="CY191" s="3">
        <v>0</v>
      </c>
      <c r="CZ191" s="3">
        <v>0</v>
      </c>
      <c r="DA191" s="3">
        <v>0</v>
      </c>
      <c r="DB191" s="4">
        <f t="shared" si="98"/>
        <v>134</v>
      </c>
      <c r="DC191" s="3">
        <v>0</v>
      </c>
      <c r="DD191" s="3">
        <v>0</v>
      </c>
      <c r="DE191" s="3">
        <v>0</v>
      </c>
      <c r="DF191" s="3">
        <v>0</v>
      </c>
      <c r="DG191" s="3">
        <v>0</v>
      </c>
      <c r="DH191" s="3">
        <v>0</v>
      </c>
      <c r="DI191" s="3">
        <v>134</v>
      </c>
      <c r="DJ191" s="3">
        <v>0</v>
      </c>
      <c r="DK191" s="3">
        <v>0</v>
      </c>
      <c r="DL191" s="3">
        <v>0</v>
      </c>
      <c r="DM191" s="3">
        <v>0</v>
      </c>
      <c r="DN191" s="3">
        <v>0</v>
      </c>
      <c r="DO191" s="4">
        <f t="shared" si="99"/>
        <v>134</v>
      </c>
      <c r="DP191" s="3">
        <v>0</v>
      </c>
      <c r="DQ191" s="3">
        <v>0</v>
      </c>
      <c r="DR191" s="3">
        <v>0</v>
      </c>
      <c r="DS191" s="3">
        <v>0</v>
      </c>
      <c r="DT191" s="3">
        <v>0</v>
      </c>
      <c r="DU191" s="3">
        <v>134</v>
      </c>
      <c r="DV191" s="3">
        <v>0</v>
      </c>
      <c r="DW191" s="3">
        <v>0</v>
      </c>
      <c r="DX191" s="3">
        <v>0</v>
      </c>
      <c r="DY191" s="3">
        <v>0</v>
      </c>
      <c r="DZ191" s="3">
        <v>0</v>
      </c>
      <c r="EA191" s="3">
        <v>0</v>
      </c>
      <c r="EB191" s="4">
        <f t="shared" si="100"/>
        <v>134</v>
      </c>
      <c r="EC191" s="3">
        <v>0</v>
      </c>
      <c r="ED191" s="3">
        <v>0</v>
      </c>
      <c r="EE191" s="3">
        <v>0</v>
      </c>
      <c r="EF191" s="3">
        <v>0</v>
      </c>
      <c r="EG191" s="3">
        <v>0</v>
      </c>
      <c r="EH191" s="3">
        <v>0</v>
      </c>
      <c r="EI191" s="3">
        <v>0</v>
      </c>
      <c r="EJ191" s="3">
        <v>0</v>
      </c>
      <c r="EK191" s="3">
        <v>0</v>
      </c>
      <c r="EL191" s="3">
        <v>0</v>
      </c>
      <c r="EM191" s="3">
        <v>0</v>
      </c>
      <c r="EN191" s="3">
        <v>0</v>
      </c>
      <c r="EO191" s="4">
        <f t="shared" si="101"/>
        <v>0</v>
      </c>
      <c r="EP191" s="8">
        <f t="shared" si="102"/>
        <v>402</v>
      </c>
      <c r="EQ191" s="181">
        <f>IFERROR(VLOOKUP(I191,CEI_012018!$A$1:$U$509,9,FALSE),0)</f>
        <v>0</v>
      </c>
      <c r="ER191" s="181">
        <f>IFERROR(VLOOKUP(I191,CEI_022018!$A$1:$U$509,9,FALSE),0)</f>
        <v>0</v>
      </c>
      <c r="ES191" s="181">
        <f>IFERROR(VLOOKUP(I191,CEI_032018!$A$1:$U$509,9,FALSE),0)</f>
        <v>0</v>
      </c>
      <c r="ET191" s="181">
        <f>IFERROR(VLOOKUP(I191,CEI_042018!$A$1:$U$491,9,FALSE),0)</f>
        <v>0</v>
      </c>
      <c r="EU191" s="181">
        <f>IFERROR(VLOOKUP(I191,CEI_052018!$A$1:$U$489,9,FALSE),0)</f>
        <v>0</v>
      </c>
      <c r="EV191" s="181">
        <f>IFERROR(VLOOKUP(I191,CEI_062018!$A$1:$U$489,9,FALSE),0)</f>
        <v>0</v>
      </c>
      <c r="EW191" s="181">
        <f>IFERROR(VLOOKUP(I191,CEI_072018!$A$1:$U$489,9,FALSE),0)</f>
        <v>0</v>
      </c>
      <c r="EX191" s="181">
        <f>IFERROR(VLOOKUP(I191,CEI_082018!$A$1:$U$489,9,FALSE),0)</f>
        <v>0</v>
      </c>
      <c r="EY191" s="181">
        <f>IFERROR(VLOOKUP(I191,CEI_092018!$A$1:$U$489,9,FALSE),0)</f>
        <v>0</v>
      </c>
      <c r="EZ191" s="181"/>
      <c r="FA191" s="181"/>
      <c r="FB191" s="181"/>
      <c r="FC191" s="181">
        <f>IFERROR(VLOOKUP(I191,CEI_092018!$A$1:$U$489,12,FALSE),0)</f>
        <v>0</v>
      </c>
      <c r="FD191" s="181">
        <f t="shared" si="104"/>
        <v>0</v>
      </c>
      <c r="FE191" s="181">
        <f t="shared" si="105"/>
        <v>0</v>
      </c>
      <c r="FF191"/>
      <c r="FG191"/>
      <c r="FH191"/>
      <c r="FI191"/>
      <c r="FJ191"/>
      <c r="FK191"/>
      <c r="FL191"/>
      <c r="FM191"/>
      <c r="FN191"/>
      <c r="FO191"/>
      <c r="FP191"/>
      <c r="FQ191"/>
      <c r="FR191"/>
      <c r="FS191"/>
      <c r="FT191"/>
      <c r="FU191"/>
      <c r="FV191"/>
      <c r="FW191"/>
      <c r="FX191"/>
      <c r="FY191"/>
      <c r="FZ191"/>
      <c r="GA191"/>
      <c r="GB191"/>
      <c r="GC191"/>
    </row>
    <row r="192" spans="1:185" ht="12.75" customHeight="1" x14ac:dyDescent="0.25">
      <c r="A192" s="202"/>
      <c r="B192" s="22" t="s">
        <v>57</v>
      </c>
      <c r="C192" s="34" t="s">
        <v>44</v>
      </c>
      <c r="D192" s="22" t="s">
        <v>318</v>
      </c>
      <c r="E192" s="25" t="s">
        <v>1066</v>
      </c>
      <c r="F192" s="25" t="s">
        <v>318</v>
      </c>
      <c r="G192" s="25" t="s">
        <v>1066</v>
      </c>
      <c r="H192" s="22" t="s">
        <v>56</v>
      </c>
      <c r="I192" s="483" t="s">
        <v>1377</v>
      </c>
      <c r="J192" s="255" t="s">
        <v>1379</v>
      </c>
      <c r="K192" s="23" t="s">
        <v>999</v>
      </c>
      <c r="L192" s="23" t="s">
        <v>826</v>
      </c>
      <c r="M192" s="23" t="s">
        <v>827</v>
      </c>
      <c r="N192" s="23" t="s">
        <v>1877</v>
      </c>
      <c r="O192" s="2">
        <v>267.26645660400391</v>
      </c>
      <c r="P192" s="2">
        <v>2955.7335399999997</v>
      </c>
      <c r="Q192" s="2">
        <v>0</v>
      </c>
      <c r="R192" s="2">
        <v>0</v>
      </c>
      <c r="S192" s="2">
        <v>0</v>
      </c>
      <c r="T192" s="116">
        <f t="shared" si="82"/>
        <v>3222.9999966040036</v>
      </c>
      <c r="U192" s="324">
        <v>0</v>
      </c>
      <c r="V192" s="324">
        <v>0</v>
      </c>
      <c r="W192" s="324">
        <v>0</v>
      </c>
      <c r="X192" s="324">
        <v>0</v>
      </c>
      <c r="Y192" s="324">
        <v>0</v>
      </c>
      <c r="Z192" s="324">
        <v>0</v>
      </c>
      <c r="AA192" s="324">
        <v>0</v>
      </c>
      <c r="AB192" s="324">
        <v>0</v>
      </c>
      <c r="AC192" s="324">
        <v>0</v>
      </c>
      <c r="AD192" s="324">
        <v>0</v>
      </c>
      <c r="AE192" s="324">
        <v>0</v>
      </c>
      <c r="AF192" s="324">
        <v>0</v>
      </c>
      <c r="AG192" s="140">
        <f t="shared" si="83"/>
        <v>0</v>
      </c>
      <c r="AH192" s="324">
        <v>0</v>
      </c>
      <c r="AI192" s="324">
        <v>0</v>
      </c>
      <c r="AJ192" s="324">
        <v>1541</v>
      </c>
      <c r="AK192" s="324">
        <v>368</v>
      </c>
      <c r="AL192" s="324">
        <v>0</v>
      </c>
      <c r="AM192" s="324">
        <v>0</v>
      </c>
      <c r="AN192" s="324">
        <v>0</v>
      </c>
      <c r="AO192" s="324">
        <v>0</v>
      </c>
      <c r="AP192" s="324">
        <v>0</v>
      </c>
      <c r="AQ192" s="324">
        <v>0</v>
      </c>
      <c r="AR192" s="324">
        <v>0</v>
      </c>
      <c r="AS192" s="324">
        <v>0</v>
      </c>
      <c r="AT192" s="140">
        <f t="shared" si="84"/>
        <v>1909</v>
      </c>
      <c r="AU192" s="324">
        <v>0</v>
      </c>
      <c r="AV192" s="324">
        <v>0</v>
      </c>
      <c r="AW192" s="324">
        <v>0</v>
      </c>
      <c r="AX192" s="324">
        <v>0</v>
      </c>
      <c r="AY192" s="324">
        <v>0</v>
      </c>
      <c r="AZ192" s="324">
        <v>0</v>
      </c>
      <c r="BA192" s="324">
        <v>0</v>
      </c>
      <c r="BB192" s="324">
        <v>0</v>
      </c>
      <c r="BC192" s="324">
        <v>0</v>
      </c>
      <c r="BD192" s="324">
        <v>0</v>
      </c>
      <c r="BE192" s="324">
        <v>0</v>
      </c>
      <c r="BF192" s="324">
        <v>0</v>
      </c>
      <c r="BG192" s="140">
        <f t="shared" si="85"/>
        <v>0</v>
      </c>
      <c r="BH192" s="324">
        <v>0</v>
      </c>
      <c r="BI192" s="324">
        <v>0</v>
      </c>
      <c r="BJ192" s="324">
        <v>0</v>
      </c>
      <c r="BK192" s="324">
        <v>0</v>
      </c>
      <c r="BL192" s="324">
        <v>0</v>
      </c>
      <c r="BM192" s="324">
        <v>0</v>
      </c>
      <c r="BN192" s="324">
        <v>0</v>
      </c>
      <c r="BO192" s="324">
        <v>0</v>
      </c>
      <c r="BP192" s="324">
        <v>0</v>
      </c>
      <c r="BQ192" s="324">
        <v>0</v>
      </c>
      <c r="BR192" s="324">
        <v>0</v>
      </c>
      <c r="BS192" s="324">
        <v>0</v>
      </c>
      <c r="BT192" s="140">
        <f t="shared" si="86"/>
        <v>0</v>
      </c>
      <c r="BU192" s="114">
        <f t="shared" si="87"/>
        <v>5131.9999966040032</v>
      </c>
      <c r="BV192" s="372">
        <v>1</v>
      </c>
      <c r="BW192" s="372">
        <v>1</v>
      </c>
      <c r="BX192" s="372">
        <v>1</v>
      </c>
      <c r="BY192" s="372">
        <v>1</v>
      </c>
      <c r="BZ192" s="436">
        <f t="shared" ref="BZ192:BZ193" si="108">IFERROR((EX192/T192%),0)</f>
        <v>8.29247461637034</v>
      </c>
      <c r="CA192" s="428">
        <f>IFERROR((FD192/T192%),0)</f>
        <v>89.826838279967305</v>
      </c>
      <c r="CB192" s="7" t="s">
        <v>1699</v>
      </c>
      <c r="CC192" s="3">
        <v>0</v>
      </c>
      <c r="CD192" s="3">
        <v>0</v>
      </c>
      <c r="CE192" s="3">
        <v>0</v>
      </c>
      <c r="CF192" s="3">
        <v>0</v>
      </c>
      <c r="CG192" s="3">
        <v>0</v>
      </c>
      <c r="CH192" s="3">
        <v>0</v>
      </c>
      <c r="CI192" s="3">
        <v>0</v>
      </c>
      <c r="CJ192" s="3">
        <v>1</v>
      </c>
      <c r="CK192" s="3">
        <v>0</v>
      </c>
      <c r="CL192" s="3">
        <v>0</v>
      </c>
      <c r="CM192" s="3">
        <v>0</v>
      </c>
      <c r="CN192" s="3">
        <v>0</v>
      </c>
      <c r="CO192" s="4">
        <f t="shared" si="97"/>
        <v>1</v>
      </c>
      <c r="CP192" s="3">
        <v>0</v>
      </c>
      <c r="CQ192" s="3">
        <v>0</v>
      </c>
      <c r="CR192" s="3">
        <v>0</v>
      </c>
      <c r="CS192" s="3">
        <v>0</v>
      </c>
      <c r="CT192" s="3">
        <v>0</v>
      </c>
      <c r="CU192" s="3">
        <v>0</v>
      </c>
      <c r="CV192" s="3">
        <v>0</v>
      </c>
      <c r="CW192" s="3">
        <v>0</v>
      </c>
      <c r="CX192" s="3">
        <v>0</v>
      </c>
      <c r="CY192" s="3">
        <v>0</v>
      </c>
      <c r="CZ192" s="3">
        <v>0</v>
      </c>
      <c r="DA192" s="3">
        <v>0</v>
      </c>
      <c r="DB192" s="4">
        <f t="shared" si="98"/>
        <v>0</v>
      </c>
      <c r="DC192" s="3">
        <v>0</v>
      </c>
      <c r="DD192" s="3">
        <v>0</v>
      </c>
      <c r="DE192" s="3">
        <v>1</v>
      </c>
      <c r="DF192" s="3">
        <v>0</v>
      </c>
      <c r="DG192" s="3">
        <v>0</v>
      </c>
      <c r="DH192" s="3">
        <v>0</v>
      </c>
      <c r="DI192" s="3">
        <v>0</v>
      </c>
      <c r="DJ192" s="3">
        <v>0</v>
      </c>
      <c r="DK192" s="3">
        <v>0</v>
      </c>
      <c r="DL192" s="3">
        <v>0</v>
      </c>
      <c r="DM192" s="3">
        <v>0</v>
      </c>
      <c r="DN192" s="3">
        <v>0</v>
      </c>
      <c r="DO192" s="4">
        <f t="shared" si="99"/>
        <v>1</v>
      </c>
      <c r="DP192" s="3">
        <v>0</v>
      </c>
      <c r="DQ192" s="3">
        <v>0</v>
      </c>
      <c r="DR192" s="3">
        <v>0</v>
      </c>
      <c r="DS192" s="3">
        <v>0</v>
      </c>
      <c r="DT192" s="3">
        <v>0</v>
      </c>
      <c r="DU192" s="3">
        <v>0</v>
      </c>
      <c r="DV192" s="3">
        <v>0</v>
      </c>
      <c r="DW192" s="3">
        <v>0</v>
      </c>
      <c r="DX192" s="3">
        <v>0</v>
      </c>
      <c r="DY192" s="3">
        <v>0</v>
      </c>
      <c r="DZ192" s="3">
        <v>0</v>
      </c>
      <c r="EA192" s="3">
        <v>0</v>
      </c>
      <c r="EB192" s="4">
        <f t="shared" si="100"/>
        <v>0</v>
      </c>
      <c r="EC192" s="3">
        <v>0</v>
      </c>
      <c r="ED192" s="3">
        <v>0</v>
      </c>
      <c r="EE192" s="3">
        <v>0</v>
      </c>
      <c r="EF192" s="3">
        <v>0</v>
      </c>
      <c r="EG192" s="3">
        <v>0</v>
      </c>
      <c r="EH192" s="3">
        <v>0</v>
      </c>
      <c r="EI192" s="3">
        <v>0</v>
      </c>
      <c r="EJ192" s="3">
        <v>0</v>
      </c>
      <c r="EK192" s="3">
        <v>0</v>
      </c>
      <c r="EL192" s="3">
        <v>0</v>
      </c>
      <c r="EM192" s="3">
        <v>0</v>
      </c>
      <c r="EN192" s="3">
        <v>0</v>
      </c>
      <c r="EO192" s="4">
        <f t="shared" si="101"/>
        <v>0</v>
      </c>
      <c r="EP192" s="8">
        <f t="shared" si="102"/>
        <v>2</v>
      </c>
      <c r="EQ192" s="181">
        <f>IFERROR(VLOOKUP(I192,CEI_012018!$A$1:$U$509,9,FALSE),0)</f>
        <v>0</v>
      </c>
      <c r="ER192" s="181">
        <f>IFERROR(VLOOKUP(I192,CEI_022018!$A$1:$U$509,9,FALSE),0)</f>
        <v>0</v>
      </c>
      <c r="ES192" s="181">
        <f>IFERROR(VLOOKUP(I192,CEI_032018!$A$1:$U$509,9,FALSE),0)</f>
        <v>0</v>
      </c>
      <c r="ET192" s="181">
        <f>IFERROR(VLOOKUP(I192,CEI_042018!$A$1:$U$491,9,FALSE),0)</f>
        <v>0</v>
      </c>
      <c r="EU192" s="181">
        <f>IFERROR(VLOOKUP(I192,CEI_052018!$A$1:$U$489,9,FALSE),0)</f>
        <v>28.273269653320313</v>
      </c>
      <c r="EV192" s="181">
        <f>IFERROR(VLOOKUP(I192,CEI_062018!$A$1:$U$489,9,FALSE),0)</f>
        <v>142.675537109375</v>
      </c>
      <c r="EW192" s="181">
        <f>IFERROR(VLOOKUP(I192,CEI_072018!$A$1:$U$489,9,FALSE),0)</f>
        <v>267.26645660400391</v>
      </c>
      <c r="EX192" s="181">
        <f>IFERROR(VLOOKUP(I192,CEI_082018!$A$1:$U$489,9,FALSE),0)</f>
        <v>267.26645660400391</v>
      </c>
      <c r="EY192" s="181">
        <f>IFERROR(VLOOKUP(I192,CEI_092018!$A$1:$U$489,9,FALSE),0)</f>
        <v>267.26645660400391</v>
      </c>
      <c r="EZ192" s="181"/>
      <c r="FA192" s="181"/>
      <c r="FB192" s="181"/>
      <c r="FC192" s="181">
        <f>IFERROR(VLOOKUP(I192,CEI_092018!$A$1:$U$489,12,FALSE),0)</f>
        <v>2627.8525381088257</v>
      </c>
      <c r="FD192" s="181">
        <f t="shared" si="104"/>
        <v>2895.1189947128296</v>
      </c>
      <c r="FE192" s="181">
        <f t="shared" si="105"/>
        <v>327.88100189117404</v>
      </c>
      <c r="FF192"/>
      <c r="FG192"/>
      <c r="FH192"/>
      <c r="FI192"/>
      <c r="FJ192"/>
      <c r="FK192"/>
      <c r="FL192"/>
      <c r="FM192"/>
      <c r="FN192"/>
      <c r="FO192"/>
      <c r="FP192"/>
      <c r="FQ192"/>
      <c r="FR192"/>
      <c r="FS192"/>
      <c r="FT192"/>
      <c r="FU192"/>
      <c r="FV192"/>
      <c r="FW192"/>
      <c r="FX192"/>
      <c r="FY192"/>
      <c r="FZ192"/>
      <c r="GA192"/>
      <c r="GB192"/>
      <c r="GC192"/>
    </row>
    <row r="193" spans="1:185" ht="12.75" customHeight="1" x14ac:dyDescent="0.25">
      <c r="A193" s="202"/>
      <c r="B193" s="23" t="s">
        <v>57</v>
      </c>
      <c r="C193" s="34" t="s">
        <v>44</v>
      </c>
      <c r="D193" s="23" t="s">
        <v>1058</v>
      </c>
      <c r="E193" s="34" t="s">
        <v>1134</v>
      </c>
      <c r="F193" s="34" t="s">
        <v>1058</v>
      </c>
      <c r="G193" s="34" t="s">
        <v>1134</v>
      </c>
      <c r="H193" s="23" t="s">
        <v>56</v>
      </c>
      <c r="I193" s="423" t="s">
        <v>1800</v>
      </c>
      <c r="J193" s="373" t="s">
        <v>1801</v>
      </c>
      <c r="K193" s="23" t="s">
        <v>906</v>
      </c>
      <c r="L193" s="23" t="s">
        <v>367</v>
      </c>
      <c r="M193" s="23" t="s">
        <v>368</v>
      </c>
      <c r="N193" s="23" t="s">
        <v>1870</v>
      </c>
      <c r="O193" s="2"/>
      <c r="P193" s="2">
        <v>0</v>
      </c>
      <c r="Q193" s="2">
        <v>0</v>
      </c>
      <c r="R193" s="2">
        <v>0</v>
      </c>
      <c r="S193" s="2">
        <v>100</v>
      </c>
      <c r="T193" s="116">
        <f t="shared" si="82"/>
        <v>100</v>
      </c>
      <c r="U193" s="324">
        <v>0</v>
      </c>
      <c r="V193" s="324">
        <v>0</v>
      </c>
      <c r="W193" s="324">
        <v>0</v>
      </c>
      <c r="X193" s="324">
        <v>0</v>
      </c>
      <c r="Y193" s="324">
        <v>0</v>
      </c>
      <c r="Z193" s="324">
        <v>0</v>
      </c>
      <c r="AA193" s="324">
        <v>0</v>
      </c>
      <c r="AB193" s="324">
        <v>100</v>
      </c>
      <c r="AC193" s="324">
        <v>0</v>
      </c>
      <c r="AD193" s="324">
        <v>0</v>
      </c>
      <c r="AE193" s="324">
        <v>0</v>
      </c>
      <c r="AF193" s="324">
        <v>0</v>
      </c>
      <c r="AG193" s="140">
        <f t="shared" si="83"/>
        <v>100</v>
      </c>
      <c r="AH193" s="324">
        <v>0</v>
      </c>
      <c r="AI193" s="324">
        <v>0</v>
      </c>
      <c r="AJ193" s="324">
        <v>0</v>
      </c>
      <c r="AK193" s="324">
        <v>0</v>
      </c>
      <c r="AL193" s="324">
        <v>0</v>
      </c>
      <c r="AM193" s="324">
        <v>0</v>
      </c>
      <c r="AN193" s="324">
        <v>0</v>
      </c>
      <c r="AO193" s="324">
        <v>100</v>
      </c>
      <c r="AP193" s="324">
        <v>0</v>
      </c>
      <c r="AQ193" s="324">
        <v>0</v>
      </c>
      <c r="AR193" s="324">
        <v>0</v>
      </c>
      <c r="AS193" s="324">
        <v>0</v>
      </c>
      <c r="AT193" s="140">
        <f t="shared" si="84"/>
        <v>100</v>
      </c>
      <c r="AU193" s="324">
        <v>0</v>
      </c>
      <c r="AV193" s="324">
        <v>0</v>
      </c>
      <c r="AW193" s="324">
        <v>0</v>
      </c>
      <c r="AX193" s="324">
        <v>0</v>
      </c>
      <c r="AY193" s="324">
        <v>0</v>
      </c>
      <c r="AZ193" s="324">
        <v>0</v>
      </c>
      <c r="BA193" s="324">
        <v>0</v>
      </c>
      <c r="BB193" s="324">
        <v>2267</v>
      </c>
      <c r="BC193" s="324">
        <v>0</v>
      </c>
      <c r="BD193" s="324">
        <v>0</v>
      </c>
      <c r="BE193" s="324">
        <v>0</v>
      </c>
      <c r="BF193" s="324">
        <v>0</v>
      </c>
      <c r="BG193" s="140">
        <f t="shared" si="85"/>
        <v>2267</v>
      </c>
      <c r="BH193" s="324">
        <v>0</v>
      </c>
      <c r="BI193" s="324">
        <v>0</v>
      </c>
      <c r="BJ193" s="324">
        <v>0</v>
      </c>
      <c r="BK193" s="324">
        <v>0</v>
      </c>
      <c r="BL193" s="324">
        <v>0</v>
      </c>
      <c r="BM193" s="324">
        <v>0</v>
      </c>
      <c r="BN193" s="324">
        <v>0</v>
      </c>
      <c r="BO193" s="324">
        <v>2267</v>
      </c>
      <c r="BP193" s="324">
        <v>0</v>
      </c>
      <c r="BQ193" s="324">
        <v>0</v>
      </c>
      <c r="BR193" s="324">
        <v>0</v>
      </c>
      <c r="BS193" s="324">
        <v>0</v>
      </c>
      <c r="BT193" s="140">
        <f t="shared" si="86"/>
        <v>2267</v>
      </c>
      <c r="BU193" s="114">
        <f t="shared" si="87"/>
        <v>4834</v>
      </c>
      <c r="BV193" s="372">
        <v>1</v>
      </c>
      <c r="BW193" s="372">
        <v>1</v>
      </c>
      <c r="BX193" s="372">
        <v>1</v>
      </c>
      <c r="BY193" s="372">
        <v>-1</v>
      </c>
      <c r="BZ193" s="436">
        <f t="shared" si="108"/>
        <v>0</v>
      </c>
      <c r="CA193" s="428">
        <f>IFERROR((FD193/T193%),0)</f>
        <v>99.022499084472656</v>
      </c>
      <c r="CB193" s="7" t="s">
        <v>1701</v>
      </c>
      <c r="CC193" s="3">
        <v>0</v>
      </c>
      <c r="CD193" s="3">
        <v>0</v>
      </c>
      <c r="CE193" s="3">
        <v>0</v>
      </c>
      <c r="CF193" s="3">
        <v>0</v>
      </c>
      <c r="CG193" s="3">
        <v>0</v>
      </c>
      <c r="CH193" s="3">
        <v>0</v>
      </c>
      <c r="CI193" s="3">
        <v>0</v>
      </c>
      <c r="CJ193" s="3">
        <v>1</v>
      </c>
      <c r="CK193" s="3">
        <v>0</v>
      </c>
      <c r="CL193" s="3">
        <v>0</v>
      </c>
      <c r="CM193" s="3">
        <v>0</v>
      </c>
      <c r="CN193" s="3">
        <v>0</v>
      </c>
      <c r="CO193" s="4">
        <f t="shared" ref="CO193:CO224" si="109">SUM(CC193:CN193)</f>
        <v>1</v>
      </c>
      <c r="CP193" s="3">
        <v>0</v>
      </c>
      <c r="CQ193" s="3">
        <v>0</v>
      </c>
      <c r="CR193" s="3">
        <v>0</v>
      </c>
      <c r="CS193" s="3">
        <v>0</v>
      </c>
      <c r="CT193" s="3">
        <v>0</v>
      </c>
      <c r="CU193" s="3">
        <v>0</v>
      </c>
      <c r="CV193" s="3">
        <v>0</v>
      </c>
      <c r="CW193" s="3">
        <v>1</v>
      </c>
      <c r="CX193" s="3">
        <v>0</v>
      </c>
      <c r="CY193" s="3">
        <v>0</v>
      </c>
      <c r="CZ193" s="3">
        <v>0</v>
      </c>
      <c r="DA193" s="3">
        <v>0</v>
      </c>
      <c r="DB193" s="4">
        <f t="shared" ref="DB193:DB224" si="110">SUM(CP193:DA193)</f>
        <v>1</v>
      </c>
      <c r="DC193" s="3">
        <v>0</v>
      </c>
      <c r="DD193" s="3">
        <v>0</v>
      </c>
      <c r="DE193" s="3">
        <v>0</v>
      </c>
      <c r="DF193" s="3">
        <v>0</v>
      </c>
      <c r="DG193" s="3">
        <v>0</v>
      </c>
      <c r="DH193" s="3">
        <v>0</v>
      </c>
      <c r="DI193" s="3">
        <v>0</v>
      </c>
      <c r="DJ193" s="3">
        <v>1</v>
      </c>
      <c r="DK193" s="3">
        <v>0</v>
      </c>
      <c r="DL193" s="3">
        <v>0</v>
      </c>
      <c r="DM193" s="3">
        <v>0</v>
      </c>
      <c r="DN193" s="3">
        <v>0</v>
      </c>
      <c r="DO193" s="4">
        <f t="shared" ref="DO193:DO224" si="111">SUM(DC193:DN193)</f>
        <v>1</v>
      </c>
      <c r="DP193" s="3">
        <v>0</v>
      </c>
      <c r="DQ193" s="3">
        <v>0</v>
      </c>
      <c r="DR193" s="3">
        <v>0</v>
      </c>
      <c r="DS193" s="3">
        <v>0</v>
      </c>
      <c r="DT193" s="3">
        <v>0</v>
      </c>
      <c r="DU193" s="3">
        <v>0</v>
      </c>
      <c r="DV193" s="3">
        <v>0</v>
      </c>
      <c r="DW193" s="3">
        <v>1</v>
      </c>
      <c r="DX193" s="3">
        <v>0</v>
      </c>
      <c r="DY193" s="3">
        <v>0</v>
      </c>
      <c r="DZ193" s="3">
        <v>0</v>
      </c>
      <c r="EA193" s="3">
        <v>0</v>
      </c>
      <c r="EB193" s="4">
        <f t="shared" ref="EB193:EB224" si="112">SUM(DP193:EA193)</f>
        <v>1</v>
      </c>
      <c r="EC193" s="3">
        <v>0</v>
      </c>
      <c r="ED193" s="3">
        <v>0</v>
      </c>
      <c r="EE193" s="3">
        <v>0</v>
      </c>
      <c r="EF193" s="3">
        <v>0</v>
      </c>
      <c r="EG193" s="3">
        <v>0</v>
      </c>
      <c r="EH193" s="3">
        <v>0</v>
      </c>
      <c r="EI193" s="3">
        <v>0</v>
      </c>
      <c r="EJ193" s="3">
        <v>1</v>
      </c>
      <c r="EK193" s="3">
        <v>0</v>
      </c>
      <c r="EL193" s="3">
        <v>0</v>
      </c>
      <c r="EM193" s="3">
        <v>0</v>
      </c>
      <c r="EN193" s="3">
        <v>0</v>
      </c>
      <c r="EO193" s="4">
        <f t="shared" ref="EO193:EO224" si="113">SUM(EC193:EN193)</f>
        <v>1</v>
      </c>
      <c r="EP193" s="8">
        <f t="shared" ref="EP193:EP224" si="114">SUM(EO193,EB193,DO193,DB193,CO193)</f>
        <v>5</v>
      </c>
      <c r="EQ193" s="181">
        <f>IFERROR(VLOOKUP(I193,CEI_012018!$A$1:$U$509,9,FALSE),0)</f>
        <v>0</v>
      </c>
      <c r="ER193" s="181">
        <f>IFERROR(VLOOKUP(I193,CEI_022018!$A$1:$U$509,9,FALSE),0)</f>
        <v>0</v>
      </c>
      <c r="ES193" s="181">
        <f>IFERROR(VLOOKUP(I193,CEI_032018!$A$1:$U$509,9,FALSE),0)</f>
        <v>0</v>
      </c>
      <c r="ET193" s="181">
        <f>IFERROR(VLOOKUP(I193,CEI_042018!$A$1:$U$491,9,FALSE),0)</f>
        <v>0</v>
      </c>
      <c r="EU193" s="181">
        <f>IFERROR(VLOOKUP(I193,CEI_052018!$A$1:$U$489,9,FALSE),0)</f>
        <v>0</v>
      </c>
      <c r="EV193" s="181">
        <f>IFERROR(VLOOKUP(I193,CEI_062018!$A$1:$U$489,9,FALSE),0)</f>
        <v>0</v>
      </c>
      <c r="EW193" s="181">
        <f>IFERROR(VLOOKUP(I193,CEI_072018!$A$1:$U$489,9,FALSE),0)</f>
        <v>0</v>
      </c>
      <c r="EX193" s="181">
        <f>IFERROR(VLOOKUP(I193,CEI_082018!$A$1:$U$489,9,FALSE),0)</f>
        <v>0</v>
      </c>
      <c r="EY193" s="181">
        <f>IFERROR(VLOOKUP(I193,CEI_092018!$A$1:$U$489,9,FALSE),0)</f>
        <v>0</v>
      </c>
      <c r="EZ193" s="181"/>
      <c r="FA193" s="181"/>
      <c r="FB193" s="181"/>
      <c r="FC193" s="181">
        <f>IFERROR(VLOOKUP(I193,CEI_092018!$A$1:$U$489,12,FALSE),0)</f>
        <v>99.022499084472656</v>
      </c>
      <c r="FD193" s="181">
        <f t="shared" si="104"/>
        <v>99.022499084472656</v>
      </c>
      <c r="FE193" s="181">
        <f t="shared" si="105"/>
        <v>0.97750091552734375</v>
      </c>
      <c r="FF193"/>
      <c r="FG193"/>
      <c r="FH193"/>
      <c r="FI193"/>
      <c r="FJ193"/>
      <c r="FK193"/>
      <c r="FL193"/>
      <c r="FM193"/>
      <c r="FN193"/>
      <c r="FO193"/>
      <c r="FP193"/>
      <c r="FQ193"/>
      <c r="FR193"/>
      <c r="FS193"/>
      <c r="FT193"/>
      <c r="FU193"/>
      <c r="FV193"/>
      <c r="FW193"/>
      <c r="FX193"/>
      <c r="FY193"/>
      <c r="FZ193"/>
      <c r="GA193"/>
      <c r="GB193"/>
      <c r="GC193"/>
    </row>
    <row r="194" spans="1:185" ht="12.75" customHeight="1" x14ac:dyDescent="0.25">
      <c r="A194" s="202"/>
      <c r="B194" s="22" t="s">
        <v>57</v>
      </c>
      <c r="C194" s="34" t="s">
        <v>44</v>
      </c>
      <c r="D194" s="22" t="s">
        <v>1058</v>
      </c>
      <c r="E194" s="25" t="s">
        <v>1062</v>
      </c>
      <c r="F194" s="25" t="s">
        <v>1058</v>
      </c>
      <c r="G194" s="25" t="s">
        <v>1062</v>
      </c>
      <c r="H194" s="22" t="s">
        <v>56</v>
      </c>
      <c r="I194" s="423" t="s">
        <v>565</v>
      </c>
      <c r="J194" s="37" t="s">
        <v>59</v>
      </c>
      <c r="K194" s="23" t="s">
        <v>359</v>
      </c>
      <c r="L194" s="23" t="s">
        <v>360</v>
      </c>
      <c r="M194" s="23" t="s">
        <v>361</v>
      </c>
      <c r="N194" s="23" t="s">
        <v>1864</v>
      </c>
      <c r="O194" s="2">
        <v>0</v>
      </c>
      <c r="P194" s="2">
        <v>0</v>
      </c>
      <c r="Q194" s="2">
        <v>0</v>
      </c>
      <c r="R194" s="2">
        <v>0</v>
      </c>
      <c r="S194" s="2">
        <v>0</v>
      </c>
      <c r="T194" s="116">
        <f t="shared" si="82"/>
        <v>0</v>
      </c>
      <c r="U194" s="324">
        <v>0</v>
      </c>
      <c r="V194" s="324">
        <v>0</v>
      </c>
      <c r="W194" s="324">
        <v>0</v>
      </c>
      <c r="X194" s="324">
        <v>0</v>
      </c>
      <c r="Y194" s="324">
        <v>0</v>
      </c>
      <c r="Z194" s="324">
        <v>0</v>
      </c>
      <c r="AA194" s="324">
        <v>0</v>
      </c>
      <c r="AB194" s="324">
        <v>0</v>
      </c>
      <c r="AC194" s="324">
        <v>0</v>
      </c>
      <c r="AD194" s="324">
        <v>0</v>
      </c>
      <c r="AE194" s="324">
        <v>0</v>
      </c>
      <c r="AF194" s="324">
        <v>0</v>
      </c>
      <c r="AG194" s="140">
        <f t="shared" si="83"/>
        <v>0</v>
      </c>
      <c r="AH194" s="324">
        <v>0</v>
      </c>
      <c r="AI194" s="324">
        <v>0</v>
      </c>
      <c r="AJ194" s="324">
        <v>0</v>
      </c>
      <c r="AK194" s="324">
        <v>0</v>
      </c>
      <c r="AL194" s="324">
        <v>0</v>
      </c>
      <c r="AM194" s="324">
        <v>0</v>
      </c>
      <c r="AN194" s="324">
        <v>0</v>
      </c>
      <c r="AO194" s="324">
        <v>0</v>
      </c>
      <c r="AP194" s="324">
        <v>0</v>
      </c>
      <c r="AQ194" s="324">
        <v>0</v>
      </c>
      <c r="AR194" s="324">
        <v>0</v>
      </c>
      <c r="AS194" s="324">
        <v>0</v>
      </c>
      <c r="AT194" s="140">
        <f t="shared" si="84"/>
        <v>0</v>
      </c>
      <c r="AU194" s="324">
        <v>0</v>
      </c>
      <c r="AV194" s="324">
        <v>0</v>
      </c>
      <c r="AW194" s="324">
        <v>0</v>
      </c>
      <c r="AX194" s="324">
        <v>0</v>
      </c>
      <c r="AY194" s="324">
        <v>0</v>
      </c>
      <c r="AZ194" s="324">
        <v>0</v>
      </c>
      <c r="BA194" s="324">
        <v>0</v>
      </c>
      <c r="BB194" s="324">
        <v>0</v>
      </c>
      <c r="BC194" s="324">
        <v>0</v>
      </c>
      <c r="BD194" s="324">
        <v>0</v>
      </c>
      <c r="BE194" s="324">
        <v>0</v>
      </c>
      <c r="BF194" s="324">
        <v>0</v>
      </c>
      <c r="BG194" s="140">
        <f t="shared" si="85"/>
        <v>0</v>
      </c>
      <c r="BH194" s="324">
        <v>0</v>
      </c>
      <c r="BI194" s="324">
        <v>0</v>
      </c>
      <c r="BJ194" s="324">
        <v>0</v>
      </c>
      <c r="BK194" s="324">
        <v>0</v>
      </c>
      <c r="BL194" s="324">
        <v>0</v>
      </c>
      <c r="BM194" s="324">
        <v>0</v>
      </c>
      <c r="BN194" s="324">
        <v>0</v>
      </c>
      <c r="BO194" s="324">
        <v>0</v>
      </c>
      <c r="BP194" s="324">
        <v>4624.8999999999996</v>
      </c>
      <c r="BQ194" s="324">
        <v>0</v>
      </c>
      <c r="BR194" s="324">
        <v>0</v>
      </c>
      <c r="BS194" s="324">
        <v>0</v>
      </c>
      <c r="BT194" s="140">
        <f t="shared" si="86"/>
        <v>4624.8999999999996</v>
      </c>
      <c r="BU194" s="114">
        <f t="shared" si="87"/>
        <v>4624.8999999999996</v>
      </c>
      <c r="BV194" s="432"/>
      <c r="BW194" s="432"/>
      <c r="BX194" s="432"/>
      <c r="BY194" s="432"/>
      <c r="BZ194" s="433"/>
      <c r="CA194" s="434"/>
      <c r="CB194" s="7" t="s">
        <v>1681</v>
      </c>
      <c r="CC194" s="3">
        <v>0</v>
      </c>
      <c r="CD194" s="3">
        <v>0</v>
      </c>
      <c r="CE194" s="3">
        <v>0</v>
      </c>
      <c r="CF194" s="3">
        <v>0</v>
      </c>
      <c r="CG194" s="3">
        <v>0</v>
      </c>
      <c r="CH194" s="3">
        <v>0</v>
      </c>
      <c r="CI194" s="3">
        <v>0</v>
      </c>
      <c r="CJ194" s="3">
        <v>0</v>
      </c>
      <c r="CK194" s="3">
        <v>0</v>
      </c>
      <c r="CL194" s="3">
        <v>0</v>
      </c>
      <c r="CM194" s="3">
        <v>0</v>
      </c>
      <c r="CN194" s="3">
        <v>0</v>
      </c>
      <c r="CO194" s="4">
        <f t="shared" si="109"/>
        <v>0</v>
      </c>
      <c r="CP194" s="3">
        <v>0</v>
      </c>
      <c r="CQ194" s="3">
        <v>0</v>
      </c>
      <c r="CR194" s="3">
        <v>0</v>
      </c>
      <c r="CS194" s="3">
        <v>0</v>
      </c>
      <c r="CT194" s="3">
        <v>0</v>
      </c>
      <c r="CU194" s="3">
        <v>0</v>
      </c>
      <c r="CV194" s="3">
        <v>0</v>
      </c>
      <c r="CW194" s="3">
        <v>0</v>
      </c>
      <c r="CX194" s="3">
        <v>0</v>
      </c>
      <c r="CY194" s="3">
        <v>0</v>
      </c>
      <c r="CZ194" s="3">
        <v>0</v>
      </c>
      <c r="DA194" s="3">
        <v>0</v>
      </c>
      <c r="DB194" s="4">
        <f t="shared" si="110"/>
        <v>0</v>
      </c>
      <c r="DC194" s="3">
        <v>0</v>
      </c>
      <c r="DD194" s="3">
        <v>0</v>
      </c>
      <c r="DE194" s="3">
        <v>0</v>
      </c>
      <c r="DF194" s="3">
        <v>0</v>
      </c>
      <c r="DG194" s="3">
        <v>0</v>
      </c>
      <c r="DH194" s="3">
        <v>0</v>
      </c>
      <c r="DI194" s="3">
        <v>0</v>
      </c>
      <c r="DJ194" s="3">
        <v>0</v>
      </c>
      <c r="DK194" s="3">
        <v>0</v>
      </c>
      <c r="DL194" s="3">
        <v>0</v>
      </c>
      <c r="DM194" s="3">
        <v>0</v>
      </c>
      <c r="DN194" s="3">
        <v>0</v>
      </c>
      <c r="DO194" s="4">
        <f t="shared" si="111"/>
        <v>0</v>
      </c>
      <c r="DP194" s="3">
        <v>0</v>
      </c>
      <c r="DQ194" s="3">
        <v>0</v>
      </c>
      <c r="DR194" s="3">
        <v>0</v>
      </c>
      <c r="DS194" s="3">
        <v>0</v>
      </c>
      <c r="DT194" s="3">
        <v>0</v>
      </c>
      <c r="DU194" s="3">
        <v>0</v>
      </c>
      <c r="DV194" s="3">
        <v>0</v>
      </c>
      <c r="DW194" s="3">
        <v>0</v>
      </c>
      <c r="DX194" s="3">
        <v>0</v>
      </c>
      <c r="DY194" s="3">
        <v>0</v>
      </c>
      <c r="DZ194" s="3">
        <v>0</v>
      </c>
      <c r="EA194" s="3">
        <v>0</v>
      </c>
      <c r="EB194" s="4">
        <f t="shared" si="112"/>
        <v>0</v>
      </c>
      <c r="EC194" s="3">
        <v>0</v>
      </c>
      <c r="ED194" s="3">
        <v>0</v>
      </c>
      <c r="EE194" s="3">
        <v>0</v>
      </c>
      <c r="EF194" s="3">
        <v>0</v>
      </c>
      <c r="EG194" s="3">
        <v>0</v>
      </c>
      <c r="EH194" s="3">
        <v>0</v>
      </c>
      <c r="EI194" s="3">
        <v>0</v>
      </c>
      <c r="EJ194" s="3">
        <v>0</v>
      </c>
      <c r="EK194" s="3">
        <v>23.124499999999998</v>
      </c>
      <c r="EL194" s="3">
        <v>0</v>
      </c>
      <c r="EM194" s="3">
        <v>0</v>
      </c>
      <c r="EN194" s="3">
        <v>0</v>
      </c>
      <c r="EO194" s="4">
        <f t="shared" si="113"/>
        <v>23.124499999999998</v>
      </c>
      <c r="EP194" s="8">
        <f t="shared" si="114"/>
        <v>23.124499999999998</v>
      </c>
      <c r="EQ194" s="181">
        <f>IFERROR(VLOOKUP(I194,CEI_012018!$A$1:$U$509,9,FALSE),0)</f>
        <v>0</v>
      </c>
      <c r="ER194" s="181">
        <f>IFERROR(VLOOKUP(I194,CEI_022018!$A$1:$U$509,9,FALSE),0)</f>
        <v>0</v>
      </c>
      <c r="ES194" s="181">
        <f>IFERROR(VLOOKUP(I194,CEI_032018!$A$1:$U$509,9,FALSE),0)</f>
        <v>0</v>
      </c>
      <c r="ET194" s="181">
        <f>IFERROR(VLOOKUP(I194,CEI_042018!$A$1:$U$491,9,FALSE),0)</f>
        <v>0</v>
      </c>
      <c r="EU194" s="181">
        <f>IFERROR(VLOOKUP(I194,CEI_052018!$A$1:$U$489,9,FALSE),0)</f>
        <v>0</v>
      </c>
      <c r="EV194" s="181">
        <f>IFERROR(VLOOKUP(I194,CEI_062018!$A$1:$U$489,9,FALSE),0)</f>
        <v>0</v>
      </c>
      <c r="EW194" s="181">
        <f>IFERROR(VLOOKUP(I194,CEI_072018!$A$1:$U$489,9,FALSE),0)</f>
        <v>0</v>
      </c>
      <c r="EX194" s="181">
        <f>IFERROR(VLOOKUP(I194,CEI_082018!$A$1:$U$489,9,FALSE),0)</f>
        <v>0</v>
      </c>
      <c r="EY194" s="181">
        <f>IFERROR(VLOOKUP(I194,CEI_092018!$A$1:$U$489,9,FALSE),0)</f>
        <v>0</v>
      </c>
      <c r="EZ194" s="181"/>
      <c r="FA194" s="181"/>
      <c r="FB194" s="181"/>
      <c r="FC194" s="181">
        <f>IFERROR(VLOOKUP(I194,CEI_092018!$A$1:$U$489,12,FALSE),0)</f>
        <v>0</v>
      </c>
      <c r="FD194" s="181">
        <f t="shared" si="104"/>
        <v>0</v>
      </c>
      <c r="FE194" s="181">
        <f t="shared" si="105"/>
        <v>0</v>
      </c>
      <c r="FF194"/>
      <c r="FG194"/>
      <c r="FH194"/>
      <c r="FI194"/>
      <c r="FJ194"/>
      <c r="FK194"/>
      <c r="FL194"/>
      <c r="FM194"/>
      <c r="FN194"/>
      <c r="FO194"/>
      <c r="FP194"/>
      <c r="FQ194"/>
      <c r="FR194"/>
      <c r="FS194"/>
      <c r="FT194"/>
      <c r="FU194"/>
      <c r="FV194"/>
      <c r="FW194"/>
      <c r="FX194"/>
      <c r="FY194"/>
      <c r="FZ194"/>
      <c r="GA194"/>
      <c r="GB194"/>
      <c r="GC194"/>
    </row>
    <row r="195" spans="1:185" ht="12.75" customHeight="1" x14ac:dyDescent="0.25">
      <c r="A195" s="202"/>
      <c r="B195" s="22" t="s">
        <v>57</v>
      </c>
      <c r="C195" s="34" t="s">
        <v>44</v>
      </c>
      <c r="D195" s="22" t="s">
        <v>1059</v>
      </c>
      <c r="E195" s="25" t="s">
        <v>1063</v>
      </c>
      <c r="F195" s="25" t="s">
        <v>1661</v>
      </c>
      <c r="G195" s="25" t="s">
        <v>1853</v>
      </c>
      <c r="H195" s="22" t="s">
        <v>62</v>
      </c>
      <c r="I195" s="423" t="s">
        <v>565</v>
      </c>
      <c r="J195" s="37" t="s">
        <v>59</v>
      </c>
      <c r="K195" s="23" t="s">
        <v>539</v>
      </c>
      <c r="L195" s="23" t="s">
        <v>540</v>
      </c>
      <c r="M195" s="23" t="s">
        <v>541</v>
      </c>
      <c r="N195" s="23" t="s">
        <v>59</v>
      </c>
      <c r="O195" s="2">
        <v>0</v>
      </c>
      <c r="P195" s="2">
        <v>0</v>
      </c>
      <c r="Q195" s="2">
        <v>0</v>
      </c>
      <c r="R195" s="2">
        <v>0</v>
      </c>
      <c r="S195" s="2">
        <v>0</v>
      </c>
      <c r="T195" s="116">
        <f t="shared" si="82"/>
        <v>0</v>
      </c>
      <c r="U195" s="324">
        <v>50</v>
      </c>
      <c r="V195" s="324">
        <v>50</v>
      </c>
      <c r="W195" s="324">
        <v>100</v>
      </c>
      <c r="X195" s="324">
        <v>100</v>
      </c>
      <c r="Y195" s="324">
        <v>150</v>
      </c>
      <c r="Z195" s="324">
        <v>300</v>
      </c>
      <c r="AA195" s="324">
        <v>300</v>
      </c>
      <c r="AB195" s="324">
        <v>300</v>
      </c>
      <c r="AC195" s="324">
        <v>300</v>
      </c>
      <c r="AD195" s="324">
        <v>350</v>
      </c>
      <c r="AE195" s="324">
        <v>350</v>
      </c>
      <c r="AF195" s="324">
        <v>150</v>
      </c>
      <c r="AG195" s="140">
        <f t="shared" si="83"/>
        <v>2500</v>
      </c>
      <c r="AH195" s="324">
        <v>100</v>
      </c>
      <c r="AI195" s="324">
        <v>100</v>
      </c>
      <c r="AJ195" s="324">
        <v>200</v>
      </c>
      <c r="AK195" s="324">
        <v>100</v>
      </c>
      <c r="AL195" s="324">
        <v>200</v>
      </c>
      <c r="AM195" s="324">
        <v>200</v>
      </c>
      <c r="AN195" s="324">
        <v>100</v>
      </c>
      <c r="AO195" s="324">
        <v>200</v>
      </c>
      <c r="AP195" s="324">
        <v>200</v>
      </c>
      <c r="AQ195" s="324">
        <v>200</v>
      </c>
      <c r="AR195" s="324">
        <v>200</v>
      </c>
      <c r="AS195" s="324">
        <v>200</v>
      </c>
      <c r="AT195" s="140">
        <f t="shared" si="84"/>
        <v>2000</v>
      </c>
      <c r="AU195" s="324">
        <v>0</v>
      </c>
      <c r="AV195" s="324">
        <v>0</v>
      </c>
      <c r="AW195" s="324">
        <v>0</v>
      </c>
      <c r="AX195" s="324">
        <v>0</v>
      </c>
      <c r="AY195" s="324">
        <v>0</v>
      </c>
      <c r="AZ195" s="324">
        <v>0</v>
      </c>
      <c r="BA195" s="324">
        <v>0</v>
      </c>
      <c r="BB195" s="324">
        <v>0</v>
      </c>
      <c r="BC195" s="324">
        <v>0</v>
      </c>
      <c r="BD195" s="324">
        <v>0</v>
      </c>
      <c r="BE195" s="324">
        <v>0</v>
      </c>
      <c r="BF195" s="324">
        <v>0</v>
      </c>
      <c r="BG195" s="140">
        <f t="shared" si="85"/>
        <v>0</v>
      </c>
      <c r="BH195" s="324">
        <v>0</v>
      </c>
      <c r="BI195" s="324">
        <v>0</v>
      </c>
      <c r="BJ195" s="324">
        <v>0</v>
      </c>
      <c r="BK195" s="324">
        <v>0</v>
      </c>
      <c r="BL195" s="324">
        <v>0</v>
      </c>
      <c r="BM195" s="324">
        <v>0</v>
      </c>
      <c r="BN195" s="324">
        <v>0</v>
      </c>
      <c r="BO195" s="324">
        <v>0</v>
      </c>
      <c r="BP195" s="324">
        <v>0</v>
      </c>
      <c r="BQ195" s="324">
        <v>0</v>
      </c>
      <c r="BR195" s="324">
        <v>0</v>
      </c>
      <c r="BS195" s="324">
        <v>0</v>
      </c>
      <c r="BT195" s="140">
        <f t="shared" si="86"/>
        <v>0</v>
      </c>
      <c r="BU195" s="114">
        <f t="shared" si="87"/>
        <v>4500</v>
      </c>
      <c r="BV195" s="432"/>
      <c r="BW195" s="432"/>
      <c r="BX195" s="432"/>
      <c r="BY195" s="432"/>
      <c r="BZ195" s="433"/>
      <c r="CA195" s="434"/>
      <c r="CB195" s="7" t="s">
        <v>1699</v>
      </c>
      <c r="CC195" s="3">
        <v>0</v>
      </c>
      <c r="CD195" s="3">
        <v>0</v>
      </c>
      <c r="CE195" s="3">
        <v>0</v>
      </c>
      <c r="CF195" s="3">
        <v>0</v>
      </c>
      <c r="CG195" s="3">
        <v>0</v>
      </c>
      <c r="CH195" s="3">
        <v>0</v>
      </c>
      <c r="CI195" s="3">
        <v>0</v>
      </c>
      <c r="CJ195" s="3">
        <v>0</v>
      </c>
      <c r="CK195" s="3">
        <v>0</v>
      </c>
      <c r="CL195" s="3">
        <v>0</v>
      </c>
      <c r="CM195" s="3">
        <v>0</v>
      </c>
      <c r="CN195" s="3">
        <v>0</v>
      </c>
      <c r="CO195" s="4">
        <f t="shared" si="109"/>
        <v>0</v>
      </c>
      <c r="CP195" s="3">
        <v>0</v>
      </c>
      <c r="CQ195" s="3">
        <v>0</v>
      </c>
      <c r="CR195" s="3">
        <v>0</v>
      </c>
      <c r="CS195" s="3">
        <v>0</v>
      </c>
      <c r="CT195" s="3">
        <v>0</v>
      </c>
      <c r="CU195" s="3">
        <v>0</v>
      </c>
      <c r="CV195" s="3">
        <v>0</v>
      </c>
      <c r="CW195" s="3">
        <v>0</v>
      </c>
      <c r="CX195" s="3">
        <v>0</v>
      </c>
      <c r="CY195" s="3">
        <v>0</v>
      </c>
      <c r="CZ195" s="3">
        <v>0</v>
      </c>
      <c r="DA195" s="3">
        <v>1</v>
      </c>
      <c r="DB195" s="4">
        <f t="shared" si="110"/>
        <v>1</v>
      </c>
      <c r="DC195" s="3">
        <v>0</v>
      </c>
      <c r="DD195" s="3">
        <v>0</v>
      </c>
      <c r="DE195" s="3">
        <v>0</v>
      </c>
      <c r="DF195" s="3">
        <v>0</v>
      </c>
      <c r="DG195" s="3">
        <v>0</v>
      </c>
      <c r="DH195" s="3">
        <v>0</v>
      </c>
      <c r="DI195" s="3">
        <v>0</v>
      </c>
      <c r="DJ195" s="3">
        <v>0</v>
      </c>
      <c r="DK195" s="3">
        <v>0</v>
      </c>
      <c r="DL195" s="3">
        <v>0</v>
      </c>
      <c r="DM195" s="3">
        <v>0</v>
      </c>
      <c r="DN195" s="3">
        <v>1</v>
      </c>
      <c r="DO195" s="4">
        <f t="shared" si="111"/>
        <v>1</v>
      </c>
      <c r="DP195" s="3">
        <v>0</v>
      </c>
      <c r="DQ195" s="3">
        <v>0</v>
      </c>
      <c r="DR195" s="3">
        <v>0</v>
      </c>
      <c r="DS195" s="3">
        <v>0</v>
      </c>
      <c r="DT195" s="3">
        <v>0</v>
      </c>
      <c r="DU195" s="3">
        <v>0</v>
      </c>
      <c r="DV195" s="3">
        <v>0</v>
      </c>
      <c r="DW195" s="3">
        <v>0</v>
      </c>
      <c r="DX195" s="3">
        <v>0</v>
      </c>
      <c r="DY195" s="3">
        <v>0</v>
      </c>
      <c r="DZ195" s="3">
        <v>0</v>
      </c>
      <c r="EA195" s="3">
        <v>0</v>
      </c>
      <c r="EB195" s="4">
        <f t="shared" si="112"/>
        <v>0</v>
      </c>
      <c r="EC195" s="3">
        <v>0</v>
      </c>
      <c r="ED195" s="3">
        <v>0</v>
      </c>
      <c r="EE195" s="3">
        <v>0</v>
      </c>
      <c r="EF195" s="3">
        <v>0</v>
      </c>
      <c r="EG195" s="3">
        <v>0</v>
      </c>
      <c r="EH195" s="3">
        <v>0</v>
      </c>
      <c r="EI195" s="3">
        <v>0</v>
      </c>
      <c r="EJ195" s="3">
        <v>0</v>
      </c>
      <c r="EK195" s="3">
        <v>0</v>
      </c>
      <c r="EL195" s="3">
        <v>0</v>
      </c>
      <c r="EM195" s="3">
        <v>0</v>
      </c>
      <c r="EN195" s="3">
        <v>0</v>
      </c>
      <c r="EO195" s="4">
        <f t="shared" si="113"/>
        <v>0</v>
      </c>
      <c r="EP195" s="8">
        <f t="shared" si="114"/>
        <v>2</v>
      </c>
      <c r="EQ195" s="181">
        <f>IFERROR(VLOOKUP(I195,CEI_012018!$A$1:$U$509,9,FALSE),0)</f>
        <v>0</v>
      </c>
      <c r="ER195" s="181">
        <f>IFERROR(VLOOKUP(I195,CEI_022018!$A$1:$U$509,9,FALSE),0)</f>
        <v>0</v>
      </c>
      <c r="ES195" s="181">
        <f>IFERROR(VLOOKUP(I195,CEI_032018!$A$1:$U$509,9,FALSE),0)</f>
        <v>0</v>
      </c>
      <c r="ET195" s="181">
        <f>IFERROR(VLOOKUP(I195,CEI_042018!$A$1:$U$491,9,FALSE),0)</f>
        <v>0</v>
      </c>
      <c r="EU195" s="181">
        <f>IFERROR(VLOOKUP(I195,CEI_052018!$A$1:$U$489,9,FALSE),0)</f>
        <v>0</v>
      </c>
      <c r="EV195" s="181">
        <f>IFERROR(VLOOKUP(I195,CEI_062018!$A$1:$U$489,9,FALSE),0)</f>
        <v>0</v>
      </c>
      <c r="EW195" s="181">
        <f>IFERROR(VLOOKUP(I195,CEI_072018!$A$1:$U$489,9,FALSE),0)</f>
        <v>0</v>
      </c>
      <c r="EX195" s="181">
        <f>IFERROR(VLOOKUP(I195,CEI_082018!$A$1:$U$489,9,FALSE),0)</f>
        <v>0</v>
      </c>
      <c r="EY195" s="181">
        <f>IFERROR(VLOOKUP(I195,CEI_092018!$A$1:$U$489,9,FALSE),0)</f>
        <v>0</v>
      </c>
      <c r="EZ195" s="181"/>
      <c r="FA195" s="181"/>
      <c r="FB195" s="181"/>
      <c r="FC195" s="181">
        <f>IFERROR(VLOOKUP(I195,CEI_092018!$A$1:$U$489,12,FALSE),0)</f>
        <v>0</v>
      </c>
      <c r="FD195" s="181">
        <f t="shared" si="104"/>
        <v>0</v>
      </c>
      <c r="FE195" s="181">
        <f t="shared" si="105"/>
        <v>0</v>
      </c>
      <c r="FF195"/>
      <c r="FG195"/>
      <c r="FH195"/>
      <c r="FI195"/>
      <c r="FJ195"/>
      <c r="FK195"/>
      <c r="FL195"/>
      <c r="FM195"/>
      <c r="FN195"/>
      <c r="FO195"/>
      <c r="FP195"/>
      <c r="FQ195"/>
      <c r="FR195"/>
      <c r="FS195"/>
      <c r="FT195"/>
      <c r="FU195"/>
      <c r="FV195"/>
      <c r="FW195"/>
      <c r="FX195"/>
      <c r="FY195"/>
      <c r="FZ195"/>
      <c r="GA195"/>
      <c r="GB195"/>
      <c r="GC195"/>
    </row>
    <row r="196" spans="1:185" ht="12.75" customHeight="1" x14ac:dyDescent="0.25">
      <c r="A196" s="202"/>
      <c r="B196" s="22" t="s">
        <v>57</v>
      </c>
      <c r="C196" s="34" t="s">
        <v>44</v>
      </c>
      <c r="D196" s="22" t="s">
        <v>1059</v>
      </c>
      <c r="E196" s="25" t="s">
        <v>1065</v>
      </c>
      <c r="F196" s="25" t="s">
        <v>1059</v>
      </c>
      <c r="G196" s="25" t="s">
        <v>1065</v>
      </c>
      <c r="H196" s="22" t="s">
        <v>56</v>
      </c>
      <c r="I196" s="423" t="s">
        <v>565</v>
      </c>
      <c r="J196" s="37" t="s">
        <v>59</v>
      </c>
      <c r="K196" s="23" t="s">
        <v>1598</v>
      </c>
      <c r="L196" s="23" t="s">
        <v>792</v>
      </c>
      <c r="M196" s="23" t="s">
        <v>793</v>
      </c>
      <c r="N196" s="23" t="s">
        <v>59</v>
      </c>
      <c r="O196" s="2">
        <v>0</v>
      </c>
      <c r="P196" s="2">
        <v>0</v>
      </c>
      <c r="Q196" s="2">
        <v>0</v>
      </c>
      <c r="R196" s="2">
        <v>0</v>
      </c>
      <c r="S196" s="2">
        <v>0</v>
      </c>
      <c r="T196" s="116">
        <f t="shared" si="82"/>
        <v>0</v>
      </c>
      <c r="U196" s="324">
        <v>0</v>
      </c>
      <c r="V196" s="324">
        <v>0</v>
      </c>
      <c r="W196" s="324">
        <v>50</v>
      </c>
      <c r="X196" s="324">
        <v>100</v>
      </c>
      <c r="Y196" s="324">
        <v>100</v>
      </c>
      <c r="Z196" s="324">
        <v>100</v>
      </c>
      <c r="AA196" s="324">
        <v>100</v>
      </c>
      <c r="AB196" s="324">
        <v>100</v>
      </c>
      <c r="AC196" s="324">
        <v>100</v>
      </c>
      <c r="AD196" s="324">
        <v>100</v>
      </c>
      <c r="AE196" s="324">
        <v>100</v>
      </c>
      <c r="AF196" s="324">
        <v>150</v>
      </c>
      <c r="AG196" s="140">
        <f t="shared" si="83"/>
        <v>1000</v>
      </c>
      <c r="AH196" s="324">
        <v>0</v>
      </c>
      <c r="AI196" s="324">
        <v>0</v>
      </c>
      <c r="AJ196" s="324">
        <v>50</v>
      </c>
      <c r="AK196" s="324">
        <v>100</v>
      </c>
      <c r="AL196" s="324">
        <v>100</v>
      </c>
      <c r="AM196" s="324">
        <v>100</v>
      </c>
      <c r="AN196" s="324">
        <v>100</v>
      </c>
      <c r="AO196" s="324">
        <v>100</v>
      </c>
      <c r="AP196" s="324">
        <v>100</v>
      </c>
      <c r="AQ196" s="324">
        <v>100</v>
      </c>
      <c r="AR196" s="324">
        <v>100</v>
      </c>
      <c r="AS196" s="324">
        <v>150</v>
      </c>
      <c r="AT196" s="140">
        <f t="shared" si="84"/>
        <v>1000</v>
      </c>
      <c r="AU196" s="324">
        <v>0</v>
      </c>
      <c r="AV196" s="324">
        <v>0</v>
      </c>
      <c r="AW196" s="324">
        <v>0</v>
      </c>
      <c r="AX196" s="324">
        <v>0</v>
      </c>
      <c r="AY196" s="324">
        <v>100</v>
      </c>
      <c r="AZ196" s="324">
        <v>120</v>
      </c>
      <c r="BA196" s="324">
        <v>120</v>
      </c>
      <c r="BB196" s="324">
        <v>120</v>
      </c>
      <c r="BC196" s="324">
        <v>120</v>
      </c>
      <c r="BD196" s="324">
        <v>120</v>
      </c>
      <c r="BE196" s="324">
        <v>120</v>
      </c>
      <c r="BF196" s="324">
        <v>180</v>
      </c>
      <c r="BG196" s="140">
        <f t="shared" si="85"/>
        <v>1000</v>
      </c>
      <c r="BH196" s="324">
        <v>0</v>
      </c>
      <c r="BI196" s="324">
        <v>0</v>
      </c>
      <c r="BJ196" s="324">
        <v>0</v>
      </c>
      <c r="BK196" s="324">
        <v>0</v>
      </c>
      <c r="BL196" s="324">
        <v>100</v>
      </c>
      <c r="BM196" s="324">
        <v>120</v>
      </c>
      <c r="BN196" s="324">
        <v>120</v>
      </c>
      <c r="BO196" s="324">
        <v>120</v>
      </c>
      <c r="BP196" s="324">
        <v>120</v>
      </c>
      <c r="BQ196" s="324">
        <v>120</v>
      </c>
      <c r="BR196" s="324">
        <v>120</v>
      </c>
      <c r="BS196" s="324">
        <v>180</v>
      </c>
      <c r="BT196" s="140">
        <f t="shared" si="86"/>
        <v>1000</v>
      </c>
      <c r="BU196" s="114">
        <f t="shared" si="87"/>
        <v>4000</v>
      </c>
      <c r="BV196" s="432"/>
      <c r="BW196" s="432"/>
      <c r="BX196" s="432"/>
      <c r="BY196" s="432"/>
      <c r="BZ196" s="433"/>
      <c r="CA196" s="434"/>
      <c r="CB196" s="7" t="s">
        <v>1700</v>
      </c>
      <c r="CC196" s="3">
        <v>0</v>
      </c>
      <c r="CD196" s="3">
        <v>0</v>
      </c>
      <c r="CE196" s="3">
        <v>0</v>
      </c>
      <c r="CF196" s="3">
        <v>0</v>
      </c>
      <c r="CG196" s="3">
        <v>0</v>
      </c>
      <c r="CH196" s="3">
        <v>0</v>
      </c>
      <c r="CI196" s="3">
        <v>0</v>
      </c>
      <c r="CJ196" s="3">
        <v>0</v>
      </c>
      <c r="CK196" s="3">
        <v>0</v>
      </c>
      <c r="CL196" s="3">
        <v>0</v>
      </c>
      <c r="CM196" s="3">
        <v>0</v>
      </c>
      <c r="CN196" s="3">
        <v>0</v>
      </c>
      <c r="CO196" s="4">
        <f t="shared" si="109"/>
        <v>0</v>
      </c>
      <c r="CP196" s="3">
        <v>0</v>
      </c>
      <c r="CQ196" s="3">
        <v>0</v>
      </c>
      <c r="CR196" s="3">
        <v>66.666666666666671</v>
      </c>
      <c r="CS196" s="3">
        <v>133.33333333333334</v>
      </c>
      <c r="CT196" s="3">
        <v>133.33333333333334</v>
      </c>
      <c r="CU196" s="3">
        <v>133.33333333333334</v>
      </c>
      <c r="CV196" s="3">
        <v>133.33333333333334</v>
      </c>
      <c r="CW196" s="3">
        <v>133.33333333333334</v>
      </c>
      <c r="CX196" s="3">
        <v>133.33333333333334</v>
      </c>
      <c r="CY196" s="3">
        <v>133.33333333333334</v>
      </c>
      <c r="CZ196" s="3">
        <v>133.33333333333334</v>
      </c>
      <c r="DA196" s="3">
        <v>200</v>
      </c>
      <c r="DB196" s="4">
        <f t="shared" si="110"/>
        <v>1333.3333333333335</v>
      </c>
      <c r="DC196" s="3">
        <v>0</v>
      </c>
      <c r="DD196" s="3">
        <v>0</v>
      </c>
      <c r="DE196" s="3">
        <v>66.666666666666671</v>
      </c>
      <c r="DF196" s="3">
        <v>133.33333333333334</v>
      </c>
      <c r="DG196" s="3">
        <v>133.33333333333334</v>
      </c>
      <c r="DH196" s="3">
        <v>133.33333333333334</v>
      </c>
      <c r="DI196" s="3">
        <v>133.33333333333334</v>
      </c>
      <c r="DJ196" s="3">
        <v>133.33333333333334</v>
      </c>
      <c r="DK196" s="3">
        <v>133.33333333333334</v>
      </c>
      <c r="DL196" s="3">
        <v>133.33333333333334</v>
      </c>
      <c r="DM196" s="3">
        <v>133.33333333333334</v>
      </c>
      <c r="DN196" s="3">
        <v>200</v>
      </c>
      <c r="DO196" s="4">
        <f t="shared" si="111"/>
        <v>1333.3333333333335</v>
      </c>
      <c r="DP196" s="3">
        <v>0</v>
      </c>
      <c r="DQ196" s="3">
        <v>0</v>
      </c>
      <c r="DR196" s="3">
        <v>0</v>
      </c>
      <c r="DS196" s="3">
        <v>0</v>
      </c>
      <c r="DT196" s="3">
        <v>133.33333333333334</v>
      </c>
      <c r="DU196" s="3">
        <v>160</v>
      </c>
      <c r="DV196" s="3">
        <v>160</v>
      </c>
      <c r="DW196" s="3">
        <v>160</v>
      </c>
      <c r="DX196" s="3">
        <v>160</v>
      </c>
      <c r="DY196" s="3">
        <v>160</v>
      </c>
      <c r="DZ196" s="3">
        <v>160</v>
      </c>
      <c r="EA196" s="3">
        <v>240</v>
      </c>
      <c r="EB196" s="4">
        <f t="shared" si="112"/>
        <v>1333.3333333333335</v>
      </c>
      <c r="EC196" s="3">
        <v>0</v>
      </c>
      <c r="ED196" s="3">
        <v>0</v>
      </c>
      <c r="EE196" s="3">
        <v>0</v>
      </c>
      <c r="EF196" s="3">
        <v>0</v>
      </c>
      <c r="EG196" s="3">
        <v>133.33333333333334</v>
      </c>
      <c r="EH196" s="3">
        <v>160</v>
      </c>
      <c r="EI196" s="3">
        <v>160</v>
      </c>
      <c r="EJ196" s="3">
        <v>160</v>
      </c>
      <c r="EK196" s="3">
        <v>160</v>
      </c>
      <c r="EL196" s="3">
        <v>160</v>
      </c>
      <c r="EM196" s="3">
        <v>160</v>
      </c>
      <c r="EN196" s="3">
        <v>240</v>
      </c>
      <c r="EO196" s="4">
        <f t="shared" si="113"/>
        <v>1333.3333333333335</v>
      </c>
      <c r="EP196" s="8">
        <f t="shared" si="114"/>
        <v>5333.3333333333339</v>
      </c>
      <c r="EQ196" s="181">
        <f>IFERROR(VLOOKUP(I196,CEI_012018!$A$1:$U$509,9,FALSE),0)</f>
        <v>0</v>
      </c>
      <c r="ER196" s="181">
        <f>IFERROR(VLOOKUP(I196,CEI_022018!$A$1:$U$509,9,FALSE),0)</f>
        <v>0</v>
      </c>
      <c r="ES196" s="181">
        <f>IFERROR(VLOOKUP(I196,CEI_032018!$A$1:$U$509,9,FALSE),0)</f>
        <v>0</v>
      </c>
      <c r="ET196" s="181">
        <f>IFERROR(VLOOKUP(I196,CEI_042018!$A$1:$U$491,9,FALSE),0)</f>
        <v>0</v>
      </c>
      <c r="EU196" s="181">
        <f>IFERROR(VLOOKUP(I196,CEI_052018!$A$1:$U$489,9,FALSE),0)</f>
        <v>0</v>
      </c>
      <c r="EV196" s="181">
        <f>IFERROR(VLOOKUP(I196,CEI_062018!$A$1:$U$489,9,FALSE),0)</f>
        <v>0</v>
      </c>
      <c r="EW196" s="181">
        <f>IFERROR(VLOOKUP(I196,CEI_072018!$A$1:$U$489,9,FALSE),0)</f>
        <v>0</v>
      </c>
      <c r="EX196" s="181">
        <f>IFERROR(VLOOKUP(I196,CEI_082018!$A$1:$U$489,9,FALSE),0)</f>
        <v>0</v>
      </c>
      <c r="EY196" s="181">
        <f>IFERROR(VLOOKUP(I196,CEI_092018!$A$1:$U$489,9,FALSE),0)</f>
        <v>0</v>
      </c>
      <c r="EZ196" s="181"/>
      <c r="FA196" s="181"/>
      <c r="FB196" s="181"/>
      <c r="FC196" s="181">
        <f>IFERROR(VLOOKUP(I196,CEI_092018!$A$1:$U$489,12,FALSE),0)</f>
        <v>0</v>
      </c>
      <c r="FD196" s="181">
        <f t="shared" si="104"/>
        <v>0</v>
      </c>
      <c r="FE196" s="181">
        <f t="shared" si="105"/>
        <v>0</v>
      </c>
      <c r="FF196"/>
      <c r="FG196"/>
      <c r="FH196"/>
      <c r="FI196"/>
      <c r="FJ196"/>
      <c r="FK196"/>
      <c r="FL196"/>
      <c r="FM196"/>
      <c r="FN196"/>
      <c r="FO196"/>
      <c r="FP196"/>
      <c r="FQ196"/>
      <c r="FR196"/>
      <c r="FS196"/>
      <c r="FT196"/>
      <c r="FU196"/>
      <c r="FV196"/>
      <c r="FW196"/>
      <c r="FX196"/>
      <c r="FY196"/>
      <c r="FZ196"/>
      <c r="GA196"/>
      <c r="GB196"/>
      <c r="GC196"/>
    </row>
    <row r="197" spans="1:185" ht="12.75" customHeight="1" x14ac:dyDescent="0.25">
      <c r="A197" s="202"/>
      <c r="B197" s="22" t="s">
        <v>57</v>
      </c>
      <c r="C197" s="34" t="s">
        <v>44</v>
      </c>
      <c r="D197" s="22" t="s">
        <v>1059</v>
      </c>
      <c r="E197" s="25" t="s">
        <v>1065</v>
      </c>
      <c r="F197" s="25" t="s">
        <v>1059</v>
      </c>
      <c r="G197" s="25" t="s">
        <v>1065</v>
      </c>
      <c r="H197" s="22" t="s">
        <v>56</v>
      </c>
      <c r="I197" s="423" t="s">
        <v>564</v>
      </c>
      <c r="J197" s="37" t="s">
        <v>1342</v>
      </c>
      <c r="K197" s="23" t="s">
        <v>394</v>
      </c>
      <c r="L197" s="23" t="s">
        <v>395</v>
      </c>
      <c r="M197" s="23" t="s">
        <v>59</v>
      </c>
      <c r="N197" s="23" t="s">
        <v>1879</v>
      </c>
      <c r="O197" s="2">
        <v>199.91008186340332</v>
      </c>
      <c r="P197" s="2">
        <v>1545.6500799999999</v>
      </c>
      <c r="Q197" s="2">
        <v>52</v>
      </c>
      <c r="R197" s="2">
        <v>108.92359999999999</v>
      </c>
      <c r="S197" s="2">
        <v>187</v>
      </c>
      <c r="T197" s="116">
        <f t="shared" si="82"/>
        <v>2093.4837618634033</v>
      </c>
      <c r="U197" s="324">
        <v>151</v>
      </c>
      <c r="V197" s="324">
        <v>151</v>
      </c>
      <c r="W197" s="324">
        <v>151</v>
      </c>
      <c r="X197" s="324">
        <v>151</v>
      </c>
      <c r="Y197" s="324">
        <v>151</v>
      </c>
      <c r="Z197" s="324">
        <v>151</v>
      </c>
      <c r="AA197" s="324">
        <v>151</v>
      </c>
      <c r="AB197" s="324">
        <v>151</v>
      </c>
      <c r="AC197" s="324">
        <v>151</v>
      </c>
      <c r="AD197" s="324">
        <v>151</v>
      </c>
      <c r="AE197" s="324">
        <v>151</v>
      </c>
      <c r="AF197" s="324">
        <v>51</v>
      </c>
      <c r="AG197" s="140">
        <f t="shared" si="83"/>
        <v>1712</v>
      </c>
      <c r="AH197" s="324">
        <v>0</v>
      </c>
      <c r="AI197" s="324">
        <v>0</v>
      </c>
      <c r="AJ197" s="324">
        <v>0</v>
      </c>
      <c r="AK197" s="324">
        <v>0</v>
      </c>
      <c r="AL197" s="324">
        <v>0</v>
      </c>
      <c r="AM197" s="324">
        <v>0</v>
      </c>
      <c r="AN197" s="324">
        <v>0</v>
      </c>
      <c r="AO197" s="324">
        <v>0</v>
      </c>
      <c r="AP197" s="324">
        <v>0</v>
      </c>
      <c r="AQ197" s="324">
        <v>0</v>
      </c>
      <c r="AR197" s="324">
        <v>0</v>
      </c>
      <c r="AS197" s="324">
        <v>0</v>
      </c>
      <c r="AT197" s="140">
        <f t="shared" si="84"/>
        <v>0</v>
      </c>
      <c r="AU197" s="324">
        <v>0</v>
      </c>
      <c r="AV197" s="324">
        <v>0</v>
      </c>
      <c r="AW197" s="324">
        <v>0</v>
      </c>
      <c r="AX197" s="324">
        <v>0</v>
      </c>
      <c r="AY197" s="324">
        <v>0</v>
      </c>
      <c r="AZ197" s="324">
        <v>0</v>
      </c>
      <c r="BA197" s="324">
        <v>0</v>
      </c>
      <c r="BB197" s="324">
        <v>0</v>
      </c>
      <c r="BC197" s="324">
        <v>0</v>
      </c>
      <c r="BD197" s="324">
        <v>0</v>
      </c>
      <c r="BE197" s="324">
        <v>0</v>
      </c>
      <c r="BF197" s="324">
        <v>0</v>
      </c>
      <c r="BG197" s="140">
        <f t="shared" si="85"/>
        <v>0</v>
      </c>
      <c r="BH197" s="324">
        <v>0</v>
      </c>
      <c r="BI197" s="324">
        <v>0</v>
      </c>
      <c r="BJ197" s="324">
        <v>0</v>
      </c>
      <c r="BK197" s="324">
        <v>0</v>
      </c>
      <c r="BL197" s="324">
        <v>0</v>
      </c>
      <c r="BM197" s="324">
        <v>0</v>
      </c>
      <c r="BN197" s="324">
        <v>0</v>
      </c>
      <c r="BO197" s="324">
        <v>0</v>
      </c>
      <c r="BP197" s="324">
        <v>0</v>
      </c>
      <c r="BQ197" s="324">
        <v>0</v>
      </c>
      <c r="BR197" s="324">
        <v>0</v>
      </c>
      <c r="BS197" s="324">
        <v>0</v>
      </c>
      <c r="BT197" s="140">
        <f t="shared" si="86"/>
        <v>0</v>
      </c>
      <c r="BU197" s="114">
        <f t="shared" si="87"/>
        <v>3805.4837618634033</v>
      </c>
      <c r="BV197" s="372">
        <v>1</v>
      </c>
      <c r="BW197" s="372">
        <v>1</v>
      </c>
      <c r="BX197" s="372">
        <v>1</v>
      </c>
      <c r="BY197" s="372">
        <v>1</v>
      </c>
      <c r="BZ197" s="436">
        <f t="shared" ref="BZ197:BZ199" si="115">IFERROR((EX197/T197%),0)</f>
        <v>9.5491584651921997</v>
      </c>
      <c r="CA197" s="428">
        <f>IFERROR((FD197/T197%),0)</f>
        <v>43.612308098267086</v>
      </c>
      <c r="CB197" s="7" t="s">
        <v>1699</v>
      </c>
      <c r="CC197" s="3">
        <v>0</v>
      </c>
      <c r="CD197" s="3">
        <v>0</v>
      </c>
      <c r="CE197" s="3">
        <v>0</v>
      </c>
      <c r="CF197" s="3">
        <v>0</v>
      </c>
      <c r="CG197" s="3">
        <v>0</v>
      </c>
      <c r="CH197" s="3">
        <v>0</v>
      </c>
      <c r="CI197" s="3">
        <v>0</v>
      </c>
      <c r="CJ197" s="3">
        <v>0</v>
      </c>
      <c r="CK197" s="3">
        <v>0</v>
      </c>
      <c r="CL197" s="3">
        <v>0</v>
      </c>
      <c r="CM197" s="3">
        <v>0</v>
      </c>
      <c r="CN197" s="3">
        <v>1</v>
      </c>
      <c r="CO197" s="4">
        <f t="shared" si="109"/>
        <v>1</v>
      </c>
      <c r="CP197" s="3">
        <v>0</v>
      </c>
      <c r="CQ197" s="3">
        <v>0</v>
      </c>
      <c r="CR197" s="3">
        <v>0</v>
      </c>
      <c r="CS197" s="3">
        <v>0</v>
      </c>
      <c r="CT197" s="3">
        <v>0</v>
      </c>
      <c r="CU197" s="3">
        <v>0</v>
      </c>
      <c r="CV197" s="3">
        <v>0</v>
      </c>
      <c r="CW197" s="3">
        <v>0</v>
      </c>
      <c r="CX197" s="3">
        <v>0</v>
      </c>
      <c r="CY197" s="3">
        <v>0</v>
      </c>
      <c r="CZ197" s="3">
        <v>0</v>
      </c>
      <c r="DA197" s="3">
        <v>1</v>
      </c>
      <c r="DB197" s="4">
        <f t="shared" si="110"/>
        <v>1</v>
      </c>
      <c r="DC197" s="3">
        <v>0</v>
      </c>
      <c r="DD197" s="3">
        <v>0</v>
      </c>
      <c r="DE197" s="3">
        <v>0</v>
      </c>
      <c r="DF197" s="3">
        <v>0</v>
      </c>
      <c r="DG197" s="3">
        <v>0</v>
      </c>
      <c r="DH197" s="3">
        <v>0</v>
      </c>
      <c r="DI197" s="3">
        <v>0</v>
      </c>
      <c r="DJ197" s="3">
        <v>0</v>
      </c>
      <c r="DK197" s="3">
        <v>0</v>
      </c>
      <c r="DL197" s="3">
        <v>0</v>
      </c>
      <c r="DM197" s="3">
        <v>0</v>
      </c>
      <c r="DN197" s="3">
        <v>0</v>
      </c>
      <c r="DO197" s="4">
        <f t="shared" si="111"/>
        <v>0</v>
      </c>
      <c r="DP197" s="3">
        <v>0</v>
      </c>
      <c r="DQ197" s="3">
        <v>0</v>
      </c>
      <c r="DR197" s="3">
        <v>0</v>
      </c>
      <c r="DS197" s="3">
        <v>0</v>
      </c>
      <c r="DT197" s="3">
        <v>0</v>
      </c>
      <c r="DU197" s="3">
        <v>0</v>
      </c>
      <c r="DV197" s="3">
        <v>0</v>
      </c>
      <c r="DW197" s="3">
        <v>0</v>
      </c>
      <c r="DX197" s="3">
        <v>0</v>
      </c>
      <c r="DY197" s="3">
        <v>0</v>
      </c>
      <c r="DZ197" s="3">
        <v>0</v>
      </c>
      <c r="EA197" s="3">
        <v>0</v>
      </c>
      <c r="EB197" s="4">
        <f t="shared" si="112"/>
        <v>0</v>
      </c>
      <c r="EC197" s="3">
        <v>0</v>
      </c>
      <c r="ED197" s="3">
        <v>0</v>
      </c>
      <c r="EE197" s="3">
        <v>0</v>
      </c>
      <c r="EF197" s="3">
        <v>0</v>
      </c>
      <c r="EG197" s="3">
        <v>0</v>
      </c>
      <c r="EH197" s="3">
        <v>0</v>
      </c>
      <c r="EI197" s="3">
        <v>0</v>
      </c>
      <c r="EJ197" s="3">
        <v>0</v>
      </c>
      <c r="EK197" s="3">
        <v>0</v>
      </c>
      <c r="EL197" s="3">
        <v>0</v>
      </c>
      <c r="EM197" s="3">
        <v>0</v>
      </c>
      <c r="EN197" s="3">
        <v>0</v>
      </c>
      <c r="EO197" s="4">
        <f t="shared" si="113"/>
        <v>0</v>
      </c>
      <c r="EP197" s="8">
        <f t="shared" si="114"/>
        <v>2</v>
      </c>
      <c r="EQ197" s="181">
        <f>IFERROR(VLOOKUP(I197,CEI_012018!$A$1:$U$509,9,FALSE),0)</f>
        <v>0</v>
      </c>
      <c r="ER197" s="181">
        <f>IFERROR(VLOOKUP(I197,CEI_022018!$A$1:$U$509,9,FALSE),0)</f>
        <v>33.591888427734375</v>
      </c>
      <c r="ES197" s="181">
        <f>IFERROR(VLOOKUP(I197,CEI_032018!$A$1:$U$509,9,FALSE),0)</f>
        <v>66.024219512939453</v>
      </c>
      <c r="ET197" s="181">
        <f>IFERROR(VLOOKUP(I197,CEI_042018!$A$1:$U$491,9,FALSE),0)</f>
        <v>66.024219512939453</v>
      </c>
      <c r="EU197" s="181">
        <f>IFERROR(VLOOKUP(I197,CEI_052018!$A$1:$U$489,9,FALSE),0)</f>
        <v>126.48376083374023</v>
      </c>
      <c r="EV197" s="181">
        <f>IFERROR(VLOOKUP(I197,CEI_062018!$A$1:$U$489,9,FALSE),0)</f>
        <v>156.83368110656738</v>
      </c>
      <c r="EW197" s="181">
        <f>IFERROR(VLOOKUP(I197,CEI_072018!$A$1:$U$489,9,FALSE),0)</f>
        <v>199.91008186340332</v>
      </c>
      <c r="EX197" s="181">
        <f>IFERROR(VLOOKUP(I197,CEI_082018!$A$1:$U$489,9,FALSE),0)</f>
        <v>199.91008186340332</v>
      </c>
      <c r="EY197" s="181">
        <f>IFERROR(VLOOKUP(I197,CEI_092018!$A$1:$U$489,9,FALSE),0)</f>
        <v>199.91008186340332</v>
      </c>
      <c r="EZ197" s="181"/>
      <c r="FA197" s="181"/>
      <c r="FB197" s="181"/>
      <c r="FC197" s="181">
        <f>IFERROR(VLOOKUP(I197,CEI_092018!$A$1:$U$489,12,FALSE),0)</f>
        <v>713.10650634765625</v>
      </c>
      <c r="FD197" s="181">
        <f t="shared" si="104"/>
        <v>913.01658821105957</v>
      </c>
      <c r="FE197" s="181">
        <f t="shared" si="105"/>
        <v>1180.4671736523437</v>
      </c>
      <c r="FF197"/>
      <c r="FG197"/>
      <c r="FH197"/>
      <c r="FI197"/>
      <c r="FJ197"/>
      <c r="FK197"/>
      <c r="FL197"/>
      <c r="FM197"/>
      <c r="FN197"/>
      <c r="FO197"/>
      <c r="FP197"/>
      <c r="FQ197"/>
      <c r="FR197"/>
      <c r="FS197"/>
      <c r="FT197"/>
      <c r="FU197"/>
      <c r="FV197"/>
      <c r="FW197"/>
      <c r="FX197"/>
      <c r="FY197"/>
      <c r="FZ197"/>
      <c r="GA197"/>
      <c r="GB197"/>
      <c r="GC197"/>
    </row>
    <row r="198" spans="1:185" ht="12.75" customHeight="1" x14ac:dyDescent="0.25">
      <c r="A198" s="202"/>
      <c r="B198" s="22" t="s">
        <v>57</v>
      </c>
      <c r="C198" s="34" t="s">
        <v>44</v>
      </c>
      <c r="D198" s="22" t="s">
        <v>1059</v>
      </c>
      <c r="E198" s="25" t="s">
        <v>1063</v>
      </c>
      <c r="F198" s="25" t="s">
        <v>1059</v>
      </c>
      <c r="G198" s="25" t="s">
        <v>1063</v>
      </c>
      <c r="H198" s="22" t="s">
        <v>56</v>
      </c>
      <c r="I198" s="423" t="s">
        <v>1171</v>
      </c>
      <c r="J198" s="37" t="s">
        <v>1172</v>
      </c>
      <c r="K198" s="23" t="s">
        <v>764</v>
      </c>
      <c r="L198" s="23" t="s">
        <v>765</v>
      </c>
      <c r="M198" s="23" t="s">
        <v>766</v>
      </c>
      <c r="N198" s="23" t="s">
        <v>1869</v>
      </c>
      <c r="O198" s="2">
        <v>693.4403076171875</v>
      </c>
      <c r="P198" s="2">
        <v>0</v>
      </c>
      <c r="Q198" s="2">
        <v>0</v>
      </c>
      <c r="R198" s="2">
        <v>0</v>
      </c>
      <c r="S198" s="2">
        <v>0</v>
      </c>
      <c r="T198" s="116">
        <f t="shared" si="82"/>
        <v>693.4403076171875</v>
      </c>
      <c r="U198" s="324">
        <v>0</v>
      </c>
      <c r="V198" s="324">
        <v>0</v>
      </c>
      <c r="W198" s="324">
        <v>0</v>
      </c>
      <c r="X198" s="324">
        <v>0</v>
      </c>
      <c r="Y198" s="324">
        <v>0</v>
      </c>
      <c r="Z198" s="324">
        <v>0</v>
      </c>
      <c r="AA198" s="324">
        <v>0</v>
      </c>
      <c r="AB198" s="324">
        <v>0</v>
      </c>
      <c r="AC198" s="324">
        <v>0</v>
      </c>
      <c r="AD198" s="324">
        <v>0</v>
      </c>
      <c r="AE198" s="324">
        <v>0</v>
      </c>
      <c r="AF198" s="324">
        <v>0</v>
      </c>
      <c r="AG198" s="140">
        <f t="shared" si="83"/>
        <v>0</v>
      </c>
      <c r="AH198" s="324">
        <v>0</v>
      </c>
      <c r="AI198" s="324">
        <v>0</v>
      </c>
      <c r="AJ198" s="324">
        <v>0</v>
      </c>
      <c r="AK198" s="324">
        <v>0</v>
      </c>
      <c r="AL198" s="324">
        <v>750</v>
      </c>
      <c r="AM198" s="324">
        <v>0</v>
      </c>
      <c r="AN198" s="324">
        <v>0</v>
      </c>
      <c r="AO198" s="324">
        <v>0</v>
      </c>
      <c r="AP198" s="324">
        <v>0</v>
      </c>
      <c r="AQ198" s="324">
        <v>0</v>
      </c>
      <c r="AR198" s="324">
        <v>0</v>
      </c>
      <c r="AS198" s="324">
        <v>0</v>
      </c>
      <c r="AT198" s="140">
        <f t="shared" si="84"/>
        <v>750</v>
      </c>
      <c r="AU198" s="324">
        <v>0</v>
      </c>
      <c r="AV198" s="324">
        <v>0</v>
      </c>
      <c r="AW198" s="324">
        <v>0</v>
      </c>
      <c r="AX198" s="324">
        <v>0</v>
      </c>
      <c r="AY198" s="324">
        <v>750</v>
      </c>
      <c r="AZ198" s="324">
        <v>0</v>
      </c>
      <c r="BA198" s="324">
        <v>0</v>
      </c>
      <c r="BB198" s="324">
        <v>0</v>
      </c>
      <c r="BC198" s="324">
        <v>0</v>
      </c>
      <c r="BD198" s="324">
        <v>0</v>
      </c>
      <c r="BE198" s="324">
        <v>0</v>
      </c>
      <c r="BF198" s="324">
        <v>0</v>
      </c>
      <c r="BG198" s="140">
        <f t="shared" si="85"/>
        <v>750</v>
      </c>
      <c r="BH198" s="324">
        <v>0</v>
      </c>
      <c r="BI198" s="324">
        <v>0</v>
      </c>
      <c r="BJ198" s="324">
        <v>0</v>
      </c>
      <c r="BK198" s="324">
        <v>0</v>
      </c>
      <c r="BL198" s="324">
        <v>0</v>
      </c>
      <c r="BM198" s="324">
        <v>0</v>
      </c>
      <c r="BN198" s="324">
        <v>0</v>
      </c>
      <c r="BO198" s="324">
        <v>0</v>
      </c>
      <c r="BP198" s="324">
        <v>1500</v>
      </c>
      <c r="BQ198" s="324">
        <v>0</v>
      </c>
      <c r="BR198" s="324">
        <v>0</v>
      </c>
      <c r="BS198" s="324">
        <v>0</v>
      </c>
      <c r="BT198" s="140">
        <f t="shared" si="86"/>
        <v>1500</v>
      </c>
      <c r="BU198" s="114">
        <f t="shared" si="87"/>
        <v>3693.4403076171875</v>
      </c>
      <c r="BV198" s="372">
        <v>1</v>
      </c>
      <c r="BW198" s="372">
        <v>1</v>
      </c>
      <c r="BX198" s="372">
        <v>1</v>
      </c>
      <c r="BY198" s="372">
        <v>1</v>
      </c>
      <c r="BZ198" s="436">
        <f t="shared" si="115"/>
        <v>100</v>
      </c>
      <c r="CA198" s="428">
        <f>IFERROR((FD198/T198%),0)</f>
        <v>100</v>
      </c>
      <c r="CB198" s="7" t="s">
        <v>1701</v>
      </c>
      <c r="CC198" s="3">
        <v>0</v>
      </c>
      <c r="CD198" s="3">
        <v>0</v>
      </c>
      <c r="CE198" s="3">
        <v>0</v>
      </c>
      <c r="CF198" s="3">
        <v>0</v>
      </c>
      <c r="CG198" s="3">
        <v>1</v>
      </c>
      <c r="CH198" s="3">
        <v>0</v>
      </c>
      <c r="CI198" s="3">
        <v>0</v>
      </c>
      <c r="CJ198" s="3">
        <v>0</v>
      </c>
      <c r="CK198" s="3">
        <v>0</v>
      </c>
      <c r="CL198" s="3">
        <v>0</v>
      </c>
      <c r="CM198" s="3">
        <v>0</v>
      </c>
      <c r="CN198" s="3">
        <v>0</v>
      </c>
      <c r="CO198" s="4">
        <f t="shared" si="109"/>
        <v>1</v>
      </c>
      <c r="CP198" s="3">
        <v>0</v>
      </c>
      <c r="CQ198" s="3">
        <v>0</v>
      </c>
      <c r="CR198" s="3">
        <v>0</v>
      </c>
      <c r="CS198" s="3">
        <v>0</v>
      </c>
      <c r="CT198" s="3">
        <v>0</v>
      </c>
      <c r="CU198" s="3">
        <v>0</v>
      </c>
      <c r="CV198" s="3">
        <v>0</v>
      </c>
      <c r="CW198" s="3">
        <v>0</v>
      </c>
      <c r="CX198" s="3">
        <v>0</v>
      </c>
      <c r="CY198" s="3">
        <v>0</v>
      </c>
      <c r="CZ198" s="3">
        <v>0</v>
      </c>
      <c r="DA198" s="3">
        <v>0</v>
      </c>
      <c r="DB198" s="4">
        <f t="shared" si="110"/>
        <v>0</v>
      </c>
      <c r="DC198" s="3">
        <v>0</v>
      </c>
      <c r="DD198" s="3">
        <v>0</v>
      </c>
      <c r="DE198" s="3">
        <v>1</v>
      </c>
      <c r="DF198" s="3">
        <v>0</v>
      </c>
      <c r="DG198" s="3">
        <v>0</v>
      </c>
      <c r="DH198" s="3">
        <v>0</v>
      </c>
      <c r="DI198" s="3">
        <v>0</v>
      </c>
      <c r="DJ198" s="3">
        <v>0</v>
      </c>
      <c r="DK198" s="3">
        <v>0</v>
      </c>
      <c r="DL198" s="3">
        <v>0</v>
      </c>
      <c r="DM198" s="3">
        <v>0</v>
      </c>
      <c r="DN198" s="3">
        <v>0</v>
      </c>
      <c r="DO198" s="4">
        <f t="shared" si="111"/>
        <v>1</v>
      </c>
      <c r="DP198" s="3">
        <v>0</v>
      </c>
      <c r="DQ198" s="3">
        <v>0</v>
      </c>
      <c r="DR198" s="3">
        <v>0</v>
      </c>
      <c r="DS198" s="3">
        <v>0</v>
      </c>
      <c r="DT198" s="3">
        <v>1</v>
      </c>
      <c r="DU198" s="3">
        <v>0</v>
      </c>
      <c r="DV198" s="3">
        <v>0</v>
      </c>
      <c r="DW198" s="3">
        <v>0</v>
      </c>
      <c r="DX198" s="3">
        <v>0</v>
      </c>
      <c r="DY198" s="3">
        <v>0</v>
      </c>
      <c r="DZ198" s="3">
        <v>0</v>
      </c>
      <c r="EA198" s="3">
        <v>0</v>
      </c>
      <c r="EB198" s="4">
        <f t="shared" si="112"/>
        <v>1</v>
      </c>
      <c r="EC198" s="3">
        <v>0</v>
      </c>
      <c r="ED198" s="3">
        <v>0</v>
      </c>
      <c r="EE198" s="3">
        <v>0</v>
      </c>
      <c r="EF198" s="3">
        <v>0</v>
      </c>
      <c r="EG198" s="3">
        <v>0</v>
      </c>
      <c r="EH198" s="3">
        <v>0</v>
      </c>
      <c r="EI198" s="3">
        <v>0</v>
      </c>
      <c r="EJ198" s="3">
        <v>0</v>
      </c>
      <c r="EK198" s="3">
        <v>1</v>
      </c>
      <c r="EL198" s="3">
        <v>0</v>
      </c>
      <c r="EM198" s="3">
        <v>0</v>
      </c>
      <c r="EN198" s="3">
        <v>0</v>
      </c>
      <c r="EO198" s="4">
        <f t="shared" si="113"/>
        <v>1</v>
      </c>
      <c r="EP198" s="8">
        <f t="shared" si="114"/>
        <v>4</v>
      </c>
      <c r="EQ198" s="181">
        <f>IFERROR(VLOOKUP(I198,CEI_012018!$A$1:$U$509,9,FALSE),0)</f>
        <v>0</v>
      </c>
      <c r="ER198" s="181">
        <f>IFERROR(VLOOKUP(I198,CEI_022018!$A$1:$U$509,9,FALSE),0)</f>
        <v>0</v>
      </c>
      <c r="ES198" s="181">
        <f>IFERROR(VLOOKUP(I198,CEI_032018!$A$1:$U$509,9,FALSE),0)</f>
        <v>0</v>
      </c>
      <c r="ET198" s="181">
        <f>IFERROR(VLOOKUP(I198,CEI_042018!$A$1:$U$491,9,FALSE),0)</f>
        <v>0</v>
      </c>
      <c r="EU198" s="181">
        <f>IFERROR(VLOOKUP(I198,CEI_052018!$A$1:$U$489,9,FALSE),0)</f>
        <v>693.4403076171875</v>
      </c>
      <c r="EV198" s="181">
        <f>IFERROR(VLOOKUP(I198,CEI_062018!$A$1:$U$489,9,FALSE),0)</f>
        <v>693.4403076171875</v>
      </c>
      <c r="EW198" s="181">
        <f>IFERROR(VLOOKUP(I198,CEI_072018!$A$1:$U$489,9,FALSE),0)</f>
        <v>693.4403076171875</v>
      </c>
      <c r="EX198" s="181">
        <f>IFERROR(VLOOKUP(I198,CEI_082018!$A$1:$U$489,9,FALSE),0)</f>
        <v>693.4403076171875</v>
      </c>
      <c r="EY198" s="181">
        <f>IFERROR(VLOOKUP(I198,CEI_092018!$A$1:$U$489,9,FALSE),0)</f>
        <v>693.4403076171875</v>
      </c>
      <c r="EZ198" s="181"/>
      <c r="FA198" s="181"/>
      <c r="FB198" s="181"/>
      <c r="FC198" s="181">
        <f>IFERROR(VLOOKUP(I198,CEI_092018!$A$1:$U$489,12,FALSE),0)</f>
        <v>0</v>
      </c>
      <c r="FD198" s="181">
        <f t="shared" si="104"/>
        <v>693.4403076171875</v>
      </c>
      <c r="FE198" s="181">
        <f t="shared" si="105"/>
        <v>0</v>
      </c>
      <c r="FF198"/>
      <c r="FG198"/>
      <c r="FH198"/>
      <c r="FI198"/>
      <c r="FJ198"/>
      <c r="FK198"/>
      <c r="FL198"/>
      <c r="FM198"/>
      <c r="FN198"/>
      <c r="FO198"/>
      <c r="FP198"/>
      <c r="FQ198"/>
      <c r="FR198"/>
      <c r="FS198"/>
      <c r="FT198"/>
      <c r="FU198"/>
      <c r="FV198"/>
      <c r="FW198"/>
      <c r="FX198"/>
      <c r="FY198"/>
      <c r="FZ198"/>
      <c r="GA198"/>
      <c r="GB198"/>
      <c r="GC198"/>
    </row>
    <row r="199" spans="1:185" ht="12.75" customHeight="1" x14ac:dyDescent="0.25">
      <c r="A199" s="202"/>
      <c r="B199" s="22" t="s">
        <v>57</v>
      </c>
      <c r="C199" s="34" t="s">
        <v>44</v>
      </c>
      <c r="D199" s="22" t="s">
        <v>1059</v>
      </c>
      <c r="E199" s="25" t="s">
        <v>1063</v>
      </c>
      <c r="F199" s="25" t="s">
        <v>1059</v>
      </c>
      <c r="G199" s="25" t="s">
        <v>1063</v>
      </c>
      <c r="H199" s="22" t="s">
        <v>56</v>
      </c>
      <c r="I199" s="423" t="s">
        <v>1136</v>
      </c>
      <c r="J199" s="37" t="s">
        <v>1324</v>
      </c>
      <c r="K199" s="23" t="s">
        <v>1715</v>
      </c>
      <c r="L199" s="23" t="s">
        <v>383</v>
      </c>
      <c r="M199" s="23" t="s">
        <v>384</v>
      </c>
      <c r="N199" s="23" t="s">
        <v>1869</v>
      </c>
      <c r="O199" s="2">
        <v>479.32675170898437</v>
      </c>
      <c r="P199" s="2">
        <v>0</v>
      </c>
      <c r="Q199" s="2">
        <v>0</v>
      </c>
      <c r="R199" s="2">
        <v>0</v>
      </c>
      <c r="S199" s="2">
        <v>0</v>
      </c>
      <c r="T199" s="116">
        <f t="shared" ref="T199:T262" si="116">SUM(O199:S199)</f>
        <v>479.32675170898437</v>
      </c>
      <c r="U199" s="324">
        <v>0</v>
      </c>
      <c r="V199" s="324">
        <v>603</v>
      </c>
      <c r="W199" s="324">
        <v>0</v>
      </c>
      <c r="X199" s="324">
        <v>0</v>
      </c>
      <c r="Y199" s="324">
        <v>0</v>
      </c>
      <c r="Z199" s="324">
        <v>0</v>
      </c>
      <c r="AA199" s="324">
        <v>0</v>
      </c>
      <c r="AB199" s="324">
        <v>0</v>
      </c>
      <c r="AC199" s="324">
        <v>0</v>
      </c>
      <c r="AD199" s="324">
        <v>0</v>
      </c>
      <c r="AE199" s="324">
        <v>0</v>
      </c>
      <c r="AF199" s="324">
        <v>0</v>
      </c>
      <c r="AG199" s="140">
        <f t="shared" si="83"/>
        <v>603</v>
      </c>
      <c r="AH199" s="324">
        <v>0</v>
      </c>
      <c r="AI199" s="324">
        <v>779</v>
      </c>
      <c r="AJ199" s="324">
        <v>0</v>
      </c>
      <c r="AK199" s="324">
        <v>0</v>
      </c>
      <c r="AL199" s="324">
        <v>0</v>
      </c>
      <c r="AM199" s="324">
        <v>0</v>
      </c>
      <c r="AN199" s="324">
        <v>0</v>
      </c>
      <c r="AO199" s="324">
        <v>0</v>
      </c>
      <c r="AP199" s="324">
        <v>0</v>
      </c>
      <c r="AQ199" s="324">
        <v>0</v>
      </c>
      <c r="AR199" s="324">
        <v>0</v>
      </c>
      <c r="AS199" s="324">
        <v>0</v>
      </c>
      <c r="AT199" s="140">
        <f t="shared" si="84"/>
        <v>779</v>
      </c>
      <c r="AU199" s="324">
        <v>0</v>
      </c>
      <c r="AV199" s="324">
        <v>800</v>
      </c>
      <c r="AW199" s="324">
        <v>0</v>
      </c>
      <c r="AX199" s="324">
        <v>0</v>
      </c>
      <c r="AY199" s="324">
        <v>0</v>
      </c>
      <c r="AZ199" s="324">
        <v>0</v>
      </c>
      <c r="BA199" s="324">
        <v>0</v>
      </c>
      <c r="BB199" s="324">
        <v>0</v>
      </c>
      <c r="BC199" s="324">
        <v>0</v>
      </c>
      <c r="BD199" s="324">
        <v>0</v>
      </c>
      <c r="BE199" s="324">
        <v>0</v>
      </c>
      <c r="BF199" s="324">
        <v>0</v>
      </c>
      <c r="BG199" s="140">
        <f t="shared" si="85"/>
        <v>800</v>
      </c>
      <c r="BH199" s="324">
        <v>0</v>
      </c>
      <c r="BI199" s="324">
        <v>800</v>
      </c>
      <c r="BJ199" s="324">
        <v>0</v>
      </c>
      <c r="BK199" s="324">
        <v>0</v>
      </c>
      <c r="BL199" s="324">
        <v>0</v>
      </c>
      <c r="BM199" s="324">
        <v>0</v>
      </c>
      <c r="BN199" s="324">
        <v>0</v>
      </c>
      <c r="BO199" s="324">
        <v>0</v>
      </c>
      <c r="BP199" s="324">
        <v>0</v>
      </c>
      <c r="BQ199" s="324">
        <v>0</v>
      </c>
      <c r="BR199" s="324">
        <v>0</v>
      </c>
      <c r="BS199" s="324">
        <v>0</v>
      </c>
      <c r="BT199" s="140">
        <f t="shared" si="86"/>
        <v>800</v>
      </c>
      <c r="BU199" s="114">
        <f t="shared" si="87"/>
        <v>3461.3267517089844</v>
      </c>
      <c r="BV199" s="372">
        <v>1</v>
      </c>
      <c r="BW199" s="372">
        <v>1</v>
      </c>
      <c r="BX199" s="372">
        <v>1</v>
      </c>
      <c r="BY199" s="372">
        <v>1</v>
      </c>
      <c r="BZ199" s="436">
        <f t="shared" si="115"/>
        <v>100</v>
      </c>
      <c r="CA199" s="428">
        <f>IFERROR((FD199/T199%),0)</f>
        <v>100</v>
      </c>
      <c r="CB199" s="7" t="s">
        <v>1701</v>
      </c>
      <c r="CC199" s="3">
        <v>0</v>
      </c>
      <c r="CD199" s="3">
        <v>0</v>
      </c>
      <c r="CE199" s="3">
        <v>1</v>
      </c>
      <c r="CF199" s="3">
        <v>0</v>
      </c>
      <c r="CG199" s="3">
        <v>0</v>
      </c>
      <c r="CH199" s="3">
        <v>0</v>
      </c>
      <c r="CI199" s="3">
        <v>0</v>
      </c>
      <c r="CJ199" s="3">
        <v>0</v>
      </c>
      <c r="CK199" s="3">
        <v>0</v>
      </c>
      <c r="CL199" s="3">
        <v>0</v>
      </c>
      <c r="CM199" s="3">
        <v>0</v>
      </c>
      <c r="CN199" s="3">
        <v>0</v>
      </c>
      <c r="CO199" s="4">
        <f t="shared" si="109"/>
        <v>1</v>
      </c>
      <c r="CP199" s="3">
        <v>0</v>
      </c>
      <c r="CQ199" s="3">
        <v>1</v>
      </c>
      <c r="CR199" s="3">
        <v>0</v>
      </c>
      <c r="CS199" s="3">
        <v>0</v>
      </c>
      <c r="CT199" s="3">
        <v>0</v>
      </c>
      <c r="CU199" s="3">
        <v>0</v>
      </c>
      <c r="CV199" s="3">
        <v>0</v>
      </c>
      <c r="CW199" s="3">
        <v>0</v>
      </c>
      <c r="CX199" s="3">
        <v>0</v>
      </c>
      <c r="CY199" s="3">
        <v>0</v>
      </c>
      <c r="CZ199" s="3">
        <v>0</v>
      </c>
      <c r="DA199" s="3">
        <v>0</v>
      </c>
      <c r="DB199" s="4">
        <f t="shared" si="110"/>
        <v>1</v>
      </c>
      <c r="DC199" s="3">
        <v>0</v>
      </c>
      <c r="DD199" s="3">
        <v>1</v>
      </c>
      <c r="DE199" s="3">
        <v>0</v>
      </c>
      <c r="DF199" s="3">
        <v>0</v>
      </c>
      <c r="DG199" s="3">
        <v>0</v>
      </c>
      <c r="DH199" s="3">
        <v>0</v>
      </c>
      <c r="DI199" s="3">
        <v>0</v>
      </c>
      <c r="DJ199" s="3">
        <v>0</v>
      </c>
      <c r="DK199" s="3">
        <v>0</v>
      </c>
      <c r="DL199" s="3">
        <v>0</v>
      </c>
      <c r="DM199" s="3">
        <v>0</v>
      </c>
      <c r="DN199" s="3">
        <v>0</v>
      </c>
      <c r="DO199" s="4">
        <f t="shared" si="111"/>
        <v>1</v>
      </c>
      <c r="DP199" s="3">
        <v>0</v>
      </c>
      <c r="DQ199" s="3">
        <v>1</v>
      </c>
      <c r="DR199" s="3">
        <v>0</v>
      </c>
      <c r="DS199" s="3">
        <v>0</v>
      </c>
      <c r="DT199" s="3">
        <v>0</v>
      </c>
      <c r="DU199" s="3">
        <v>0</v>
      </c>
      <c r="DV199" s="3">
        <v>0</v>
      </c>
      <c r="DW199" s="3">
        <v>0</v>
      </c>
      <c r="DX199" s="3">
        <v>0</v>
      </c>
      <c r="DY199" s="3">
        <v>0</v>
      </c>
      <c r="DZ199" s="3">
        <v>0</v>
      </c>
      <c r="EA199" s="3">
        <v>0</v>
      </c>
      <c r="EB199" s="4">
        <f t="shared" si="112"/>
        <v>1</v>
      </c>
      <c r="EC199" s="3">
        <v>0</v>
      </c>
      <c r="ED199" s="3">
        <v>1</v>
      </c>
      <c r="EE199" s="3">
        <v>0</v>
      </c>
      <c r="EF199" s="3">
        <v>0</v>
      </c>
      <c r="EG199" s="3">
        <v>0</v>
      </c>
      <c r="EH199" s="3">
        <v>0</v>
      </c>
      <c r="EI199" s="3">
        <v>0</v>
      </c>
      <c r="EJ199" s="3">
        <v>0</v>
      </c>
      <c r="EK199" s="3">
        <v>0</v>
      </c>
      <c r="EL199" s="3">
        <v>0</v>
      </c>
      <c r="EM199" s="3">
        <v>0</v>
      </c>
      <c r="EN199" s="3">
        <v>0</v>
      </c>
      <c r="EO199" s="4">
        <f t="shared" si="113"/>
        <v>1</v>
      </c>
      <c r="EP199" s="8">
        <f t="shared" si="114"/>
        <v>5</v>
      </c>
      <c r="EQ199" s="181">
        <f>IFERROR(VLOOKUP(I199,CEI_012018!$A$1:$U$509,9,FALSE),0)</f>
        <v>0</v>
      </c>
      <c r="ER199" s="181">
        <f>IFERROR(VLOOKUP(I199,CEI_022018!$A$1:$U$509,9,FALSE),0)</f>
        <v>0</v>
      </c>
      <c r="ES199" s="181">
        <f>IFERROR(VLOOKUP(I199,CEI_032018!$A$1:$U$509,9,FALSE),0)</f>
        <v>479.32675170898437</v>
      </c>
      <c r="ET199" s="181">
        <f>IFERROR(VLOOKUP(I199,CEI_042018!$A$1:$U$491,9,FALSE),0)</f>
        <v>479.32675170898437</v>
      </c>
      <c r="EU199" s="181">
        <f>IFERROR(VLOOKUP(I199,CEI_052018!$A$1:$U$489,9,FALSE),0)</f>
        <v>479.32675170898437</v>
      </c>
      <c r="EV199" s="181">
        <f>IFERROR(VLOOKUP(I199,CEI_062018!$A$1:$U$489,9,FALSE),0)</f>
        <v>479.32675170898437</v>
      </c>
      <c r="EW199" s="181">
        <f>IFERROR(VLOOKUP(I199,CEI_072018!$A$1:$U$489,9,FALSE),0)</f>
        <v>479.32675170898437</v>
      </c>
      <c r="EX199" s="181">
        <f>IFERROR(VLOOKUP(I199,CEI_082018!$A$1:$U$489,9,FALSE),0)</f>
        <v>479.32675170898437</v>
      </c>
      <c r="EY199" s="181">
        <f>IFERROR(VLOOKUP(I199,CEI_092018!$A$1:$U$489,9,FALSE),0)</f>
        <v>479.32675170898437</v>
      </c>
      <c r="EZ199" s="181"/>
      <c r="FA199" s="181"/>
      <c r="FB199" s="181"/>
      <c r="FC199" s="181">
        <f>IFERROR(VLOOKUP(I199,CEI_092018!$A$1:$U$489,12,FALSE),0)</f>
        <v>0</v>
      </c>
      <c r="FD199" s="181">
        <f t="shared" si="104"/>
        <v>479.32675170898437</v>
      </c>
      <c r="FE199" s="181">
        <f t="shared" si="105"/>
        <v>0</v>
      </c>
      <c r="FF199"/>
      <c r="FG199"/>
      <c r="FH199"/>
      <c r="FI199"/>
      <c r="FJ199"/>
      <c r="FK199"/>
      <c r="FL199"/>
      <c r="FM199"/>
      <c r="FN199"/>
      <c r="FO199"/>
      <c r="FP199"/>
      <c r="FQ199"/>
      <c r="FR199"/>
      <c r="FS199"/>
      <c r="FT199"/>
      <c r="FU199"/>
      <c r="FV199"/>
      <c r="FW199"/>
      <c r="FX199"/>
      <c r="FY199"/>
      <c r="FZ199"/>
      <c r="GA199"/>
      <c r="GB199"/>
      <c r="GC199"/>
    </row>
    <row r="200" spans="1:185" ht="12.75" customHeight="1" x14ac:dyDescent="0.25">
      <c r="A200" s="202"/>
      <c r="B200" s="22" t="s">
        <v>57</v>
      </c>
      <c r="C200" s="34" t="s">
        <v>44</v>
      </c>
      <c r="D200" s="22" t="s">
        <v>1060</v>
      </c>
      <c r="E200" s="25" t="s">
        <v>1067</v>
      </c>
      <c r="F200" s="25" t="s">
        <v>1060</v>
      </c>
      <c r="G200" s="25" t="s">
        <v>1067</v>
      </c>
      <c r="H200" s="22" t="s">
        <v>56</v>
      </c>
      <c r="I200" s="423" t="s">
        <v>565</v>
      </c>
      <c r="J200" s="37" t="s">
        <v>59</v>
      </c>
      <c r="K200" s="23" t="s">
        <v>325</v>
      </c>
      <c r="L200" s="23" t="s">
        <v>325</v>
      </c>
      <c r="M200" s="23" t="s">
        <v>751</v>
      </c>
      <c r="N200" s="23" t="s">
        <v>59</v>
      </c>
      <c r="O200" s="2">
        <v>0</v>
      </c>
      <c r="P200" s="2">
        <v>0</v>
      </c>
      <c r="Q200" s="2">
        <v>0</v>
      </c>
      <c r="R200" s="2">
        <v>0</v>
      </c>
      <c r="S200" s="2">
        <v>0</v>
      </c>
      <c r="T200" s="116">
        <f t="shared" si="116"/>
        <v>0</v>
      </c>
      <c r="U200" s="324">
        <v>0</v>
      </c>
      <c r="V200" s="324">
        <v>0</v>
      </c>
      <c r="W200" s="324">
        <v>0</v>
      </c>
      <c r="X200" s="324">
        <v>0</v>
      </c>
      <c r="Y200" s="324">
        <v>0</v>
      </c>
      <c r="Z200" s="324">
        <v>0</v>
      </c>
      <c r="AA200" s="324">
        <v>0</v>
      </c>
      <c r="AB200" s="324">
        <v>0</v>
      </c>
      <c r="AC200" s="324">
        <v>0</v>
      </c>
      <c r="AD200" s="324">
        <v>0</v>
      </c>
      <c r="AE200" s="324">
        <v>0</v>
      </c>
      <c r="AF200" s="324">
        <v>0</v>
      </c>
      <c r="AG200" s="140">
        <f t="shared" si="83"/>
        <v>0</v>
      </c>
      <c r="AH200" s="324">
        <v>300</v>
      </c>
      <c r="AI200" s="324">
        <v>300</v>
      </c>
      <c r="AJ200" s="324">
        <v>300</v>
      </c>
      <c r="AK200" s="324">
        <v>300</v>
      </c>
      <c r="AL200" s="324">
        <v>300</v>
      </c>
      <c r="AM200" s="324">
        <v>300</v>
      </c>
      <c r="AN200" s="324">
        <v>300</v>
      </c>
      <c r="AO200" s="324">
        <v>300</v>
      </c>
      <c r="AP200" s="324">
        <v>300</v>
      </c>
      <c r="AQ200" s="324">
        <v>300</v>
      </c>
      <c r="AR200" s="324">
        <v>300</v>
      </c>
      <c r="AS200" s="324">
        <v>155</v>
      </c>
      <c r="AT200" s="140">
        <f t="shared" si="84"/>
        <v>3455</v>
      </c>
      <c r="AU200" s="324">
        <v>0</v>
      </c>
      <c r="AV200" s="324">
        <v>0</v>
      </c>
      <c r="AW200" s="324">
        <v>0</v>
      </c>
      <c r="AX200" s="324">
        <v>0</v>
      </c>
      <c r="AY200" s="324">
        <v>0</v>
      </c>
      <c r="AZ200" s="324">
        <v>0</v>
      </c>
      <c r="BA200" s="324">
        <v>0</v>
      </c>
      <c r="BB200" s="324">
        <v>0</v>
      </c>
      <c r="BC200" s="324">
        <v>0</v>
      </c>
      <c r="BD200" s="324">
        <v>0</v>
      </c>
      <c r="BE200" s="324">
        <v>0</v>
      </c>
      <c r="BF200" s="324">
        <v>0</v>
      </c>
      <c r="BG200" s="140">
        <f t="shared" si="85"/>
        <v>0</v>
      </c>
      <c r="BH200" s="324">
        <v>0</v>
      </c>
      <c r="BI200" s="324">
        <v>0</v>
      </c>
      <c r="BJ200" s="324">
        <v>0</v>
      </c>
      <c r="BK200" s="324">
        <v>0</v>
      </c>
      <c r="BL200" s="324">
        <v>0</v>
      </c>
      <c r="BM200" s="324">
        <v>0</v>
      </c>
      <c r="BN200" s="324">
        <v>0</v>
      </c>
      <c r="BO200" s="324">
        <v>0</v>
      </c>
      <c r="BP200" s="324">
        <v>0</v>
      </c>
      <c r="BQ200" s="324">
        <v>0</v>
      </c>
      <c r="BR200" s="324">
        <v>0</v>
      </c>
      <c r="BS200" s="324">
        <v>0</v>
      </c>
      <c r="BT200" s="140">
        <f t="shared" si="86"/>
        <v>0</v>
      </c>
      <c r="BU200" s="114">
        <f t="shared" si="87"/>
        <v>3455</v>
      </c>
      <c r="BV200" s="432"/>
      <c r="BW200" s="432"/>
      <c r="BX200" s="432"/>
      <c r="BY200" s="432"/>
      <c r="BZ200" s="433"/>
      <c r="CA200" s="434"/>
      <c r="CB200" s="7" t="s">
        <v>1699</v>
      </c>
      <c r="CC200" s="3">
        <v>0</v>
      </c>
      <c r="CD200" s="3">
        <v>0</v>
      </c>
      <c r="CE200" s="3">
        <v>0</v>
      </c>
      <c r="CF200" s="3">
        <v>0</v>
      </c>
      <c r="CG200" s="3">
        <v>0</v>
      </c>
      <c r="CH200" s="3">
        <v>0</v>
      </c>
      <c r="CI200" s="3">
        <v>0</v>
      </c>
      <c r="CJ200" s="3">
        <v>0</v>
      </c>
      <c r="CK200" s="3">
        <v>0</v>
      </c>
      <c r="CL200" s="3">
        <v>0</v>
      </c>
      <c r="CM200" s="3">
        <v>0</v>
      </c>
      <c r="CN200" s="3">
        <v>0</v>
      </c>
      <c r="CO200" s="4">
        <f t="shared" si="109"/>
        <v>0</v>
      </c>
      <c r="CP200" s="3">
        <v>0</v>
      </c>
      <c r="CQ200" s="3">
        <v>0</v>
      </c>
      <c r="CR200" s="3">
        <v>0</v>
      </c>
      <c r="CS200" s="3">
        <v>0</v>
      </c>
      <c r="CT200" s="3">
        <v>0</v>
      </c>
      <c r="CU200" s="3">
        <v>0</v>
      </c>
      <c r="CV200" s="3">
        <v>0</v>
      </c>
      <c r="CW200" s="3">
        <v>0</v>
      </c>
      <c r="CX200" s="3">
        <v>0</v>
      </c>
      <c r="CY200" s="3">
        <v>0</v>
      </c>
      <c r="CZ200" s="3">
        <v>0</v>
      </c>
      <c r="DA200" s="3">
        <v>0</v>
      </c>
      <c r="DB200" s="4">
        <f t="shared" si="110"/>
        <v>0</v>
      </c>
      <c r="DC200" s="3">
        <v>0</v>
      </c>
      <c r="DD200" s="3">
        <v>0</v>
      </c>
      <c r="DE200" s="3">
        <v>0</v>
      </c>
      <c r="DF200" s="3">
        <v>0</v>
      </c>
      <c r="DG200" s="3">
        <v>0</v>
      </c>
      <c r="DH200" s="3">
        <v>0</v>
      </c>
      <c r="DI200" s="3">
        <v>0</v>
      </c>
      <c r="DJ200" s="3">
        <v>0</v>
      </c>
      <c r="DK200" s="3">
        <v>0</v>
      </c>
      <c r="DL200" s="3">
        <v>0</v>
      </c>
      <c r="DM200" s="3">
        <v>0</v>
      </c>
      <c r="DN200" s="3">
        <v>1</v>
      </c>
      <c r="DO200" s="4">
        <f t="shared" si="111"/>
        <v>1</v>
      </c>
      <c r="DP200" s="3">
        <v>0</v>
      </c>
      <c r="DQ200" s="3">
        <v>0</v>
      </c>
      <c r="DR200" s="3">
        <v>0</v>
      </c>
      <c r="DS200" s="3">
        <v>0</v>
      </c>
      <c r="DT200" s="3">
        <v>0</v>
      </c>
      <c r="DU200" s="3">
        <v>0</v>
      </c>
      <c r="DV200" s="3">
        <v>0</v>
      </c>
      <c r="DW200" s="3">
        <v>0</v>
      </c>
      <c r="DX200" s="3">
        <v>0</v>
      </c>
      <c r="DY200" s="3">
        <v>0</v>
      </c>
      <c r="DZ200" s="3">
        <v>0</v>
      </c>
      <c r="EA200" s="3">
        <v>0</v>
      </c>
      <c r="EB200" s="4">
        <f t="shared" si="112"/>
        <v>0</v>
      </c>
      <c r="EC200" s="3">
        <v>0</v>
      </c>
      <c r="ED200" s="3">
        <v>0</v>
      </c>
      <c r="EE200" s="3">
        <v>0</v>
      </c>
      <c r="EF200" s="3">
        <v>0</v>
      </c>
      <c r="EG200" s="3">
        <v>0</v>
      </c>
      <c r="EH200" s="3">
        <v>0</v>
      </c>
      <c r="EI200" s="3">
        <v>0</v>
      </c>
      <c r="EJ200" s="3">
        <v>0</v>
      </c>
      <c r="EK200" s="3">
        <v>0</v>
      </c>
      <c r="EL200" s="3">
        <v>0</v>
      </c>
      <c r="EM200" s="3">
        <v>0</v>
      </c>
      <c r="EN200" s="3">
        <v>0</v>
      </c>
      <c r="EO200" s="4">
        <f t="shared" si="113"/>
        <v>0</v>
      </c>
      <c r="EP200" s="8">
        <f t="shared" si="114"/>
        <v>1</v>
      </c>
      <c r="EQ200" s="181">
        <f>IFERROR(VLOOKUP(I200,CEI_012018!$A$1:$U$509,9,FALSE),0)</f>
        <v>0</v>
      </c>
      <c r="ER200" s="181">
        <f>IFERROR(VLOOKUP(I200,CEI_022018!$A$1:$U$509,9,FALSE),0)</f>
        <v>0</v>
      </c>
      <c r="ES200" s="181">
        <f>IFERROR(VLOOKUP(I200,CEI_032018!$A$1:$U$509,9,FALSE),0)</f>
        <v>0</v>
      </c>
      <c r="ET200" s="181">
        <f>IFERROR(VLOOKUP(I200,CEI_042018!$A$1:$U$491,9,FALSE),0)</f>
        <v>0</v>
      </c>
      <c r="EU200" s="181">
        <f>IFERROR(VLOOKUP(I200,CEI_052018!$A$1:$U$489,9,FALSE),0)</f>
        <v>0</v>
      </c>
      <c r="EV200" s="181">
        <f>IFERROR(VLOOKUP(I200,CEI_062018!$A$1:$U$489,9,FALSE),0)</f>
        <v>0</v>
      </c>
      <c r="EW200" s="181">
        <f>IFERROR(VLOOKUP(I200,CEI_072018!$A$1:$U$489,9,FALSE),0)</f>
        <v>0</v>
      </c>
      <c r="EX200" s="181">
        <f>IFERROR(VLOOKUP(I200,CEI_082018!$A$1:$U$489,9,FALSE),0)</f>
        <v>0</v>
      </c>
      <c r="EY200" s="181">
        <f>IFERROR(VLOOKUP(I200,CEI_092018!$A$1:$U$489,9,FALSE),0)</f>
        <v>0</v>
      </c>
      <c r="EZ200" s="181"/>
      <c r="FA200" s="181"/>
      <c r="FB200" s="181"/>
      <c r="FC200" s="181">
        <f>IFERROR(VLOOKUP(I200,CEI_092018!$A$1:$U$489,12,FALSE),0)</f>
        <v>0</v>
      </c>
      <c r="FD200" s="181">
        <f t="shared" si="104"/>
        <v>0</v>
      </c>
      <c r="FE200" s="181">
        <f t="shared" si="105"/>
        <v>0</v>
      </c>
      <c r="FF200"/>
      <c r="FG200"/>
      <c r="FH200"/>
      <c r="FI200"/>
      <c r="FJ200"/>
      <c r="FK200"/>
      <c r="FL200"/>
      <c r="FM200"/>
      <c r="FN200"/>
      <c r="FO200"/>
      <c r="FP200"/>
      <c r="FQ200"/>
      <c r="FR200"/>
      <c r="FS200"/>
      <c r="FT200"/>
      <c r="FU200"/>
      <c r="FV200"/>
      <c r="FW200"/>
      <c r="FX200"/>
      <c r="FY200"/>
      <c r="FZ200"/>
      <c r="GA200"/>
      <c r="GB200"/>
      <c r="GC200"/>
    </row>
    <row r="201" spans="1:185" ht="12.75" customHeight="1" x14ac:dyDescent="0.25">
      <c r="A201" s="202"/>
      <c r="B201" s="22" t="s">
        <v>57</v>
      </c>
      <c r="C201" s="34" t="s">
        <v>44</v>
      </c>
      <c r="D201" s="22" t="s">
        <v>1059</v>
      </c>
      <c r="E201" s="25" t="s">
        <v>1063</v>
      </c>
      <c r="F201" s="25" t="s">
        <v>1059</v>
      </c>
      <c r="G201" s="25" t="s">
        <v>1063</v>
      </c>
      <c r="H201" s="22" t="s">
        <v>56</v>
      </c>
      <c r="I201" s="423" t="s">
        <v>565</v>
      </c>
      <c r="J201" s="37" t="s">
        <v>59</v>
      </c>
      <c r="K201" s="23" t="s">
        <v>1133</v>
      </c>
      <c r="L201" s="23" t="s">
        <v>423</v>
      </c>
      <c r="M201" s="23" t="s">
        <v>424</v>
      </c>
      <c r="N201" s="23" t="s">
        <v>1864</v>
      </c>
      <c r="O201" s="2">
        <v>0</v>
      </c>
      <c r="P201" s="2">
        <v>0</v>
      </c>
      <c r="Q201" s="2">
        <v>0</v>
      </c>
      <c r="R201" s="2">
        <v>50</v>
      </c>
      <c r="S201" s="2">
        <v>78</v>
      </c>
      <c r="T201" s="116">
        <f t="shared" si="116"/>
        <v>128</v>
      </c>
      <c r="U201" s="324">
        <v>0</v>
      </c>
      <c r="V201" s="324">
        <v>0</v>
      </c>
      <c r="W201" s="324">
        <v>0</v>
      </c>
      <c r="X201" s="324">
        <v>40</v>
      </c>
      <c r="Y201" s="324">
        <v>50</v>
      </c>
      <c r="Z201" s="324">
        <v>50</v>
      </c>
      <c r="AA201" s="324">
        <v>30</v>
      </c>
      <c r="AB201" s="324">
        <v>30</v>
      </c>
      <c r="AC201" s="324">
        <v>50</v>
      </c>
      <c r="AD201" s="324">
        <v>76</v>
      </c>
      <c r="AE201" s="324">
        <v>110</v>
      </c>
      <c r="AF201" s="324">
        <v>100</v>
      </c>
      <c r="AG201" s="140">
        <f t="shared" si="83"/>
        <v>536</v>
      </c>
      <c r="AH201" s="324">
        <v>50</v>
      </c>
      <c r="AI201" s="324">
        <v>50</v>
      </c>
      <c r="AJ201" s="324">
        <v>53</v>
      </c>
      <c r="AK201" s="324">
        <v>100</v>
      </c>
      <c r="AL201" s="324">
        <v>100</v>
      </c>
      <c r="AM201" s="324">
        <v>100</v>
      </c>
      <c r="AN201" s="324">
        <v>50</v>
      </c>
      <c r="AO201" s="324">
        <v>100</v>
      </c>
      <c r="AP201" s="324">
        <v>100</v>
      </c>
      <c r="AQ201" s="324">
        <v>0</v>
      </c>
      <c r="AR201" s="324">
        <v>0</v>
      </c>
      <c r="AS201" s="324">
        <v>0</v>
      </c>
      <c r="AT201" s="140">
        <f t="shared" si="84"/>
        <v>703</v>
      </c>
      <c r="AU201" s="324">
        <v>50</v>
      </c>
      <c r="AV201" s="324">
        <v>50</v>
      </c>
      <c r="AW201" s="324">
        <v>50</v>
      </c>
      <c r="AX201" s="324">
        <v>50</v>
      </c>
      <c r="AY201" s="324">
        <v>100</v>
      </c>
      <c r="AZ201" s="324">
        <v>100</v>
      </c>
      <c r="BA201" s="324">
        <v>50</v>
      </c>
      <c r="BB201" s="324">
        <v>100</v>
      </c>
      <c r="BC201" s="324">
        <v>100</v>
      </c>
      <c r="BD201" s="324">
        <v>100</v>
      </c>
      <c r="BE201" s="324">
        <v>100</v>
      </c>
      <c r="BF201" s="324">
        <v>100</v>
      </c>
      <c r="BG201" s="140">
        <f t="shared" si="85"/>
        <v>950</v>
      </c>
      <c r="BH201" s="324">
        <v>0</v>
      </c>
      <c r="BI201" s="324">
        <v>50</v>
      </c>
      <c r="BJ201" s="324">
        <v>0</v>
      </c>
      <c r="BK201" s="324">
        <v>100</v>
      </c>
      <c r="BL201" s="324">
        <v>100</v>
      </c>
      <c r="BM201" s="324">
        <v>100</v>
      </c>
      <c r="BN201" s="324">
        <v>50</v>
      </c>
      <c r="BO201" s="324">
        <v>100</v>
      </c>
      <c r="BP201" s="324">
        <v>100</v>
      </c>
      <c r="BQ201" s="324">
        <v>100</v>
      </c>
      <c r="BR201" s="324">
        <v>100</v>
      </c>
      <c r="BS201" s="324">
        <v>100</v>
      </c>
      <c r="BT201" s="140">
        <f t="shared" si="86"/>
        <v>900</v>
      </c>
      <c r="BU201" s="114">
        <f t="shared" si="87"/>
        <v>3217</v>
      </c>
      <c r="BV201" s="372">
        <v>-1</v>
      </c>
      <c r="BW201" s="372">
        <v>-1</v>
      </c>
      <c r="BX201" s="372">
        <v>-1</v>
      </c>
      <c r="BY201" s="372">
        <v>-1</v>
      </c>
      <c r="BZ201" s="436">
        <f>IFERROR((EX201/T201%),0)</f>
        <v>0</v>
      </c>
      <c r="CA201" s="428">
        <f>IFERROR((FD201/T201%),0)</f>
        <v>0</v>
      </c>
      <c r="CB201" s="7" t="s">
        <v>1700</v>
      </c>
      <c r="CC201" s="3">
        <v>0</v>
      </c>
      <c r="CD201" s="3">
        <v>0</v>
      </c>
      <c r="CE201" s="3">
        <v>0</v>
      </c>
      <c r="CF201" s="3">
        <v>0</v>
      </c>
      <c r="CG201" s="3">
        <v>0</v>
      </c>
      <c r="CH201" s="3">
        <v>0</v>
      </c>
      <c r="CI201" s="3">
        <v>0</v>
      </c>
      <c r="CJ201" s="3">
        <v>0</v>
      </c>
      <c r="CK201" s="3">
        <v>142.85714285714286</v>
      </c>
      <c r="CL201" s="3">
        <v>142.85714285714286</v>
      </c>
      <c r="CM201" s="3">
        <v>157.14285714285714</v>
      </c>
      <c r="CN201" s="3">
        <v>285.71428571428572</v>
      </c>
      <c r="CO201" s="4">
        <f t="shared" si="109"/>
        <v>728.57142857142867</v>
      </c>
      <c r="CP201" s="3">
        <v>0</v>
      </c>
      <c r="CQ201" s="3">
        <v>71.428571428571431</v>
      </c>
      <c r="CR201" s="3">
        <v>71.428571428571431</v>
      </c>
      <c r="CS201" s="3">
        <v>114.28571428571429</v>
      </c>
      <c r="CT201" s="3">
        <v>142.85714285714286</v>
      </c>
      <c r="CU201" s="3">
        <v>142.85714285714286</v>
      </c>
      <c r="CV201" s="3">
        <v>85.714285714285722</v>
      </c>
      <c r="CW201" s="3">
        <v>85.714285714285722</v>
      </c>
      <c r="CX201" s="3">
        <v>142.85714285714286</v>
      </c>
      <c r="CY201" s="3">
        <v>142.85714285714286</v>
      </c>
      <c r="CZ201" s="3">
        <v>142.85714285714286</v>
      </c>
      <c r="DA201" s="3">
        <v>285.71428571428572</v>
      </c>
      <c r="DB201" s="4">
        <f t="shared" si="110"/>
        <v>1428.5714285714289</v>
      </c>
      <c r="DC201" s="3">
        <v>142.85714285714286</v>
      </c>
      <c r="DD201" s="3">
        <v>142.85714285714286</v>
      </c>
      <c r="DE201" s="3">
        <v>151.42857142857144</v>
      </c>
      <c r="DF201" s="3">
        <v>285.71428571428572</v>
      </c>
      <c r="DG201" s="3">
        <v>285.71428571428572</v>
      </c>
      <c r="DH201" s="3">
        <v>285.71428571428572</v>
      </c>
      <c r="DI201" s="3">
        <v>142.85714285714286</v>
      </c>
      <c r="DJ201" s="3">
        <v>285.71428571428572</v>
      </c>
      <c r="DK201" s="3">
        <v>285.71428571428572</v>
      </c>
      <c r="DL201" s="3">
        <v>0</v>
      </c>
      <c r="DM201" s="3">
        <v>0</v>
      </c>
      <c r="DN201" s="3">
        <v>0</v>
      </c>
      <c r="DO201" s="4">
        <f t="shared" si="111"/>
        <v>2008.5714285714289</v>
      </c>
      <c r="DP201" s="3">
        <v>142.85714285714286</v>
      </c>
      <c r="DQ201" s="3">
        <v>142.85714285714286</v>
      </c>
      <c r="DR201" s="3">
        <v>142.85714285714286</v>
      </c>
      <c r="DS201" s="3">
        <v>142.85714285714286</v>
      </c>
      <c r="DT201" s="3">
        <v>285.71428571428572</v>
      </c>
      <c r="DU201" s="3">
        <v>285.71428571428572</v>
      </c>
      <c r="DV201" s="3">
        <v>142.85714285714286</v>
      </c>
      <c r="DW201" s="3">
        <v>285.71428571428572</v>
      </c>
      <c r="DX201" s="3">
        <v>285.71428571428572</v>
      </c>
      <c r="DY201" s="3">
        <v>285.71428571428572</v>
      </c>
      <c r="DZ201" s="3">
        <v>285.71428571428572</v>
      </c>
      <c r="EA201" s="3">
        <v>285.71428571428572</v>
      </c>
      <c r="EB201" s="4">
        <f t="shared" si="112"/>
        <v>2714.2857142857147</v>
      </c>
      <c r="EC201" s="3">
        <v>0</v>
      </c>
      <c r="ED201" s="3">
        <v>142.85714285714286</v>
      </c>
      <c r="EE201" s="3">
        <v>0</v>
      </c>
      <c r="EF201" s="3">
        <v>285.71428571428572</v>
      </c>
      <c r="EG201" s="3">
        <v>285.71428571428572</v>
      </c>
      <c r="EH201" s="3">
        <v>285.71428571428572</v>
      </c>
      <c r="EI201" s="3">
        <v>142.85714285714286</v>
      </c>
      <c r="EJ201" s="3">
        <v>285.71428571428572</v>
      </c>
      <c r="EK201" s="3">
        <v>285.71428571428572</v>
      </c>
      <c r="EL201" s="3">
        <v>285.71428571428572</v>
      </c>
      <c r="EM201" s="3">
        <v>285.71428571428572</v>
      </c>
      <c r="EN201" s="3">
        <v>285.71428571428572</v>
      </c>
      <c r="EO201" s="4">
        <f t="shared" si="113"/>
        <v>2571.4285714285716</v>
      </c>
      <c r="EP201" s="8">
        <f t="shared" si="114"/>
        <v>9451.4285714285743</v>
      </c>
      <c r="EQ201" s="181">
        <f>IFERROR(VLOOKUP(I201,CEI_012018!$A$1:$U$509,9,FALSE),0)</f>
        <v>0</v>
      </c>
      <c r="ER201" s="181">
        <f>IFERROR(VLOOKUP(I201,CEI_022018!$A$1:$U$509,9,FALSE),0)</f>
        <v>0</v>
      </c>
      <c r="ES201" s="181">
        <f>IFERROR(VLOOKUP(I201,CEI_032018!$A$1:$U$509,9,FALSE),0)</f>
        <v>0</v>
      </c>
      <c r="ET201" s="181">
        <f>IFERROR(VLOOKUP(I201,CEI_042018!$A$1:$U$491,9,FALSE),0)</f>
        <v>0</v>
      </c>
      <c r="EU201" s="181">
        <f>IFERROR(VLOOKUP(I201,CEI_052018!$A$1:$U$489,9,FALSE),0)</f>
        <v>0</v>
      </c>
      <c r="EV201" s="181">
        <f>IFERROR(VLOOKUP(I201,CEI_062018!$A$1:$U$489,9,FALSE),0)</f>
        <v>0</v>
      </c>
      <c r="EW201" s="181">
        <f>IFERROR(VLOOKUP(I201,CEI_072018!$A$1:$U$489,9,FALSE),0)</f>
        <v>0</v>
      </c>
      <c r="EX201" s="181">
        <f>IFERROR(VLOOKUP(I201,CEI_082018!$A$1:$U$489,9,FALSE),0)</f>
        <v>0</v>
      </c>
      <c r="EY201" s="181">
        <f>IFERROR(VLOOKUP(I201,CEI_092018!$A$1:$U$489,9,FALSE),0)</f>
        <v>0</v>
      </c>
      <c r="EZ201" s="181"/>
      <c r="FA201" s="181"/>
      <c r="FB201" s="181"/>
      <c r="FC201" s="181">
        <f>IFERROR(VLOOKUP(I201,CEI_092018!$A$1:$U$489,12,FALSE),0)</f>
        <v>0</v>
      </c>
      <c r="FD201" s="181">
        <f t="shared" si="104"/>
        <v>0</v>
      </c>
      <c r="FE201" s="181">
        <f t="shared" si="105"/>
        <v>128</v>
      </c>
      <c r="FF201"/>
      <c r="FG201"/>
      <c r="FH201"/>
      <c r="FI201"/>
      <c r="FJ201"/>
      <c r="FK201"/>
      <c r="FL201"/>
      <c r="FM201"/>
      <c r="FN201"/>
      <c r="FO201"/>
      <c r="FP201"/>
      <c r="FQ201"/>
      <c r="FR201"/>
      <c r="FS201"/>
      <c r="FT201"/>
      <c r="FU201"/>
      <c r="FV201"/>
      <c r="FW201"/>
      <c r="FX201"/>
      <c r="FY201"/>
      <c r="FZ201"/>
      <c r="GA201"/>
      <c r="GB201"/>
      <c r="GC201"/>
    </row>
    <row r="202" spans="1:185" ht="12.75" customHeight="1" x14ac:dyDescent="0.25">
      <c r="A202" s="202"/>
      <c r="B202" s="22" t="s">
        <v>57</v>
      </c>
      <c r="C202" s="34" t="s">
        <v>44</v>
      </c>
      <c r="D202" s="22" t="s">
        <v>318</v>
      </c>
      <c r="E202" s="25" t="s">
        <v>1066</v>
      </c>
      <c r="F202" s="25" t="s">
        <v>318</v>
      </c>
      <c r="G202" s="25" t="s">
        <v>1066</v>
      </c>
      <c r="H202" s="22" t="s">
        <v>56</v>
      </c>
      <c r="I202" s="483" t="s">
        <v>1339</v>
      </c>
      <c r="J202" s="255" t="s">
        <v>1340</v>
      </c>
      <c r="K202" s="23" t="s">
        <v>1003</v>
      </c>
      <c r="L202" s="23" t="s">
        <v>1004</v>
      </c>
      <c r="M202" s="23" t="s">
        <v>1005</v>
      </c>
      <c r="N202" s="23" t="s">
        <v>1877</v>
      </c>
      <c r="O202" s="2">
        <v>0</v>
      </c>
      <c r="P202" s="2">
        <v>0</v>
      </c>
      <c r="Q202" s="2">
        <v>0</v>
      </c>
      <c r="R202" s="2">
        <v>0</v>
      </c>
      <c r="S202" s="2">
        <v>0</v>
      </c>
      <c r="T202" s="116">
        <f t="shared" si="116"/>
        <v>0</v>
      </c>
      <c r="U202" s="324">
        <v>0</v>
      </c>
      <c r="V202" s="324">
        <v>0</v>
      </c>
      <c r="W202" s="324">
        <v>843</v>
      </c>
      <c r="X202" s="324">
        <v>202</v>
      </c>
      <c r="Y202" s="324">
        <v>0</v>
      </c>
      <c r="Z202" s="324">
        <v>0</v>
      </c>
      <c r="AA202" s="324">
        <v>0</v>
      </c>
      <c r="AB202" s="324">
        <v>0</v>
      </c>
      <c r="AC202" s="324">
        <v>0</v>
      </c>
      <c r="AD202" s="324">
        <v>0</v>
      </c>
      <c r="AE202" s="324">
        <v>0</v>
      </c>
      <c r="AF202" s="324">
        <v>0</v>
      </c>
      <c r="AG202" s="140">
        <f t="shared" ref="AG202:AG265" si="117">SUM(U202:AF202)</f>
        <v>1045</v>
      </c>
      <c r="AH202" s="324">
        <v>0</v>
      </c>
      <c r="AI202" s="324">
        <v>0</v>
      </c>
      <c r="AJ202" s="324">
        <v>710</v>
      </c>
      <c r="AK202" s="324">
        <v>133</v>
      </c>
      <c r="AL202" s="324">
        <v>0</v>
      </c>
      <c r="AM202" s="324">
        <v>0</v>
      </c>
      <c r="AN202" s="324">
        <v>0</v>
      </c>
      <c r="AO202" s="324">
        <v>0</v>
      </c>
      <c r="AP202" s="324">
        <v>0</v>
      </c>
      <c r="AQ202" s="324">
        <v>0</v>
      </c>
      <c r="AR202" s="324">
        <v>0</v>
      </c>
      <c r="AS202" s="324">
        <v>0</v>
      </c>
      <c r="AT202" s="140">
        <f t="shared" ref="AT202:AT265" si="118">SUM(AH202:AS202)</f>
        <v>843</v>
      </c>
      <c r="AU202" s="324">
        <v>0</v>
      </c>
      <c r="AV202" s="324">
        <v>0</v>
      </c>
      <c r="AW202" s="324">
        <v>0</v>
      </c>
      <c r="AX202" s="324">
        <v>0</v>
      </c>
      <c r="AY202" s="324">
        <v>0</v>
      </c>
      <c r="AZ202" s="324">
        <v>0</v>
      </c>
      <c r="BA202" s="324">
        <v>0</v>
      </c>
      <c r="BB202" s="324">
        <v>0</v>
      </c>
      <c r="BC202" s="324">
        <v>0</v>
      </c>
      <c r="BD202" s="324">
        <v>0</v>
      </c>
      <c r="BE202" s="324">
        <v>0</v>
      </c>
      <c r="BF202" s="324">
        <v>0</v>
      </c>
      <c r="BG202" s="140">
        <f t="shared" ref="BG202:BG265" si="119">SUM(AU202:BF202)</f>
        <v>0</v>
      </c>
      <c r="BH202" s="324">
        <v>0</v>
      </c>
      <c r="BI202" s="324">
        <v>0</v>
      </c>
      <c r="BJ202" s="324">
        <v>0</v>
      </c>
      <c r="BK202" s="324">
        <v>0</v>
      </c>
      <c r="BL202" s="324">
        <v>1250</v>
      </c>
      <c r="BM202" s="324">
        <v>0</v>
      </c>
      <c r="BN202" s="324">
        <v>0</v>
      </c>
      <c r="BO202" s="324">
        <v>0</v>
      </c>
      <c r="BP202" s="324">
        <v>0</v>
      </c>
      <c r="BQ202" s="324">
        <v>0</v>
      </c>
      <c r="BR202" s="324">
        <v>0</v>
      </c>
      <c r="BS202" s="324">
        <v>0</v>
      </c>
      <c r="BT202" s="140">
        <f t="shared" ref="BT202:BT265" si="120">SUM(BH202:BS202)</f>
        <v>1250</v>
      </c>
      <c r="BU202" s="114">
        <f t="shared" ref="BU202:BU265" si="121">SUM(BT202,BG202,AT202,AG202,T202)</f>
        <v>3138</v>
      </c>
      <c r="BV202" s="432"/>
      <c r="BW202" s="432"/>
      <c r="BX202" s="432"/>
      <c r="BY202" s="432"/>
      <c r="BZ202" s="436">
        <f>IFERROR((EX202/T202%),0)</f>
        <v>0</v>
      </c>
      <c r="CA202" s="434"/>
      <c r="CB202" s="7" t="s">
        <v>1699</v>
      </c>
      <c r="CC202" s="3">
        <v>0</v>
      </c>
      <c r="CD202" s="3">
        <v>0</v>
      </c>
      <c r="CE202" s="3">
        <v>0</v>
      </c>
      <c r="CF202" s="3">
        <v>0</v>
      </c>
      <c r="CG202" s="3">
        <v>0</v>
      </c>
      <c r="CH202" s="3">
        <v>0</v>
      </c>
      <c r="CI202" s="3">
        <v>0</v>
      </c>
      <c r="CJ202" s="3">
        <v>0</v>
      </c>
      <c r="CK202" s="3">
        <v>0</v>
      </c>
      <c r="CL202" s="3">
        <v>0</v>
      </c>
      <c r="CM202" s="3">
        <v>0</v>
      </c>
      <c r="CN202" s="3">
        <v>0</v>
      </c>
      <c r="CO202" s="4">
        <f t="shared" si="109"/>
        <v>0</v>
      </c>
      <c r="CP202" s="3">
        <v>0</v>
      </c>
      <c r="CQ202" s="3">
        <v>0</v>
      </c>
      <c r="CR202" s="3">
        <v>1</v>
      </c>
      <c r="CS202" s="3">
        <v>0</v>
      </c>
      <c r="CT202" s="3">
        <v>0</v>
      </c>
      <c r="CU202" s="3">
        <v>0</v>
      </c>
      <c r="CV202" s="3">
        <v>0</v>
      </c>
      <c r="CW202" s="3">
        <v>0</v>
      </c>
      <c r="CX202" s="3">
        <v>0</v>
      </c>
      <c r="CY202" s="3">
        <v>0</v>
      </c>
      <c r="CZ202" s="3">
        <v>0</v>
      </c>
      <c r="DA202" s="3">
        <v>0</v>
      </c>
      <c r="DB202" s="4">
        <f t="shared" si="110"/>
        <v>1</v>
      </c>
      <c r="DC202" s="3">
        <v>0</v>
      </c>
      <c r="DD202" s="3">
        <v>0</v>
      </c>
      <c r="DE202" s="3">
        <v>1</v>
      </c>
      <c r="DF202" s="3">
        <v>0</v>
      </c>
      <c r="DG202" s="3">
        <v>0</v>
      </c>
      <c r="DH202" s="3">
        <v>0</v>
      </c>
      <c r="DI202" s="3">
        <v>0</v>
      </c>
      <c r="DJ202" s="3">
        <v>0</v>
      </c>
      <c r="DK202" s="3">
        <v>0</v>
      </c>
      <c r="DL202" s="3">
        <v>0</v>
      </c>
      <c r="DM202" s="3">
        <v>0</v>
      </c>
      <c r="DN202" s="3">
        <v>0</v>
      </c>
      <c r="DO202" s="4">
        <f t="shared" si="111"/>
        <v>1</v>
      </c>
      <c r="DP202" s="3">
        <v>0</v>
      </c>
      <c r="DQ202" s="3">
        <v>0</v>
      </c>
      <c r="DR202" s="3">
        <v>0</v>
      </c>
      <c r="DS202" s="3">
        <v>0</v>
      </c>
      <c r="DT202" s="3">
        <v>0</v>
      </c>
      <c r="DU202" s="3">
        <v>0</v>
      </c>
      <c r="DV202" s="3">
        <v>0</v>
      </c>
      <c r="DW202" s="3">
        <v>0</v>
      </c>
      <c r="DX202" s="3">
        <v>0</v>
      </c>
      <c r="DY202" s="3">
        <v>0</v>
      </c>
      <c r="DZ202" s="3">
        <v>0</v>
      </c>
      <c r="EA202" s="3">
        <v>0</v>
      </c>
      <c r="EB202" s="4">
        <f t="shared" si="112"/>
        <v>0</v>
      </c>
      <c r="EC202" s="3">
        <v>0</v>
      </c>
      <c r="ED202" s="3">
        <v>0</v>
      </c>
      <c r="EE202" s="3">
        <v>0</v>
      </c>
      <c r="EF202" s="3">
        <v>0</v>
      </c>
      <c r="EG202" s="3">
        <v>1</v>
      </c>
      <c r="EH202" s="3">
        <v>0</v>
      </c>
      <c r="EI202" s="3">
        <v>0</v>
      </c>
      <c r="EJ202" s="3">
        <v>0</v>
      </c>
      <c r="EK202" s="3">
        <v>0</v>
      </c>
      <c r="EL202" s="3">
        <v>0</v>
      </c>
      <c r="EM202" s="3">
        <v>0</v>
      </c>
      <c r="EN202" s="3">
        <v>0</v>
      </c>
      <c r="EO202" s="4">
        <f t="shared" si="113"/>
        <v>1</v>
      </c>
      <c r="EP202" s="8">
        <f t="shared" si="114"/>
        <v>3</v>
      </c>
      <c r="EQ202" s="181">
        <f>IFERROR(VLOOKUP(I202,CEI_012018!$A$1:$U$509,9,FALSE),0)</f>
        <v>0</v>
      </c>
      <c r="ER202" s="181">
        <f>IFERROR(VLOOKUP(I202,CEI_022018!$A$1:$U$509,9,FALSE),0)</f>
        <v>0</v>
      </c>
      <c r="ES202" s="181">
        <f>IFERROR(VLOOKUP(I202,CEI_032018!$A$1:$U$509,9,FALSE),0)</f>
        <v>0</v>
      </c>
      <c r="ET202" s="181">
        <f>IFERROR(VLOOKUP(I202,CEI_042018!$A$1:$U$491,9,FALSE),0)</f>
        <v>0</v>
      </c>
      <c r="EU202" s="181">
        <f>IFERROR(VLOOKUP(I202,CEI_052018!$A$1:$U$489,9,FALSE),0)</f>
        <v>0</v>
      </c>
      <c r="EV202" s="181">
        <f>IFERROR(VLOOKUP(I202,CEI_062018!$A$1:$U$489,9,FALSE),0)</f>
        <v>0</v>
      </c>
      <c r="EW202" s="181">
        <f>IFERROR(VLOOKUP(I202,CEI_072018!$A$1:$U$489,9,FALSE),0)</f>
        <v>0</v>
      </c>
      <c r="EX202" s="181">
        <f>IFERROR(VLOOKUP(I202,CEI_082018!$A$1:$U$489,9,FALSE),0)</f>
        <v>0</v>
      </c>
      <c r="EY202" s="181">
        <f>IFERROR(VLOOKUP(I202,CEI_092018!$A$1:$U$489,9,FALSE),0)</f>
        <v>0</v>
      </c>
      <c r="EZ202" s="181"/>
      <c r="FA202" s="181"/>
      <c r="FB202" s="181"/>
      <c r="FC202" s="181">
        <f>IFERROR(VLOOKUP(I202,CEI_092018!$A$1:$U$489,12,FALSE),0)</f>
        <v>0</v>
      </c>
      <c r="FD202" s="181">
        <f t="shared" si="104"/>
        <v>0</v>
      </c>
      <c r="FE202" s="181">
        <f t="shared" si="105"/>
        <v>0</v>
      </c>
      <c r="FF202"/>
      <c r="FG202"/>
      <c r="FH202"/>
      <c r="FI202"/>
      <c r="FJ202"/>
      <c r="FK202"/>
      <c r="FL202"/>
      <c r="FM202"/>
      <c r="FN202"/>
      <c r="FO202"/>
      <c r="FP202"/>
      <c r="FQ202"/>
      <c r="FR202"/>
      <c r="FS202"/>
      <c r="FT202"/>
      <c r="FU202"/>
      <c r="FV202"/>
      <c r="FW202"/>
      <c r="FX202"/>
      <c r="FY202"/>
      <c r="FZ202"/>
      <c r="GA202"/>
      <c r="GB202"/>
      <c r="GC202"/>
    </row>
    <row r="203" spans="1:185" ht="12.75" customHeight="1" x14ac:dyDescent="0.25">
      <c r="A203" s="202"/>
      <c r="B203" s="22" t="s">
        <v>57</v>
      </c>
      <c r="C203" s="34" t="s">
        <v>44</v>
      </c>
      <c r="D203" s="22" t="s">
        <v>1059</v>
      </c>
      <c r="E203" s="25" t="s">
        <v>1065</v>
      </c>
      <c r="F203" s="25" t="s">
        <v>1059</v>
      </c>
      <c r="G203" s="25" t="s">
        <v>1065</v>
      </c>
      <c r="H203" s="22" t="s">
        <v>56</v>
      </c>
      <c r="I203" s="423" t="s">
        <v>565</v>
      </c>
      <c r="J203" s="37" t="s">
        <v>59</v>
      </c>
      <c r="K203" s="23" t="s">
        <v>391</v>
      </c>
      <c r="L203" s="23" t="s">
        <v>392</v>
      </c>
      <c r="M203" s="23" t="s">
        <v>393</v>
      </c>
      <c r="N203" s="23" t="s">
        <v>59</v>
      </c>
      <c r="O203" s="2">
        <v>0</v>
      </c>
      <c r="P203" s="2">
        <v>0</v>
      </c>
      <c r="Q203" s="2">
        <v>0</v>
      </c>
      <c r="R203" s="2">
        <v>0</v>
      </c>
      <c r="S203" s="2">
        <v>0</v>
      </c>
      <c r="T203" s="116">
        <f t="shared" si="116"/>
        <v>0</v>
      </c>
      <c r="U203" s="324">
        <v>0</v>
      </c>
      <c r="V203" s="324">
        <v>0</v>
      </c>
      <c r="W203" s="324">
        <v>0</v>
      </c>
      <c r="X203" s="324">
        <v>0</v>
      </c>
      <c r="Y203" s="324">
        <v>0</v>
      </c>
      <c r="Z203" s="324">
        <v>0</v>
      </c>
      <c r="AA203" s="324">
        <v>0</v>
      </c>
      <c r="AB203" s="324">
        <v>0</v>
      </c>
      <c r="AC203" s="324">
        <v>0</v>
      </c>
      <c r="AD203" s="324">
        <v>0</v>
      </c>
      <c r="AE203" s="324">
        <v>0</v>
      </c>
      <c r="AF203" s="324">
        <v>0</v>
      </c>
      <c r="AG203" s="140">
        <f t="shared" si="117"/>
        <v>0</v>
      </c>
      <c r="AH203" s="324">
        <v>0</v>
      </c>
      <c r="AI203" s="324">
        <v>0</v>
      </c>
      <c r="AJ203" s="324">
        <v>0</v>
      </c>
      <c r="AK203" s="324">
        <v>0</v>
      </c>
      <c r="AL203" s="324">
        <v>0</v>
      </c>
      <c r="AM203" s="324">
        <v>0</v>
      </c>
      <c r="AN203" s="324">
        <v>0</v>
      </c>
      <c r="AO203" s="324">
        <v>0</v>
      </c>
      <c r="AP203" s="324">
        <v>0</v>
      </c>
      <c r="AQ203" s="324">
        <v>0</v>
      </c>
      <c r="AR203" s="324">
        <v>0</v>
      </c>
      <c r="AS203" s="324">
        <v>0</v>
      </c>
      <c r="AT203" s="140">
        <f t="shared" si="118"/>
        <v>0</v>
      </c>
      <c r="AU203" s="324">
        <v>0</v>
      </c>
      <c r="AV203" s="324">
        <v>0</v>
      </c>
      <c r="AW203" s="324">
        <v>0</v>
      </c>
      <c r="AX203" s="324">
        <v>0</v>
      </c>
      <c r="AY203" s="324">
        <v>3000</v>
      </c>
      <c r="AZ203" s="324">
        <v>0</v>
      </c>
      <c r="BA203" s="324">
        <v>0</v>
      </c>
      <c r="BB203" s="324">
        <v>0</v>
      </c>
      <c r="BC203" s="324">
        <v>0</v>
      </c>
      <c r="BD203" s="324">
        <v>0</v>
      </c>
      <c r="BE203" s="324">
        <v>0</v>
      </c>
      <c r="BF203" s="324">
        <v>0</v>
      </c>
      <c r="BG203" s="140">
        <f t="shared" si="119"/>
        <v>3000</v>
      </c>
      <c r="BH203" s="324">
        <v>0</v>
      </c>
      <c r="BI203" s="324">
        <v>0</v>
      </c>
      <c r="BJ203" s="324">
        <v>0</v>
      </c>
      <c r="BK203" s="324">
        <v>0</v>
      </c>
      <c r="BL203" s="324">
        <v>0</v>
      </c>
      <c r="BM203" s="324">
        <v>0</v>
      </c>
      <c r="BN203" s="324">
        <v>0</v>
      </c>
      <c r="BO203" s="324">
        <v>0</v>
      </c>
      <c r="BP203" s="324">
        <v>0</v>
      </c>
      <c r="BQ203" s="324">
        <v>0</v>
      </c>
      <c r="BR203" s="324">
        <v>0</v>
      </c>
      <c r="BS203" s="324">
        <v>0</v>
      </c>
      <c r="BT203" s="140">
        <f t="shared" si="120"/>
        <v>0</v>
      </c>
      <c r="BU203" s="114">
        <f t="shared" si="121"/>
        <v>3000</v>
      </c>
      <c r="BV203" s="432"/>
      <c r="BW203" s="432"/>
      <c r="BX203" s="432"/>
      <c r="BY203" s="432"/>
      <c r="BZ203" s="433"/>
      <c r="CA203" s="434"/>
      <c r="CB203" s="7" t="s">
        <v>1681</v>
      </c>
      <c r="CC203" s="3">
        <v>0</v>
      </c>
      <c r="CD203" s="3">
        <v>0</v>
      </c>
      <c r="CE203" s="3">
        <v>0</v>
      </c>
      <c r="CF203" s="3">
        <v>0</v>
      </c>
      <c r="CG203" s="3">
        <v>0</v>
      </c>
      <c r="CH203" s="3">
        <v>0</v>
      </c>
      <c r="CI203" s="3">
        <v>0</v>
      </c>
      <c r="CJ203" s="3">
        <v>0</v>
      </c>
      <c r="CK203" s="3">
        <v>0</v>
      </c>
      <c r="CL203" s="3">
        <v>0</v>
      </c>
      <c r="CM203" s="3">
        <v>0</v>
      </c>
      <c r="CN203" s="3">
        <v>0</v>
      </c>
      <c r="CO203" s="4">
        <f t="shared" si="109"/>
        <v>0</v>
      </c>
      <c r="CP203" s="3">
        <v>0</v>
      </c>
      <c r="CQ203" s="3">
        <v>0</v>
      </c>
      <c r="CR203" s="3">
        <v>0</v>
      </c>
      <c r="CS203" s="3">
        <v>0</v>
      </c>
      <c r="CT203" s="3">
        <v>0</v>
      </c>
      <c r="CU203" s="3">
        <v>0</v>
      </c>
      <c r="CV203" s="3">
        <v>0</v>
      </c>
      <c r="CW203" s="3">
        <v>0</v>
      </c>
      <c r="CX203" s="3">
        <v>0</v>
      </c>
      <c r="CY203" s="3">
        <v>0</v>
      </c>
      <c r="CZ203" s="3">
        <v>0</v>
      </c>
      <c r="DA203" s="3">
        <v>0</v>
      </c>
      <c r="DB203" s="4">
        <f t="shared" si="110"/>
        <v>0</v>
      </c>
      <c r="DC203" s="3">
        <v>0</v>
      </c>
      <c r="DD203" s="3">
        <v>0</v>
      </c>
      <c r="DE203" s="3">
        <v>0</v>
      </c>
      <c r="DF203" s="3">
        <v>0</v>
      </c>
      <c r="DG203" s="3">
        <v>0</v>
      </c>
      <c r="DH203" s="3">
        <v>0</v>
      </c>
      <c r="DI203" s="3">
        <v>0</v>
      </c>
      <c r="DJ203" s="3">
        <v>0</v>
      </c>
      <c r="DK203" s="3">
        <v>0</v>
      </c>
      <c r="DL203" s="3">
        <v>0</v>
      </c>
      <c r="DM203" s="3">
        <v>0</v>
      </c>
      <c r="DN203" s="3">
        <v>0</v>
      </c>
      <c r="DO203" s="4">
        <f t="shared" si="111"/>
        <v>0</v>
      </c>
      <c r="DP203" s="3">
        <v>0</v>
      </c>
      <c r="DQ203" s="3">
        <v>0</v>
      </c>
      <c r="DR203" s="3">
        <v>0</v>
      </c>
      <c r="DS203" s="3">
        <v>0</v>
      </c>
      <c r="DT203" s="3">
        <v>15</v>
      </c>
      <c r="DU203" s="3">
        <v>0</v>
      </c>
      <c r="DV203" s="3">
        <v>0</v>
      </c>
      <c r="DW203" s="3">
        <v>0</v>
      </c>
      <c r="DX203" s="3">
        <v>0</v>
      </c>
      <c r="DY203" s="3">
        <v>0</v>
      </c>
      <c r="DZ203" s="3">
        <v>0</v>
      </c>
      <c r="EA203" s="3">
        <v>0</v>
      </c>
      <c r="EB203" s="4">
        <f t="shared" si="112"/>
        <v>15</v>
      </c>
      <c r="EC203" s="3">
        <v>0</v>
      </c>
      <c r="ED203" s="3">
        <v>0</v>
      </c>
      <c r="EE203" s="3">
        <v>0</v>
      </c>
      <c r="EF203" s="3">
        <v>0</v>
      </c>
      <c r="EG203" s="3">
        <v>0</v>
      </c>
      <c r="EH203" s="3">
        <v>0</v>
      </c>
      <c r="EI203" s="3">
        <v>0</v>
      </c>
      <c r="EJ203" s="3">
        <v>0</v>
      </c>
      <c r="EK203" s="3">
        <v>0</v>
      </c>
      <c r="EL203" s="3">
        <v>0</v>
      </c>
      <c r="EM203" s="3">
        <v>0</v>
      </c>
      <c r="EN203" s="3">
        <v>0</v>
      </c>
      <c r="EO203" s="4">
        <f t="shared" si="113"/>
        <v>0</v>
      </c>
      <c r="EP203" s="8">
        <f t="shared" si="114"/>
        <v>15</v>
      </c>
      <c r="EQ203" s="181">
        <f>IFERROR(VLOOKUP(I203,CEI_012018!$A$1:$U$509,9,FALSE),0)</f>
        <v>0</v>
      </c>
      <c r="ER203" s="181">
        <f>IFERROR(VLOOKUP(I203,CEI_022018!$A$1:$U$509,9,FALSE),0)</f>
        <v>0</v>
      </c>
      <c r="ES203" s="181">
        <f>IFERROR(VLOOKUP(I203,CEI_032018!$A$1:$U$509,9,FALSE),0)</f>
        <v>0</v>
      </c>
      <c r="ET203" s="181">
        <f>IFERROR(VLOOKUP(I203,CEI_042018!$A$1:$U$491,9,FALSE),0)</f>
        <v>0</v>
      </c>
      <c r="EU203" s="181">
        <f>IFERROR(VLOOKUP(I203,CEI_052018!$A$1:$U$489,9,FALSE),0)</f>
        <v>0</v>
      </c>
      <c r="EV203" s="181">
        <f>IFERROR(VLOOKUP(I203,CEI_062018!$A$1:$U$489,9,FALSE),0)</f>
        <v>0</v>
      </c>
      <c r="EW203" s="181">
        <f>IFERROR(VLOOKUP(I203,CEI_072018!$A$1:$U$489,9,FALSE),0)</f>
        <v>0</v>
      </c>
      <c r="EX203" s="181">
        <f>IFERROR(VLOOKUP(I203,CEI_082018!$A$1:$U$489,9,FALSE),0)</f>
        <v>0</v>
      </c>
      <c r="EY203" s="181">
        <f>IFERROR(VLOOKUP(I203,CEI_092018!$A$1:$U$489,9,FALSE),0)</f>
        <v>0</v>
      </c>
      <c r="EZ203" s="181"/>
      <c r="FA203" s="181"/>
      <c r="FB203" s="181"/>
      <c r="FC203" s="181">
        <f>IFERROR(VLOOKUP(I203,CEI_092018!$A$1:$U$489,12,FALSE),0)</f>
        <v>0</v>
      </c>
      <c r="FD203" s="181">
        <f t="shared" si="104"/>
        <v>0</v>
      </c>
      <c r="FE203" s="181">
        <f t="shared" si="105"/>
        <v>0</v>
      </c>
      <c r="FF203"/>
      <c r="FG203"/>
      <c r="FH203"/>
      <c r="FI203"/>
      <c r="FJ203"/>
      <c r="FK203"/>
      <c r="FL203"/>
      <c r="FM203"/>
      <c r="FN203"/>
      <c r="FO203"/>
      <c r="FP203"/>
      <c r="FQ203"/>
      <c r="FR203"/>
      <c r="FS203"/>
      <c r="FT203"/>
      <c r="FU203"/>
      <c r="FV203"/>
      <c r="FW203"/>
      <c r="FX203"/>
      <c r="FY203"/>
      <c r="FZ203"/>
      <c r="GA203"/>
      <c r="GB203"/>
      <c r="GC203"/>
    </row>
    <row r="204" spans="1:185" ht="12.75" customHeight="1" x14ac:dyDescent="0.25">
      <c r="A204" s="202"/>
      <c r="B204" s="22" t="s">
        <v>57</v>
      </c>
      <c r="C204" s="34" t="s">
        <v>44</v>
      </c>
      <c r="D204" s="22" t="s">
        <v>318</v>
      </c>
      <c r="E204" s="25" t="s">
        <v>1066</v>
      </c>
      <c r="F204" s="25" t="s">
        <v>318</v>
      </c>
      <c r="G204" s="25" t="s">
        <v>1066</v>
      </c>
      <c r="H204" s="22" t="s">
        <v>56</v>
      </c>
      <c r="I204" s="483" t="s">
        <v>565</v>
      </c>
      <c r="J204" s="255" t="s">
        <v>59</v>
      </c>
      <c r="K204" s="23" t="s">
        <v>1790</v>
      </c>
      <c r="L204" s="23" t="s">
        <v>821</v>
      </c>
      <c r="M204" s="23" t="s">
        <v>822</v>
      </c>
      <c r="N204" s="23" t="s">
        <v>1877</v>
      </c>
      <c r="O204" s="2">
        <v>0</v>
      </c>
      <c r="P204" s="2">
        <v>0</v>
      </c>
      <c r="Q204" s="2">
        <v>0</v>
      </c>
      <c r="R204" s="2">
        <v>0</v>
      </c>
      <c r="S204" s="2">
        <v>0</v>
      </c>
      <c r="T204" s="116">
        <f t="shared" si="116"/>
        <v>0</v>
      </c>
      <c r="U204" s="324">
        <v>0</v>
      </c>
      <c r="V204" s="324">
        <v>0</v>
      </c>
      <c r="W204" s="324">
        <v>0</v>
      </c>
      <c r="X204" s="324">
        <v>0</v>
      </c>
      <c r="Y204" s="324">
        <v>0</v>
      </c>
      <c r="Z204" s="324">
        <v>1500</v>
      </c>
      <c r="AA204" s="324">
        <v>0</v>
      </c>
      <c r="AB204" s="324">
        <v>0</v>
      </c>
      <c r="AC204" s="324">
        <v>0</v>
      </c>
      <c r="AD204" s="324">
        <v>0</v>
      </c>
      <c r="AE204" s="324">
        <v>0</v>
      </c>
      <c r="AF204" s="324">
        <v>0</v>
      </c>
      <c r="AG204" s="140">
        <f t="shared" si="117"/>
        <v>1500</v>
      </c>
      <c r="AH204" s="324">
        <v>0</v>
      </c>
      <c r="AI204" s="324">
        <v>0</v>
      </c>
      <c r="AJ204" s="324">
        <v>0</v>
      </c>
      <c r="AK204" s="324">
        <v>0</v>
      </c>
      <c r="AL204" s="324">
        <v>0</v>
      </c>
      <c r="AM204" s="324">
        <v>0</v>
      </c>
      <c r="AN204" s="324">
        <v>0</v>
      </c>
      <c r="AO204" s="324">
        <v>0</v>
      </c>
      <c r="AP204" s="324">
        <v>0</v>
      </c>
      <c r="AQ204" s="324">
        <v>0</v>
      </c>
      <c r="AR204" s="324">
        <v>0</v>
      </c>
      <c r="AS204" s="324">
        <v>0</v>
      </c>
      <c r="AT204" s="140">
        <f t="shared" si="118"/>
        <v>0</v>
      </c>
      <c r="AU204" s="324">
        <v>0</v>
      </c>
      <c r="AV204" s="324">
        <v>0</v>
      </c>
      <c r="AW204" s="324">
        <v>0</v>
      </c>
      <c r="AX204" s="324">
        <v>0</v>
      </c>
      <c r="AY204" s="324">
        <v>0</v>
      </c>
      <c r="AZ204" s="324">
        <v>0</v>
      </c>
      <c r="BA204" s="324">
        <v>0</v>
      </c>
      <c r="BB204" s="324">
        <v>0</v>
      </c>
      <c r="BC204" s="324">
        <v>0</v>
      </c>
      <c r="BD204" s="324">
        <v>0</v>
      </c>
      <c r="BE204" s="324">
        <v>0</v>
      </c>
      <c r="BF204" s="324">
        <v>0</v>
      </c>
      <c r="BG204" s="140">
        <f t="shared" si="119"/>
        <v>0</v>
      </c>
      <c r="BH204" s="324">
        <v>0</v>
      </c>
      <c r="BI204" s="324">
        <v>0</v>
      </c>
      <c r="BJ204" s="324">
        <v>0</v>
      </c>
      <c r="BK204" s="324">
        <v>0</v>
      </c>
      <c r="BL204" s="324">
        <v>1250</v>
      </c>
      <c r="BM204" s="324">
        <v>0</v>
      </c>
      <c r="BN204" s="324">
        <v>0</v>
      </c>
      <c r="BO204" s="324">
        <v>0</v>
      </c>
      <c r="BP204" s="324">
        <v>0</v>
      </c>
      <c r="BQ204" s="324">
        <v>0</v>
      </c>
      <c r="BR204" s="324">
        <v>0</v>
      </c>
      <c r="BS204" s="324">
        <v>0</v>
      </c>
      <c r="BT204" s="140">
        <f t="shared" si="120"/>
        <v>1250</v>
      </c>
      <c r="BU204" s="114">
        <f t="shared" si="121"/>
        <v>2750</v>
      </c>
      <c r="BV204" s="432"/>
      <c r="BW204" s="432"/>
      <c r="BX204" s="432"/>
      <c r="BY204" s="432"/>
      <c r="BZ204" s="433"/>
      <c r="CA204" s="434"/>
      <c r="CB204" s="7" t="s">
        <v>1699</v>
      </c>
      <c r="CC204" s="3">
        <v>0</v>
      </c>
      <c r="CD204" s="3">
        <v>0</v>
      </c>
      <c r="CE204" s="3">
        <v>0</v>
      </c>
      <c r="CF204" s="3">
        <v>0</v>
      </c>
      <c r="CG204" s="3">
        <v>0</v>
      </c>
      <c r="CH204" s="3">
        <v>0</v>
      </c>
      <c r="CI204" s="3">
        <v>0</v>
      </c>
      <c r="CJ204" s="3">
        <v>0</v>
      </c>
      <c r="CK204" s="3">
        <v>0</v>
      </c>
      <c r="CL204" s="3">
        <v>0</v>
      </c>
      <c r="CM204" s="3">
        <v>0</v>
      </c>
      <c r="CN204" s="3">
        <v>0</v>
      </c>
      <c r="CO204" s="4">
        <f t="shared" si="109"/>
        <v>0</v>
      </c>
      <c r="CP204" s="3">
        <v>0</v>
      </c>
      <c r="CQ204" s="3">
        <v>0</v>
      </c>
      <c r="CR204" s="3">
        <v>0</v>
      </c>
      <c r="CS204" s="3">
        <v>0</v>
      </c>
      <c r="CT204" s="3">
        <v>0</v>
      </c>
      <c r="CU204" s="3">
        <v>1</v>
      </c>
      <c r="CV204" s="3">
        <v>0</v>
      </c>
      <c r="CW204" s="3">
        <v>0</v>
      </c>
      <c r="CX204" s="3">
        <v>0</v>
      </c>
      <c r="CY204" s="3">
        <v>0</v>
      </c>
      <c r="CZ204" s="3">
        <v>0</v>
      </c>
      <c r="DA204" s="3">
        <v>0</v>
      </c>
      <c r="DB204" s="4">
        <f t="shared" si="110"/>
        <v>1</v>
      </c>
      <c r="DC204" s="3">
        <v>0</v>
      </c>
      <c r="DD204" s="3">
        <v>0</v>
      </c>
      <c r="DE204" s="3">
        <v>0</v>
      </c>
      <c r="DF204" s="3">
        <v>0</v>
      </c>
      <c r="DG204" s="3">
        <v>0</v>
      </c>
      <c r="DH204" s="3">
        <v>0</v>
      </c>
      <c r="DI204" s="3">
        <v>0</v>
      </c>
      <c r="DJ204" s="3">
        <v>0</v>
      </c>
      <c r="DK204" s="3">
        <v>0</v>
      </c>
      <c r="DL204" s="3">
        <v>0</v>
      </c>
      <c r="DM204" s="3">
        <v>0</v>
      </c>
      <c r="DN204" s="3">
        <v>0</v>
      </c>
      <c r="DO204" s="4">
        <f t="shared" si="111"/>
        <v>0</v>
      </c>
      <c r="DP204" s="3">
        <v>0</v>
      </c>
      <c r="DQ204" s="3">
        <v>0</v>
      </c>
      <c r="DR204" s="3">
        <v>0</v>
      </c>
      <c r="DS204" s="3">
        <v>0</v>
      </c>
      <c r="DT204" s="3">
        <v>0</v>
      </c>
      <c r="DU204" s="3">
        <v>0</v>
      </c>
      <c r="DV204" s="3">
        <v>0</v>
      </c>
      <c r="DW204" s="3">
        <v>0</v>
      </c>
      <c r="DX204" s="3">
        <v>0</v>
      </c>
      <c r="DY204" s="3">
        <v>0</v>
      </c>
      <c r="DZ204" s="3">
        <v>0</v>
      </c>
      <c r="EA204" s="3">
        <v>0</v>
      </c>
      <c r="EB204" s="4">
        <f t="shared" si="112"/>
        <v>0</v>
      </c>
      <c r="EC204" s="3">
        <v>0</v>
      </c>
      <c r="ED204" s="3">
        <v>0</v>
      </c>
      <c r="EE204" s="3">
        <v>0</v>
      </c>
      <c r="EF204" s="3">
        <v>0</v>
      </c>
      <c r="EG204" s="3">
        <v>1</v>
      </c>
      <c r="EH204" s="3">
        <v>0</v>
      </c>
      <c r="EI204" s="3">
        <v>0</v>
      </c>
      <c r="EJ204" s="3">
        <v>0</v>
      </c>
      <c r="EK204" s="3">
        <v>0</v>
      </c>
      <c r="EL204" s="3">
        <v>0</v>
      </c>
      <c r="EM204" s="3">
        <v>0</v>
      </c>
      <c r="EN204" s="3">
        <v>0</v>
      </c>
      <c r="EO204" s="4">
        <f t="shared" si="113"/>
        <v>1</v>
      </c>
      <c r="EP204" s="8">
        <f t="shared" si="114"/>
        <v>2</v>
      </c>
      <c r="EQ204" s="181">
        <f>IFERROR(VLOOKUP(I204,CEI_012018!$A$1:$U$509,9,FALSE),0)</f>
        <v>0</v>
      </c>
      <c r="ER204" s="181">
        <f>IFERROR(VLOOKUP(I204,CEI_022018!$A$1:$U$509,9,FALSE),0)</f>
        <v>0</v>
      </c>
      <c r="ES204" s="181">
        <f>IFERROR(VLOOKUP(I204,CEI_032018!$A$1:$U$509,9,FALSE),0)</f>
        <v>0</v>
      </c>
      <c r="ET204" s="181">
        <f>IFERROR(VLOOKUP(I204,CEI_042018!$A$1:$U$491,9,FALSE),0)</f>
        <v>0</v>
      </c>
      <c r="EU204" s="181">
        <f>IFERROR(VLOOKUP(I204,CEI_052018!$A$1:$U$489,9,FALSE),0)</f>
        <v>0</v>
      </c>
      <c r="EV204" s="181">
        <f>IFERROR(VLOOKUP(I204,CEI_062018!$A$1:$U$489,9,FALSE),0)</f>
        <v>0</v>
      </c>
      <c r="EW204" s="181">
        <f>IFERROR(VLOOKUP(I204,CEI_072018!$A$1:$U$489,9,FALSE),0)</f>
        <v>0</v>
      </c>
      <c r="EX204" s="181">
        <f>IFERROR(VLOOKUP(I204,CEI_082018!$A$1:$U$489,9,FALSE),0)</f>
        <v>0</v>
      </c>
      <c r="EY204" s="181">
        <f>IFERROR(VLOOKUP(I204,CEI_092018!$A$1:$U$489,9,FALSE),0)</f>
        <v>0</v>
      </c>
      <c r="EZ204" s="181"/>
      <c r="FA204" s="181"/>
      <c r="FB204" s="181"/>
      <c r="FC204" s="181">
        <f>IFERROR(VLOOKUP(I204,CEI_092018!$A$1:$U$489,12,FALSE),0)</f>
        <v>0</v>
      </c>
      <c r="FD204" s="181">
        <f t="shared" si="104"/>
        <v>0</v>
      </c>
      <c r="FE204" s="181">
        <f t="shared" si="105"/>
        <v>0</v>
      </c>
      <c r="FF204"/>
      <c r="FG204"/>
      <c r="FH204"/>
      <c r="FI204"/>
      <c r="FJ204"/>
      <c r="FK204"/>
      <c r="FL204"/>
      <c r="FM204"/>
      <c r="FN204"/>
      <c r="FO204"/>
      <c r="FP204"/>
      <c r="FQ204"/>
      <c r="FR204"/>
      <c r="FS204"/>
      <c r="FT204"/>
      <c r="FU204"/>
      <c r="FV204"/>
      <c r="FW204"/>
      <c r="FX204"/>
      <c r="FY204"/>
      <c r="FZ204"/>
      <c r="GA204"/>
      <c r="GB204"/>
      <c r="GC204"/>
    </row>
    <row r="205" spans="1:185" ht="12.75" customHeight="1" x14ac:dyDescent="0.25">
      <c r="A205" s="202"/>
      <c r="B205" s="22" t="s">
        <v>57</v>
      </c>
      <c r="C205" s="34" t="s">
        <v>44</v>
      </c>
      <c r="D205" s="22" t="s">
        <v>318</v>
      </c>
      <c r="E205" s="25" t="s">
        <v>1066</v>
      </c>
      <c r="F205" s="25" t="s">
        <v>318</v>
      </c>
      <c r="G205" s="25" t="s">
        <v>1066</v>
      </c>
      <c r="H205" s="22" t="s">
        <v>56</v>
      </c>
      <c r="I205" s="423" t="s">
        <v>565</v>
      </c>
      <c r="J205" s="37" t="s">
        <v>59</v>
      </c>
      <c r="K205" s="23" t="s">
        <v>1576</v>
      </c>
      <c r="L205" s="23" t="s">
        <v>837</v>
      </c>
      <c r="M205" s="23" t="s">
        <v>838</v>
      </c>
      <c r="N205" s="23" t="s">
        <v>1877</v>
      </c>
      <c r="O205" s="2">
        <v>0</v>
      </c>
      <c r="P205" s="2">
        <v>0</v>
      </c>
      <c r="Q205" s="2">
        <v>0</v>
      </c>
      <c r="R205" s="2">
        <v>0</v>
      </c>
      <c r="S205" s="2">
        <v>0</v>
      </c>
      <c r="T205" s="116">
        <f t="shared" si="116"/>
        <v>0</v>
      </c>
      <c r="U205" s="324">
        <v>0</v>
      </c>
      <c r="V205" s="324">
        <v>0</v>
      </c>
      <c r="W205" s="324">
        <v>0</v>
      </c>
      <c r="X205" s="324">
        <v>0</v>
      </c>
      <c r="Y205" s="324">
        <v>0</v>
      </c>
      <c r="Z205" s="324">
        <v>1880</v>
      </c>
      <c r="AA205" s="324">
        <v>451</v>
      </c>
      <c r="AB205" s="324">
        <v>0</v>
      </c>
      <c r="AC205" s="324">
        <v>0</v>
      </c>
      <c r="AD205" s="324">
        <v>0</v>
      </c>
      <c r="AE205" s="324">
        <v>0</v>
      </c>
      <c r="AF205" s="324">
        <v>0</v>
      </c>
      <c r="AG205" s="140">
        <f t="shared" si="117"/>
        <v>2331</v>
      </c>
      <c r="AH205" s="324">
        <v>0</v>
      </c>
      <c r="AI205" s="324">
        <v>0</v>
      </c>
      <c r="AJ205" s="324">
        <v>337</v>
      </c>
      <c r="AK205" s="324">
        <v>63</v>
      </c>
      <c r="AL205" s="324">
        <v>0</v>
      </c>
      <c r="AM205" s="324">
        <v>0</v>
      </c>
      <c r="AN205" s="324">
        <v>0</v>
      </c>
      <c r="AO205" s="324">
        <v>0</v>
      </c>
      <c r="AP205" s="324">
        <v>0</v>
      </c>
      <c r="AQ205" s="324">
        <v>0</v>
      </c>
      <c r="AR205" s="324">
        <v>0</v>
      </c>
      <c r="AS205" s="324">
        <v>0</v>
      </c>
      <c r="AT205" s="140">
        <f t="shared" si="118"/>
        <v>400</v>
      </c>
      <c r="AU205" s="324">
        <v>0</v>
      </c>
      <c r="AV205" s="324">
        <v>0</v>
      </c>
      <c r="AW205" s="324">
        <v>0</v>
      </c>
      <c r="AX205" s="324">
        <v>0</v>
      </c>
      <c r="AY205" s="324">
        <v>0</v>
      </c>
      <c r="AZ205" s="324">
        <v>0</v>
      </c>
      <c r="BA205" s="324">
        <v>0</v>
      </c>
      <c r="BB205" s="324">
        <v>0</v>
      </c>
      <c r="BC205" s="324">
        <v>0</v>
      </c>
      <c r="BD205" s="324">
        <v>0</v>
      </c>
      <c r="BE205" s="324">
        <v>0</v>
      </c>
      <c r="BF205" s="324">
        <v>0</v>
      </c>
      <c r="BG205" s="140">
        <f t="shared" si="119"/>
        <v>0</v>
      </c>
      <c r="BH205" s="324">
        <v>0</v>
      </c>
      <c r="BI205" s="324">
        <v>0</v>
      </c>
      <c r="BJ205" s="324">
        <v>0</v>
      </c>
      <c r="BK205" s="324">
        <v>0</v>
      </c>
      <c r="BL205" s="324">
        <v>0</v>
      </c>
      <c r="BM205" s="324">
        <v>0</v>
      </c>
      <c r="BN205" s="324">
        <v>0</v>
      </c>
      <c r="BO205" s="324">
        <v>0</v>
      </c>
      <c r="BP205" s="324">
        <v>0</v>
      </c>
      <c r="BQ205" s="324">
        <v>0</v>
      </c>
      <c r="BR205" s="324">
        <v>0</v>
      </c>
      <c r="BS205" s="324">
        <v>0</v>
      </c>
      <c r="BT205" s="140">
        <f t="shared" si="120"/>
        <v>0</v>
      </c>
      <c r="BU205" s="114">
        <f t="shared" si="121"/>
        <v>2731</v>
      </c>
      <c r="BV205" s="432"/>
      <c r="BW205" s="432"/>
      <c r="BX205" s="432"/>
      <c r="BY205" s="432"/>
      <c r="BZ205" s="433"/>
      <c r="CA205" s="434"/>
      <c r="CB205" s="7" t="s">
        <v>1704</v>
      </c>
      <c r="CC205" s="3">
        <v>0</v>
      </c>
      <c r="CD205" s="3">
        <v>0</v>
      </c>
      <c r="CE205" s="3">
        <v>0</v>
      </c>
      <c r="CF205" s="3">
        <v>0</v>
      </c>
      <c r="CG205" s="3">
        <v>0</v>
      </c>
      <c r="CH205" s="3">
        <v>0</v>
      </c>
      <c r="CI205" s="3">
        <v>0</v>
      </c>
      <c r="CJ205" s="3">
        <v>0</v>
      </c>
      <c r="CK205" s="3">
        <v>0</v>
      </c>
      <c r="CL205" s="3">
        <v>0</v>
      </c>
      <c r="CM205" s="3">
        <v>0</v>
      </c>
      <c r="CN205" s="3">
        <v>0</v>
      </c>
      <c r="CO205" s="4">
        <f t="shared" si="109"/>
        <v>0</v>
      </c>
      <c r="CP205" s="3">
        <v>0</v>
      </c>
      <c r="CQ205" s="3">
        <v>0</v>
      </c>
      <c r="CR205" s="3">
        <v>0</v>
      </c>
      <c r="CS205" s="3">
        <v>0</v>
      </c>
      <c r="CT205" s="3">
        <v>0</v>
      </c>
      <c r="CU205" s="3">
        <v>47</v>
      </c>
      <c r="CV205" s="3">
        <v>11.275</v>
      </c>
      <c r="CW205" s="3">
        <v>0</v>
      </c>
      <c r="CX205" s="3">
        <v>0</v>
      </c>
      <c r="CY205" s="3">
        <v>0</v>
      </c>
      <c r="CZ205" s="3">
        <v>0</v>
      </c>
      <c r="DA205" s="3">
        <v>0</v>
      </c>
      <c r="DB205" s="4">
        <f t="shared" si="110"/>
        <v>58.274999999999999</v>
      </c>
      <c r="DC205" s="3">
        <v>0</v>
      </c>
      <c r="DD205" s="3">
        <v>0</v>
      </c>
      <c r="DE205" s="3">
        <v>10</v>
      </c>
      <c r="DF205" s="3">
        <v>0</v>
      </c>
      <c r="DG205" s="3">
        <v>0</v>
      </c>
      <c r="DH205" s="3">
        <v>0</v>
      </c>
      <c r="DI205" s="3">
        <v>0</v>
      </c>
      <c r="DJ205" s="3">
        <v>0</v>
      </c>
      <c r="DK205" s="3">
        <v>0</v>
      </c>
      <c r="DL205" s="3">
        <v>0</v>
      </c>
      <c r="DM205" s="3">
        <v>0</v>
      </c>
      <c r="DN205" s="3">
        <v>0</v>
      </c>
      <c r="DO205" s="4">
        <f t="shared" si="111"/>
        <v>10</v>
      </c>
      <c r="DP205" s="3">
        <v>0</v>
      </c>
      <c r="DQ205" s="3">
        <v>0</v>
      </c>
      <c r="DR205" s="3">
        <v>0</v>
      </c>
      <c r="DS205" s="3">
        <v>0</v>
      </c>
      <c r="DT205" s="3">
        <v>0</v>
      </c>
      <c r="DU205" s="3">
        <v>0</v>
      </c>
      <c r="DV205" s="3">
        <v>0</v>
      </c>
      <c r="DW205" s="3">
        <v>0</v>
      </c>
      <c r="DX205" s="3">
        <v>0</v>
      </c>
      <c r="DY205" s="3">
        <v>0</v>
      </c>
      <c r="DZ205" s="3">
        <v>0</v>
      </c>
      <c r="EA205" s="3">
        <v>0</v>
      </c>
      <c r="EB205" s="4">
        <f t="shared" si="112"/>
        <v>0</v>
      </c>
      <c r="EC205" s="3">
        <v>0</v>
      </c>
      <c r="ED205" s="3">
        <v>0</v>
      </c>
      <c r="EE205" s="3">
        <v>0</v>
      </c>
      <c r="EF205" s="3">
        <v>0</v>
      </c>
      <c r="EG205" s="3">
        <v>0</v>
      </c>
      <c r="EH205" s="3">
        <v>0</v>
      </c>
      <c r="EI205" s="3">
        <v>0</v>
      </c>
      <c r="EJ205" s="3">
        <v>0</v>
      </c>
      <c r="EK205" s="3">
        <v>0</v>
      </c>
      <c r="EL205" s="3">
        <v>0</v>
      </c>
      <c r="EM205" s="3">
        <v>0</v>
      </c>
      <c r="EN205" s="3">
        <v>0</v>
      </c>
      <c r="EO205" s="4">
        <f t="shared" si="113"/>
        <v>0</v>
      </c>
      <c r="EP205" s="8">
        <f t="shared" si="114"/>
        <v>68.275000000000006</v>
      </c>
      <c r="EQ205" s="181">
        <f>IFERROR(VLOOKUP(I205,CEI_012018!$A$1:$U$509,9,FALSE),0)</f>
        <v>0</v>
      </c>
      <c r="ER205" s="181">
        <f>IFERROR(VLOOKUP(I205,CEI_022018!$A$1:$U$509,9,FALSE),0)</f>
        <v>0</v>
      </c>
      <c r="ES205" s="181">
        <f>IFERROR(VLOOKUP(I205,CEI_032018!$A$1:$U$509,9,FALSE),0)</f>
        <v>0</v>
      </c>
      <c r="ET205" s="181">
        <f>IFERROR(VLOOKUP(I205,CEI_042018!$A$1:$U$491,9,FALSE),0)</f>
        <v>0</v>
      </c>
      <c r="EU205" s="181">
        <f>IFERROR(VLOOKUP(I205,CEI_052018!$A$1:$U$489,9,FALSE),0)</f>
        <v>0</v>
      </c>
      <c r="EV205" s="181">
        <f>IFERROR(VLOOKUP(I205,CEI_062018!$A$1:$U$489,9,FALSE),0)</f>
        <v>0</v>
      </c>
      <c r="EW205" s="181">
        <f>IFERROR(VLOOKUP(I205,CEI_072018!$A$1:$U$489,9,FALSE),0)</f>
        <v>0</v>
      </c>
      <c r="EX205" s="181">
        <f>IFERROR(VLOOKUP(I205,CEI_082018!$A$1:$U$489,9,FALSE),0)</f>
        <v>0</v>
      </c>
      <c r="EY205" s="181">
        <f>IFERROR(VLOOKUP(I205,CEI_092018!$A$1:$U$489,9,FALSE),0)</f>
        <v>0</v>
      </c>
      <c r="EZ205" s="181"/>
      <c r="FA205" s="181"/>
      <c r="FB205" s="181"/>
      <c r="FC205" s="181">
        <f>IFERROR(VLOOKUP(I205,CEI_092018!$A$1:$U$489,12,FALSE),0)</f>
        <v>0</v>
      </c>
      <c r="FD205" s="181">
        <f t="shared" si="104"/>
        <v>0</v>
      </c>
      <c r="FE205" s="181">
        <f t="shared" si="105"/>
        <v>0</v>
      </c>
      <c r="FF205"/>
      <c r="FG205"/>
      <c r="FH205"/>
      <c r="FI205"/>
      <c r="FJ205"/>
      <c r="FK205"/>
      <c r="FL205"/>
      <c r="FM205"/>
      <c r="FN205"/>
      <c r="FO205"/>
      <c r="FP205"/>
      <c r="FQ205"/>
      <c r="FR205"/>
      <c r="FS205"/>
      <c r="FT205"/>
      <c r="FU205"/>
      <c r="FV205"/>
      <c r="FW205"/>
      <c r="FX205"/>
      <c r="FY205"/>
      <c r="FZ205"/>
      <c r="GA205"/>
      <c r="GB205"/>
      <c r="GC205"/>
    </row>
    <row r="206" spans="1:185" ht="12.75" customHeight="1" x14ac:dyDescent="0.25">
      <c r="A206" s="202"/>
      <c r="B206" s="22" t="s">
        <v>57</v>
      </c>
      <c r="C206" s="34" t="s">
        <v>44</v>
      </c>
      <c r="D206" s="22" t="s">
        <v>1058</v>
      </c>
      <c r="E206" s="25" t="s">
        <v>1062</v>
      </c>
      <c r="F206" s="25" t="s">
        <v>1058</v>
      </c>
      <c r="G206" s="25" t="s">
        <v>1062</v>
      </c>
      <c r="H206" s="22" t="s">
        <v>56</v>
      </c>
      <c r="I206" s="423" t="s">
        <v>565</v>
      </c>
      <c r="J206" s="37" t="s">
        <v>59</v>
      </c>
      <c r="K206" s="23" t="s">
        <v>362</v>
      </c>
      <c r="L206" s="23" t="s">
        <v>363</v>
      </c>
      <c r="M206" s="23" t="s">
        <v>364</v>
      </c>
      <c r="N206" s="23" t="s">
        <v>59</v>
      </c>
      <c r="O206" s="2">
        <v>0</v>
      </c>
      <c r="P206" s="2">
        <v>0</v>
      </c>
      <c r="Q206" s="2">
        <v>0</v>
      </c>
      <c r="R206" s="2">
        <v>0</v>
      </c>
      <c r="S206" s="2">
        <v>0</v>
      </c>
      <c r="T206" s="116">
        <f t="shared" si="116"/>
        <v>0</v>
      </c>
      <c r="U206" s="324">
        <v>0</v>
      </c>
      <c r="V206" s="324">
        <v>0</v>
      </c>
      <c r="W206" s="324">
        <v>0</v>
      </c>
      <c r="X206" s="324">
        <v>0</v>
      </c>
      <c r="Y206" s="324">
        <v>0</v>
      </c>
      <c r="Z206" s="324">
        <v>0</v>
      </c>
      <c r="AA206" s="324">
        <v>0</v>
      </c>
      <c r="AB206" s="324">
        <v>0</v>
      </c>
      <c r="AC206" s="324">
        <v>0</v>
      </c>
      <c r="AD206" s="324">
        <v>0</v>
      </c>
      <c r="AE206" s="324">
        <v>0</v>
      </c>
      <c r="AF206" s="324">
        <v>0</v>
      </c>
      <c r="AG206" s="140">
        <f t="shared" si="117"/>
        <v>0</v>
      </c>
      <c r="AH206" s="324">
        <v>0</v>
      </c>
      <c r="AI206" s="324">
        <v>0</v>
      </c>
      <c r="AJ206" s="324">
        <v>0</v>
      </c>
      <c r="AK206" s="324">
        <v>0</v>
      </c>
      <c r="AL206" s="324">
        <v>0</v>
      </c>
      <c r="AM206" s="324">
        <v>0</v>
      </c>
      <c r="AN206" s="324">
        <v>0</v>
      </c>
      <c r="AO206" s="324">
        <v>0</v>
      </c>
      <c r="AP206" s="324">
        <v>0</v>
      </c>
      <c r="AQ206" s="324">
        <v>0</v>
      </c>
      <c r="AR206" s="324">
        <v>0</v>
      </c>
      <c r="AS206" s="324">
        <v>0</v>
      </c>
      <c r="AT206" s="140">
        <f t="shared" si="118"/>
        <v>0</v>
      </c>
      <c r="AU206" s="324">
        <v>0</v>
      </c>
      <c r="AV206" s="324">
        <v>0</v>
      </c>
      <c r="AW206" s="324">
        <v>0</v>
      </c>
      <c r="AX206" s="324">
        <v>0</v>
      </c>
      <c r="AY206" s="324">
        <v>0</v>
      </c>
      <c r="AZ206" s="324">
        <v>0</v>
      </c>
      <c r="BA206" s="324">
        <v>0</v>
      </c>
      <c r="BB206" s="324">
        <v>0</v>
      </c>
      <c r="BC206" s="324">
        <v>0</v>
      </c>
      <c r="BD206" s="324">
        <v>0</v>
      </c>
      <c r="BE206" s="324">
        <v>0</v>
      </c>
      <c r="BF206" s="324">
        <v>0</v>
      </c>
      <c r="BG206" s="140">
        <f t="shared" si="119"/>
        <v>0</v>
      </c>
      <c r="BH206" s="324">
        <v>0</v>
      </c>
      <c r="BI206" s="324">
        <v>0</v>
      </c>
      <c r="BJ206" s="324">
        <v>0</v>
      </c>
      <c r="BK206" s="324">
        <v>0</v>
      </c>
      <c r="BL206" s="324">
        <v>0</v>
      </c>
      <c r="BM206" s="324">
        <v>0</v>
      </c>
      <c r="BN206" s="324">
        <v>0</v>
      </c>
      <c r="BO206" s="324">
        <v>0</v>
      </c>
      <c r="BP206" s="324">
        <v>0</v>
      </c>
      <c r="BQ206" s="324">
        <v>0</v>
      </c>
      <c r="BR206" s="324">
        <v>0</v>
      </c>
      <c r="BS206" s="324">
        <v>2540</v>
      </c>
      <c r="BT206" s="140">
        <f t="shared" si="120"/>
        <v>2540</v>
      </c>
      <c r="BU206" s="114">
        <f t="shared" si="121"/>
        <v>2540</v>
      </c>
      <c r="BV206" s="432"/>
      <c r="BW206" s="432"/>
      <c r="BX206" s="432"/>
      <c r="BY206" s="432"/>
      <c r="BZ206" s="433"/>
      <c r="CA206" s="434"/>
      <c r="CB206" s="7" t="s">
        <v>1681</v>
      </c>
      <c r="CC206" s="3">
        <v>0</v>
      </c>
      <c r="CD206" s="3">
        <v>0</v>
      </c>
      <c r="CE206" s="3">
        <v>0</v>
      </c>
      <c r="CF206" s="3">
        <v>0</v>
      </c>
      <c r="CG206" s="3">
        <v>0</v>
      </c>
      <c r="CH206" s="3">
        <v>0</v>
      </c>
      <c r="CI206" s="3">
        <v>0</v>
      </c>
      <c r="CJ206" s="3">
        <v>0</v>
      </c>
      <c r="CK206" s="3">
        <v>0</v>
      </c>
      <c r="CL206" s="3">
        <v>0</v>
      </c>
      <c r="CM206" s="3">
        <v>0</v>
      </c>
      <c r="CN206" s="3">
        <v>0</v>
      </c>
      <c r="CO206" s="4">
        <f t="shared" si="109"/>
        <v>0</v>
      </c>
      <c r="CP206" s="3">
        <v>0</v>
      </c>
      <c r="CQ206" s="3">
        <v>0</v>
      </c>
      <c r="CR206" s="3">
        <v>0</v>
      </c>
      <c r="CS206" s="3">
        <v>0</v>
      </c>
      <c r="CT206" s="3">
        <v>0</v>
      </c>
      <c r="CU206" s="3">
        <v>0</v>
      </c>
      <c r="CV206" s="3">
        <v>0</v>
      </c>
      <c r="CW206" s="3">
        <v>0</v>
      </c>
      <c r="CX206" s="3">
        <v>0</v>
      </c>
      <c r="CY206" s="3">
        <v>0</v>
      </c>
      <c r="CZ206" s="3">
        <v>0</v>
      </c>
      <c r="DA206" s="3">
        <v>0</v>
      </c>
      <c r="DB206" s="4">
        <f t="shared" si="110"/>
        <v>0</v>
      </c>
      <c r="DC206" s="3">
        <v>0</v>
      </c>
      <c r="DD206" s="3">
        <v>0</v>
      </c>
      <c r="DE206" s="3">
        <v>0</v>
      </c>
      <c r="DF206" s="3">
        <v>0</v>
      </c>
      <c r="DG206" s="3">
        <v>0</v>
      </c>
      <c r="DH206" s="3">
        <v>0</v>
      </c>
      <c r="DI206" s="3">
        <v>0</v>
      </c>
      <c r="DJ206" s="3">
        <v>0</v>
      </c>
      <c r="DK206" s="3">
        <v>0</v>
      </c>
      <c r="DL206" s="3">
        <v>0</v>
      </c>
      <c r="DM206" s="3">
        <v>0</v>
      </c>
      <c r="DN206" s="3">
        <v>0</v>
      </c>
      <c r="DO206" s="4">
        <f t="shared" si="111"/>
        <v>0</v>
      </c>
      <c r="DP206" s="3">
        <v>0</v>
      </c>
      <c r="DQ206" s="3">
        <v>0</v>
      </c>
      <c r="DR206" s="3">
        <v>0</v>
      </c>
      <c r="DS206" s="3">
        <v>0</v>
      </c>
      <c r="DT206" s="3">
        <v>0</v>
      </c>
      <c r="DU206" s="3">
        <v>0</v>
      </c>
      <c r="DV206" s="3">
        <v>0</v>
      </c>
      <c r="DW206" s="3">
        <v>0</v>
      </c>
      <c r="DX206" s="3">
        <v>0</v>
      </c>
      <c r="DY206" s="3">
        <v>0</v>
      </c>
      <c r="DZ206" s="3">
        <v>0</v>
      </c>
      <c r="EA206" s="3">
        <v>0</v>
      </c>
      <c r="EB206" s="4">
        <f t="shared" si="112"/>
        <v>0</v>
      </c>
      <c r="EC206" s="3">
        <v>0</v>
      </c>
      <c r="ED206" s="3">
        <v>0</v>
      </c>
      <c r="EE206" s="3">
        <v>0</v>
      </c>
      <c r="EF206" s="3">
        <v>0</v>
      </c>
      <c r="EG206" s="3">
        <v>0</v>
      </c>
      <c r="EH206" s="3">
        <v>0</v>
      </c>
      <c r="EI206" s="3">
        <v>0</v>
      </c>
      <c r="EJ206" s="3">
        <v>0</v>
      </c>
      <c r="EK206" s="3">
        <v>0</v>
      </c>
      <c r="EL206" s="3">
        <v>0</v>
      </c>
      <c r="EM206" s="3">
        <v>0</v>
      </c>
      <c r="EN206" s="3">
        <v>33.866666666666667</v>
      </c>
      <c r="EO206" s="4">
        <f t="shared" si="113"/>
        <v>33.866666666666667</v>
      </c>
      <c r="EP206" s="8">
        <f t="shared" si="114"/>
        <v>33.866666666666667</v>
      </c>
      <c r="EQ206" s="181">
        <f>IFERROR(VLOOKUP(I206,CEI_012018!$A$1:$U$509,9,FALSE),0)</f>
        <v>0</v>
      </c>
      <c r="ER206" s="181">
        <f>IFERROR(VLOOKUP(I206,CEI_022018!$A$1:$U$509,9,FALSE),0)</f>
        <v>0</v>
      </c>
      <c r="ES206" s="181">
        <f>IFERROR(VLOOKUP(I206,CEI_032018!$A$1:$U$509,9,FALSE),0)</f>
        <v>0</v>
      </c>
      <c r="ET206" s="181">
        <f>IFERROR(VLOOKUP(I206,CEI_042018!$A$1:$U$491,9,FALSE),0)</f>
        <v>0</v>
      </c>
      <c r="EU206" s="181">
        <f>IFERROR(VLOOKUP(I206,CEI_052018!$A$1:$U$489,9,FALSE),0)</f>
        <v>0</v>
      </c>
      <c r="EV206" s="181">
        <f>IFERROR(VLOOKUP(I206,CEI_062018!$A$1:$U$489,9,FALSE),0)</f>
        <v>0</v>
      </c>
      <c r="EW206" s="181">
        <f>IFERROR(VLOOKUP(I206,CEI_072018!$A$1:$U$489,9,FALSE),0)</f>
        <v>0</v>
      </c>
      <c r="EX206" s="181">
        <f>IFERROR(VLOOKUP(I206,CEI_082018!$A$1:$U$489,9,FALSE),0)</f>
        <v>0</v>
      </c>
      <c r="EY206" s="181">
        <f>IFERROR(VLOOKUP(I206,CEI_092018!$A$1:$U$489,9,FALSE),0)</f>
        <v>0</v>
      </c>
      <c r="EZ206" s="181"/>
      <c r="FA206" s="181"/>
      <c r="FB206" s="181"/>
      <c r="FC206" s="181">
        <f>IFERROR(VLOOKUP(I206,CEI_092018!$A$1:$U$489,12,FALSE),0)</f>
        <v>0</v>
      </c>
      <c r="FD206" s="181">
        <f t="shared" si="104"/>
        <v>0</v>
      </c>
      <c r="FE206" s="181">
        <f t="shared" si="105"/>
        <v>0</v>
      </c>
      <c r="FF206"/>
      <c r="FG206"/>
      <c r="FH206"/>
      <c r="FI206"/>
      <c r="FJ206"/>
      <c r="FK206"/>
      <c r="FL206"/>
      <c r="FM206"/>
      <c r="FN206"/>
      <c r="FO206"/>
      <c r="FP206"/>
      <c r="FQ206"/>
      <c r="FR206"/>
      <c r="FS206"/>
      <c r="FT206"/>
      <c r="FU206"/>
      <c r="FV206"/>
      <c r="FW206"/>
      <c r="FX206"/>
      <c r="FY206"/>
      <c r="FZ206"/>
      <c r="GA206"/>
      <c r="GB206"/>
      <c r="GC206"/>
    </row>
    <row r="207" spans="1:185" ht="12.75" customHeight="1" x14ac:dyDescent="0.25">
      <c r="A207" s="202"/>
      <c r="B207" s="22" t="s">
        <v>57</v>
      </c>
      <c r="C207" s="34" t="s">
        <v>44</v>
      </c>
      <c r="D207" s="22" t="s">
        <v>1059</v>
      </c>
      <c r="E207" s="25" t="s">
        <v>1063</v>
      </c>
      <c r="F207" s="25" t="s">
        <v>1059</v>
      </c>
      <c r="G207" s="25" t="s">
        <v>1063</v>
      </c>
      <c r="H207" s="22" t="s">
        <v>56</v>
      </c>
      <c r="I207" s="423" t="s">
        <v>565</v>
      </c>
      <c r="J207" s="37" t="s">
        <v>59</v>
      </c>
      <c r="K207" s="23" t="s">
        <v>417</v>
      </c>
      <c r="L207" s="23" t="s">
        <v>796</v>
      </c>
      <c r="M207" s="23" t="s">
        <v>797</v>
      </c>
      <c r="N207" s="23" t="s">
        <v>1864</v>
      </c>
      <c r="O207" s="2">
        <v>0</v>
      </c>
      <c r="P207" s="2">
        <v>0</v>
      </c>
      <c r="Q207" s="2">
        <v>0</v>
      </c>
      <c r="R207" s="2">
        <v>0</v>
      </c>
      <c r="S207" s="2">
        <v>0</v>
      </c>
      <c r="T207" s="116">
        <f t="shared" si="116"/>
        <v>0</v>
      </c>
      <c r="U207" s="324">
        <v>0</v>
      </c>
      <c r="V207" s="324">
        <v>0</v>
      </c>
      <c r="W207" s="324">
        <v>0</v>
      </c>
      <c r="X207" s="324">
        <v>0</v>
      </c>
      <c r="Y207" s="324">
        <v>0</v>
      </c>
      <c r="Z207" s="324">
        <v>0</v>
      </c>
      <c r="AA207" s="324">
        <v>0</v>
      </c>
      <c r="AB207" s="324">
        <v>0</v>
      </c>
      <c r="AC207" s="324">
        <v>0</v>
      </c>
      <c r="AD207" s="324">
        <v>0</v>
      </c>
      <c r="AE207" s="324">
        <v>0</v>
      </c>
      <c r="AF207" s="324">
        <v>0</v>
      </c>
      <c r="AG207" s="140">
        <f t="shared" si="117"/>
        <v>0</v>
      </c>
      <c r="AH207" s="324">
        <v>0</v>
      </c>
      <c r="AI207" s="324">
        <v>0</v>
      </c>
      <c r="AJ207" s="324">
        <v>0</v>
      </c>
      <c r="AK207" s="324">
        <v>0</v>
      </c>
      <c r="AL207" s="324">
        <v>0</v>
      </c>
      <c r="AM207" s="324">
        <v>0</v>
      </c>
      <c r="AN207" s="324">
        <v>0</v>
      </c>
      <c r="AO207" s="324">
        <v>0</v>
      </c>
      <c r="AP207" s="324">
        <v>600</v>
      </c>
      <c r="AQ207" s="324">
        <v>0</v>
      </c>
      <c r="AR207" s="324">
        <v>0</v>
      </c>
      <c r="AS207" s="324">
        <v>0</v>
      </c>
      <c r="AT207" s="140">
        <f t="shared" si="118"/>
        <v>600</v>
      </c>
      <c r="AU207" s="324">
        <v>0</v>
      </c>
      <c r="AV207" s="324">
        <v>0</v>
      </c>
      <c r="AW207" s="324">
        <v>0</v>
      </c>
      <c r="AX207" s="324">
        <v>0</v>
      </c>
      <c r="AY207" s="324">
        <v>0</v>
      </c>
      <c r="AZ207" s="324">
        <v>0</v>
      </c>
      <c r="BA207" s="324">
        <v>0</v>
      </c>
      <c r="BB207" s="324">
        <v>0</v>
      </c>
      <c r="BC207" s="324">
        <v>0</v>
      </c>
      <c r="BD207" s="324">
        <v>1200</v>
      </c>
      <c r="BE207" s="324">
        <v>0</v>
      </c>
      <c r="BF207" s="324">
        <v>0</v>
      </c>
      <c r="BG207" s="140">
        <f t="shared" si="119"/>
        <v>1200</v>
      </c>
      <c r="BH207" s="324">
        <v>0</v>
      </c>
      <c r="BI207" s="324">
        <v>0</v>
      </c>
      <c r="BJ207" s="324">
        <v>0</v>
      </c>
      <c r="BK207" s="324">
        <v>0</v>
      </c>
      <c r="BL207" s="324">
        <v>0</v>
      </c>
      <c r="BM207" s="324">
        <v>0</v>
      </c>
      <c r="BN207" s="324">
        <v>0</v>
      </c>
      <c r="BO207" s="324">
        <v>0</v>
      </c>
      <c r="BP207" s="324">
        <v>600</v>
      </c>
      <c r="BQ207" s="324">
        <v>0</v>
      </c>
      <c r="BR207" s="324">
        <v>0</v>
      </c>
      <c r="BS207" s="324">
        <v>0</v>
      </c>
      <c r="BT207" s="140">
        <f t="shared" si="120"/>
        <v>600</v>
      </c>
      <c r="BU207" s="114">
        <f t="shared" si="121"/>
        <v>2400</v>
      </c>
      <c r="BV207" s="432"/>
      <c r="BW207" s="432"/>
      <c r="BX207" s="432"/>
      <c r="BY207" s="432"/>
      <c r="BZ207" s="433"/>
      <c r="CA207" s="434"/>
      <c r="CB207" s="7" t="s">
        <v>1702</v>
      </c>
      <c r="CC207" s="3">
        <v>0</v>
      </c>
      <c r="CD207" s="3">
        <v>0</v>
      </c>
      <c r="CE207" s="3">
        <v>0</v>
      </c>
      <c r="CF207" s="3">
        <v>0</v>
      </c>
      <c r="CG207" s="3">
        <v>0</v>
      </c>
      <c r="CH207" s="3">
        <v>0</v>
      </c>
      <c r="CI207" s="3">
        <v>0</v>
      </c>
      <c r="CJ207" s="3">
        <v>0</v>
      </c>
      <c r="CK207" s="3">
        <v>0</v>
      </c>
      <c r="CL207" s="3">
        <v>0</v>
      </c>
      <c r="CM207" s="3">
        <v>0</v>
      </c>
      <c r="CN207" s="3">
        <v>0</v>
      </c>
      <c r="CO207" s="4">
        <f t="shared" si="109"/>
        <v>0</v>
      </c>
      <c r="CP207" s="3">
        <v>0</v>
      </c>
      <c r="CQ207" s="3">
        <v>0</v>
      </c>
      <c r="CR207" s="3">
        <v>0</v>
      </c>
      <c r="CS207" s="3">
        <v>0</v>
      </c>
      <c r="CT207" s="3">
        <v>0</v>
      </c>
      <c r="CU207" s="3">
        <v>0</v>
      </c>
      <c r="CV207" s="3">
        <v>0</v>
      </c>
      <c r="CW207" s="3">
        <v>0</v>
      </c>
      <c r="CX207" s="3">
        <v>0</v>
      </c>
      <c r="CY207" s="3">
        <v>0</v>
      </c>
      <c r="CZ207" s="3">
        <v>0</v>
      </c>
      <c r="DA207" s="3">
        <v>0</v>
      </c>
      <c r="DB207" s="4">
        <f t="shared" si="110"/>
        <v>0</v>
      </c>
      <c r="DC207" s="3">
        <v>0</v>
      </c>
      <c r="DD207" s="3">
        <v>0</v>
      </c>
      <c r="DE207" s="3">
        <v>0</v>
      </c>
      <c r="DF207" s="3">
        <v>0</v>
      </c>
      <c r="DG207" s="3">
        <v>0</v>
      </c>
      <c r="DH207" s="3">
        <v>0</v>
      </c>
      <c r="DI207" s="3">
        <v>0</v>
      </c>
      <c r="DJ207" s="3">
        <v>0</v>
      </c>
      <c r="DK207" s="3">
        <v>1</v>
      </c>
      <c r="DL207" s="3">
        <v>0</v>
      </c>
      <c r="DM207" s="3">
        <v>0</v>
      </c>
      <c r="DN207" s="3">
        <v>0</v>
      </c>
      <c r="DO207" s="4">
        <f t="shared" si="111"/>
        <v>1</v>
      </c>
      <c r="DP207" s="3">
        <v>0</v>
      </c>
      <c r="DQ207" s="3">
        <v>0</v>
      </c>
      <c r="DR207" s="3">
        <v>0</v>
      </c>
      <c r="DS207" s="3">
        <v>0</v>
      </c>
      <c r="DT207" s="3">
        <v>0</v>
      </c>
      <c r="DU207" s="3">
        <v>0</v>
      </c>
      <c r="DV207" s="3">
        <v>0</v>
      </c>
      <c r="DW207" s="3">
        <v>0</v>
      </c>
      <c r="DX207" s="3">
        <v>0</v>
      </c>
      <c r="DY207" s="3">
        <v>1</v>
      </c>
      <c r="DZ207" s="3">
        <v>0</v>
      </c>
      <c r="EA207" s="3">
        <v>0</v>
      </c>
      <c r="EB207" s="4">
        <f t="shared" si="112"/>
        <v>1</v>
      </c>
      <c r="EC207" s="3">
        <v>0</v>
      </c>
      <c r="ED207" s="3">
        <v>0</v>
      </c>
      <c r="EE207" s="3">
        <v>0</v>
      </c>
      <c r="EF207" s="3">
        <v>0</v>
      </c>
      <c r="EG207" s="3">
        <v>0</v>
      </c>
      <c r="EH207" s="3">
        <v>0</v>
      </c>
      <c r="EI207" s="3">
        <v>0</v>
      </c>
      <c r="EJ207" s="3">
        <v>0</v>
      </c>
      <c r="EK207" s="3">
        <v>1</v>
      </c>
      <c r="EL207" s="3">
        <v>0</v>
      </c>
      <c r="EM207" s="3">
        <v>0</v>
      </c>
      <c r="EN207" s="3">
        <v>0</v>
      </c>
      <c r="EO207" s="4">
        <f t="shared" si="113"/>
        <v>1</v>
      </c>
      <c r="EP207" s="8">
        <f t="shared" si="114"/>
        <v>3</v>
      </c>
      <c r="EQ207" s="181">
        <f>IFERROR(VLOOKUP(I207,CEI_012018!$A$1:$U$509,9,FALSE),0)</f>
        <v>0</v>
      </c>
      <c r="ER207" s="181">
        <f>IFERROR(VLOOKUP(I207,CEI_022018!$A$1:$U$509,9,FALSE),0)</f>
        <v>0</v>
      </c>
      <c r="ES207" s="181">
        <f>IFERROR(VLOOKUP(I207,CEI_032018!$A$1:$U$509,9,FALSE),0)</f>
        <v>0</v>
      </c>
      <c r="ET207" s="181">
        <f>IFERROR(VLOOKUP(I207,CEI_042018!$A$1:$U$491,9,FALSE),0)</f>
        <v>0</v>
      </c>
      <c r="EU207" s="181">
        <f>IFERROR(VLOOKUP(I207,CEI_052018!$A$1:$U$489,9,FALSE),0)</f>
        <v>0</v>
      </c>
      <c r="EV207" s="181">
        <f>IFERROR(VLOOKUP(I207,CEI_062018!$A$1:$U$489,9,FALSE),0)</f>
        <v>0</v>
      </c>
      <c r="EW207" s="181">
        <f>IFERROR(VLOOKUP(I207,CEI_072018!$A$1:$U$489,9,FALSE),0)</f>
        <v>0</v>
      </c>
      <c r="EX207" s="181">
        <f>IFERROR(VLOOKUP(I207,CEI_082018!$A$1:$U$489,9,FALSE),0)</f>
        <v>0</v>
      </c>
      <c r="EY207" s="181">
        <f>IFERROR(VLOOKUP(I207,CEI_092018!$A$1:$U$489,9,FALSE),0)</f>
        <v>0</v>
      </c>
      <c r="EZ207" s="181"/>
      <c r="FA207" s="181"/>
      <c r="FB207" s="181"/>
      <c r="FC207" s="181">
        <f>IFERROR(VLOOKUP(I207,CEI_092018!$A$1:$U$489,12,FALSE),0)</f>
        <v>0</v>
      </c>
      <c r="FD207" s="181">
        <f t="shared" si="104"/>
        <v>0</v>
      </c>
      <c r="FE207" s="181">
        <f t="shared" si="105"/>
        <v>0</v>
      </c>
      <c r="FF207"/>
      <c r="FG207"/>
      <c r="FH207"/>
      <c r="FI207"/>
      <c r="FJ207"/>
      <c r="FK207"/>
      <c r="FL207"/>
      <c r="FM207"/>
      <c r="FN207"/>
      <c r="FO207"/>
      <c r="FP207"/>
      <c r="FQ207"/>
      <c r="FR207"/>
      <c r="FS207"/>
      <c r="FT207"/>
      <c r="FU207"/>
      <c r="FV207"/>
      <c r="FW207"/>
      <c r="FX207"/>
      <c r="FY207"/>
      <c r="FZ207"/>
      <c r="GA207"/>
      <c r="GB207"/>
      <c r="GC207"/>
    </row>
    <row r="208" spans="1:185" ht="12.75" customHeight="1" x14ac:dyDescent="0.25">
      <c r="A208" s="202"/>
      <c r="B208" s="22" t="s">
        <v>57</v>
      </c>
      <c r="C208" s="34" t="s">
        <v>44</v>
      </c>
      <c r="D208" s="22" t="s">
        <v>318</v>
      </c>
      <c r="E208" s="25" t="s">
        <v>1066</v>
      </c>
      <c r="F208" s="25" t="s">
        <v>318</v>
      </c>
      <c r="G208" s="25" t="s">
        <v>1066</v>
      </c>
      <c r="H208" s="22" t="s">
        <v>56</v>
      </c>
      <c r="I208" s="483" t="s">
        <v>1336</v>
      </c>
      <c r="J208" s="255" t="s">
        <v>1337</v>
      </c>
      <c r="K208" s="23" t="s">
        <v>823</v>
      </c>
      <c r="L208" s="23" t="s">
        <v>824</v>
      </c>
      <c r="M208" s="23" t="s">
        <v>825</v>
      </c>
      <c r="N208" s="23" t="s">
        <v>1877</v>
      </c>
      <c r="O208" s="2">
        <v>0</v>
      </c>
      <c r="P208" s="2">
        <v>0</v>
      </c>
      <c r="Q208" s="2">
        <v>0</v>
      </c>
      <c r="R208" s="2">
        <v>0</v>
      </c>
      <c r="S208" s="2">
        <v>0</v>
      </c>
      <c r="T208" s="116">
        <f t="shared" si="116"/>
        <v>0</v>
      </c>
      <c r="U208" s="324">
        <v>0</v>
      </c>
      <c r="V208" s="324">
        <v>0</v>
      </c>
      <c r="W208" s="324">
        <v>1115</v>
      </c>
      <c r="X208" s="324">
        <v>268</v>
      </c>
      <c r="Y208" s="324">
        <v>0</v>
      </c>
      <c r="Z208" s="324">
        <v>0</v>
      </c>
      <c r="AA208" s="324">
        <v>0</v>
      </c>
      <c r="AB208" s="324">
        <v>0</v>
      </c>
      <c r="AC208" s="324">
        <v>0</v>
      </c>
      <c r="AD208" s="324">
        <v>0</v>
      </c>
      <c r="AE208" s="324">
        <v>0</v>
      </c>
      <c r="AF208" s="324">
        <v>0</v>
      </c>
      <c r="AG208" s="140">
        <f t="shared" si="117"/>
        <v>1383</v>
      </c>
      <c r="AH208" s="324">
        <v>0</v>
      </c>
      <c r="AI208" s="324">
        <v>847</v>
      </c>
      <c r="AJ208" s="324">
        <v>159</v>
      </c>
      <c r="AK208" s="324">
        <v>0</v>
      </c>
      <c r="AL208" s="324">
        <v>0</v>
      </c>
      <c r="AM208" s="324">
        <v>0</v>
      </c>
      <c r="AN208" s="324">
        <v>0</v>
      </c>
      <c r="AO208" s="324">
        <v>0</v>
      </c>
      <c r="AP208" s="324">
        <v>0</v>
      </c>
      <c r="AQ208" s="324">
        <v>0</v>
      </c>
      <c r="AR208" s="324">
        <v>0</v>
      </c>
      <c r="AS208" s="324">
        <v>0</v>
      </c>
      <c r="AT208" s="140">
        <f t="shared" si="118"/>
        <v>1006</v>
      </c>
      <c r="AU208" s="324">
        <v>0</v>
      </c>
      <c r="AV208" s="324">
        <v>0</v>
      </c>
      <c r="AW208" s="324">
        <v>0</v>
      </c>
      <c r="AX208" s="324">
        <v>0</v>
      </c>
      <c r="AY208" s="324">
        <v>0</v>
      </c>
      <c r="AZ208" s="324">
        <v>0</v>
      </c>
      <c r="BA208" s="324">
        <v>0</v>
      </c>
      <c r="BB208" s="324">
        <v>0</v>
      </c>
      <c r="BC208" s="324">
        <v>0</v>
      </c>
      <c r="BD208" s="324">
        <v>0</v>
      </c>
      <c r="BE208" s="324">
        <v>0</v>
      </c>
      <c r="BF208" s="324">
        <v>0</v>
      </c>
      <c r="BG208" s="140">
        <f t="shared" si="119"/>
        <v>0</v>
      </c>
      <c r="BH208" s="324">
        <v>0</v>
      </c>
      <c r="BI208" s="324">
        <v>0</v>
      </c>
      <c r="BJ208" s="324">
        <v>0</v>
      </c>
      <c r="BK208" s="324">
        <v>0</v>
      </c>
      <c r="BL208" s="324">
        <v>0</v>
      </c>
      <c r="BM208" s="324">
        <v>0</v>
      </c>
      <c r="BN208" s="324">
        <v>0</v>
      </c>
      <c r="BO208" s="324">
        <v>0</v>
      </c>
      <c r="BP208" s="324">
        <v>0</v>
      </c>
      <c r="BQ208" s="324">
        <v>0</v>
      </c>
      <c r="BR208" s="324">
        <v>0</v>
      </c>
      <c r="BS208" s="324">
        <v>0</v>
      </c>
      <c r="BT208" s="140">
        <f t="shared" si="120"/>
        <v>0</v>
      </c>
      <c r="BU208" s="114">
        <f t="shared" si="121"/>
        <v>2389</v>
      </c>
      <c r="BV208" s="432"/>
      <c r="BW208" s="432"/>
      <c r="BX208" s="432"/>
      <c r="BY208" s="432"/>
      <c r="BZ208" s="436">
        <f t="shared" ref="BZ208:BZ211" si="122">IFERROR((EX208/T208%),0)</f>
        <v>0</v>
      </c>
      <c r="CA208" s="434"/>
      <c r="CB208" s="7" t="s">
        <v>1699</v>
      </c>
      <c r="CC208" s="3">
        <v>0</v>
      </c>
      <c r="CD208" s="3">
        <v>0</v>
      </c>
      <c r="CE208" s="3">
        <v>0</v>
      </c>
      <c r="CF208" s="3">
        <v>0</v>
      </c>
      <c r="CG208" s="3">
        <v>0</v>
      </c>
      <c r="CH208" s="3">
        <v>0</v>
      </c>
      <c r="CI208" s="3">
        <v>0</v>
      </c>
      <c r="CJ208" s="3">
        <v>0</v>
      </c>
      <c r="CK208" s="3">
        <v>0</v>
      </c>
      <c r="CL208" s="3">
        <v>0</v>
      </c>
      <c r="CM208" s="3">
        <v>0</v>
      </c>
      <c r="CN208" s="3">
        <v>0</v>
      </c>
      <c r="CO208" s="4">
        <f t="shared" si="109"/>
        <v>0</v>
      </c>
      <c r="CP208" s="3">
        <v>0</v>
      </c>
      <c r="CQ208" s="3">
        <v>0</v>
      </c>
      <c r="CR208" s="3">
        <v>1</v>
      </c>
      <c r="CS208" s="3">
        <v>0</v>
      </c>
      <c r="CT208" s="3">
        <v>0</v>
      </c>
      <c r="CU208" s="3">
        <v>0</v>
      </c>
      <c r="CV208" s="3">
        <v>0</v>
      </c>
      <c r="CW208" s="3">
        <v>0</v>
      </c>
      <c r="CX208" s="3">
        <v>0</v>
      </c>
      <c r="CY208" s="3">
        <v>0</v>
      </c>
      <c r="CZ208" s="3">
        <v>0</v>
      </c>
      <c r="DA208" s="3">
        <v>0</v>
      </c>
      <c r="DB208" s="4">
        <f t="shared" si="110"/>
        <v>1</v>
      </c>
      <c r="DC208" s="3">
        <v>0</v>
      </c>
      <c r="DD208" s="3">
        <v>0</v>
      </c>
      <c r="DE208" s="3">
        <v>1</v>
      </c>
      <c r="DF208" s="3">
        <v>0</v>
      </c>
      <c r="DG208" s="3">
        <v>0</v>
      </c>
      <c r="DH208" s="3">
        <v>0</v>
      </c>
      <c r="DI208" s="3">
        <v>0</v>
      </c>
      <c r="DJ208" s="3">
        <v>0</v>
      </c>
      <c r="DK208" s="3">
        <v>0</v>
      </c>
      <c r="DL208" s="3">
        <v>0</v>
      </c>
      <c r="DM208" s="3">
        <v>0</v>
      </c>
      <c r="DN208" s="3">
        <v>0</v>
      </c>
      <c r="DO208" s="4">
        <f t="shared" si="111"/>
        <v>1</v>
      </c>
      <c r="DP208" s="3">
        <v>0</v>
      </c>
      <c r="DQ208" s="3">
        <v>0</v>
      </c>
      <c r="DR208" s="3">
        <v>0</v>
      </c>
      <c r="DS208" s="3">
        <v>0</v>
      </c>
      <c r="DT208" s="3">
        <v>0</v>
      </c>
      <c r="DU208" s="3">
        <v>0</v>
      </c>
      <c r="DV208" s="3">
        <v>0</v>
      </c>
      <c r="DW208" s="3">
        <v>0</v>
      </c>
      <c r="DX208" s="3">
        <v>0</v>
      </c>
      <c r="DY208" s="3">
        <v>0</v>
      </c>
      <c r="DZ208" s="3">
        <v>0</v>
      </c>
      <c r="EA208" s="3">
        <v>0</v>
      </c>
      <c r="EB208" s="4">
        <f t="shared" si="112"/>
        <v>0</v>
      </c>
      <c r="EC208" s="3">
        <v>0</v>
      </c>
      <c r="ED208" s="3">
        <v>0</v>
      </c>
      <c r="EE208" s="3">
        <v>0</v>
      </c>
      <c r="EF208" s="3">
        <v>0</v>
      </c>
      <c r="EG208" s="3">
        <v>0</v>
      </c>
      <c r="EH208" s="3">
        <v>0</v>
      </c>
      <c r="EI208" s="3">
        <v>0</v>
      </c>
      <c r="EJ208" s="3">
        <v>0</v>
      </c>
      <c r="EK208" s="3">
        <v>0</v>
      </c>
      <c r="EL208" s="3">
        <v>0</v>
      </c>
      <c r="EM208" s="3">
        <v>0</v>
      </c>
      <c r="EN208" s="3">
        <v>0</v>
      </c>
      <c r="EO208" s="4">
        <f t="shared" si="113"/>
        <v>0</v>
      </c>
      <c r="EP208" s="8">
        <f t="shared" si="114"/>
        <v>2</v>
      </c>
      <c r="EQ208" s="181">
        <f>IFERROR(VLOOKUP(I208,CEI_012018!$A$1:$U$509,9,FALSE),0)</f>
        <v>0</v>
      </c>
      <c r="ER208" s="181">
        <f>IFERROR(VLOOKUP(I208,CEI_022018!$A$1:$U$509,9,FALSE),0)</f>
        <v>0</v>
      </c>
      <c r="ES208" s="181">
        <f>IFERROR(VLOOKUP(I208,CEI_032018!$A$1:$U$509,9,FALSE),0)</f>
        <v>0</v>
      </c>
      <c r="ET208" s="181">
        <f>IFERROR(VLOOKUP(I208,CEI_042018!$A$1:$U$491,9,FALSE),0)</f>
        <v>0</v>
      </c>
      <c r="EU208" s="181">
        <f>IFERROR(VLOOKUP(I208,CEI_052018!$A$1:$U$489,9,FALSE),0)</f>
        <v>0</v>
      </c>
      <c r="EV208" s="181">
        <f>IFERROR(VLOOKUP(I208,CEI_062018!$A$1:$U$489,9,FALSE),0)</f>
        <v>0</v>
      </c>
      <c r="EW208" s="181">
        <f>IFERROR(VLOOKUP(I208,CEI_072018!$A$1:$U$489,9,FALSE),0)</f>
        <v>0</v>
      </c>
      <c r="EX208" s="181">
        <f>IFERROR(VLOOKUP(I208,CEI_082018!$A$1:$U$489,9,FALSE),0)</f>
        <v>0</v>
      </c>
      <c r="EY208" s="181">
        <f>IFERROR(VLOOKUP(I208,CEI_092018!$A$1:$U$489,9,FALSE),0)</f>
        <v>0</v>
      </c>
      <c r="EZ208" s="181"/>
      <c r="FA208" s="181"/>
      <c r="FB208" s="181"/>
      <c r="FC208" s="181">
        <f>IFERROR(VLOOKUP(I208,CEI_092018!$A$1:$U$489,12,FALSE),0)</f>
        <v>0</v>
      </c>
      <c r="FD208" s="181">
        <f t="shared" ref="FD208:FD239" si="123">EW208+FC208</f>
        <v>0</v>
      </c>
      <c r="FE208" s="181">
        <f t="shared" ref="FE208:FE239" si="124">SUM(T208-FD208)</f>
        <v>0</v>
      </c>
      <c r="FF208"/>
      <c r="FG208"/>
      <c r="FH208"/>
      <c r="FI208"/>
      <c r="FJ208"/>
      <c r="FK208"/>
      <c r="FL208"/>
      <c r="FM208"/>
      <c r="FN208"/>
      <c r="FO208"/>
      <c r="FP208"/>
      <c r="FQ208"/>
      <c r="FR208"/>
      <c r="FS208"/>
      <c r="FT208"/>
      <c r="FU208"/>
      <c r="FV208"/>
      <c r="FW208"/>
      <c r="FX208"/>
      <c r="FY208"/>
      <c r="FZ208"/>
      <c r="GA208"/>
      <c r="GB208"/>
      <c r="GC208"/>
    </row>
    <row r="209" spans="1:185" ht="12.75" customHeight="1" x14ac:dyDescent="0.25">
      <c r="A209" s="202"/>
      <c r="B209" s="22" t="s">
        <v>57</v>
      </c>
      <c r="C209" s="34" t="s">
        <v>44</v>
      </c>
      <c r="D209" s="22" t="s">
        <v>318</v>
      </c>
      <c r="E209" s="25" t="s">
        <v>1066</v>
      </c>
      <c r="F209" s="25" t="s">
        <v>318</v>
      </c>
      <c r="G209" s="25" t="s">
        <v>1066</v>
      </c>
      <c r="H209" s="22" t="s">
        <v>56</v>
      </c>
      <c r="I209" s="483" t="s">
        <v>1164</v>
      </c>
      <c r="J209" s="255" t="s">
        <v>1165</v>
      </c>
      <c r="K209" s="23" t="s">
        <v>1166</v>
      </c>
      <c r="L209" s="23"/>
      <c r="M209" s="23"/>
      <c r="N209" s="23" t="s">
        <v>1877</v>
      </c>
      <c r="O209" s="2">
        <v>0</v>
      </c>
      <c r="P209" s="2">
        <v>1080</v>
      </c>
      <c r="Q209" s="2">
        <v>145</v>
      </c>
      <c r="R209" s="2">
        <v>0</v>
      </c>
      <c r="S209" s="2">
        <v>0</v>
      </c>
      <c r="T209" s="116">
        <f t="shared" si="116"/>
        <v>1225</v>
      </c>
      <c r="U209" s="324">
        <v>0</v>
      </c>
      <c r="V209" s="324">
        <v>0</v>
      </c>
      <c r="W209" s="324">
        <v>0</v>
      </c>
      <c r="X209" s="324">
        <v>0</v>
      </c>
      <c r="Y209" s="324">
        <v>0</v>
      </c>
      <c r="Z209" s="324">
        <v>0</v>
      </c>
      <c r="AA209" s="324">
        <v>0</v>
      </c>
      <c r="AB209" s="324">
        <v>0</v>
      </c>
      <c r="AC209" s="324">
        <v>0</v>
      </c>
      <c r="AD209" s="324">
        <v>0</v>
      </c>
      <c r="AE209" s="324">
        <v>0</v>
      </c>
      <c r="AF209" s="324">
        <v>0</v>
      </c>
      <c r="AG209" s="140">
        <f t="shared" si="117"/>
        <v>0</v>
      </c>
      <c r="AH209" s="324">
        <v>0</v>
      </c>
      <c r="AI209" s="324">
        <v>0</v>
      </c>
      <c r="AJ209" s="324">
        <v>0</v>
      </c>
      <c r="AK209" s="324">
        <v>0</v>
      </c>
      <c r="AL209" s="324">
        <v>0</v>
      </c>
      <c r="AM209" s="324">
        <v>0</v>
      </c>
      <c r="AN209" s="324">
        <v>0</v>
      </c>
      <c r="AO209" s="324">
        <v>0</v>
      </c>
      <c r="AP209" s="324">
        <v>0</v>
      </c>
      <c r="AQ209" s="324">
        <v>0</v>
      </c>
      <c r="AR209" s="324">
        <v>0</v>
      </c>
      <c r="AS209" s="324">
        <v>0</v>
      </c>
      <c r="AT209" s="140">
        <f t="shared" si="118"/>
        <v>0</v>
      </c>
      <c r="AU209" s="324">
        <v>0</v>
      </c>
      <c r="AV209" s="324">
        <v>0</v>
      </c>
      <c r="AW209" s="324">
        <v>0</v>
      </c>
      <c r="AX209" s="324">
        <v>0</v>
      </c>
      <c r="AY209" s="324">
        <v>0</v>
      </c>
      <c r="AZ209" s="324">
        <v>1150</v>
      </c>
      <c r="BA209" s="324">
        <v>0</v>
      </c>
      <c r="BB209" s="324">
        <v>0</v>
      </c>
      <c r="BC209" s="324">
        <v>0</v>
      </c>
      <c r="BD209" s="324">
        <v>0</v>
      </c>
      <c r="BE209" s="324">
        <v>0</v>
      </c>
      <c r="BF209" s="324">
        <v>0</v>
      </c>
      <c r="BG209" s="140">
        <f t="shared" si="119"/>
        <v>1150</v>
      </c>
      <c r="BH209" s="324">
        <v>0</v>
      </c>
      <c r="BI209" s="324">
        <v>0</v>
      </c>
      <c r="BJ209" s="324">
        <v>0</v>
      </c>
      <c r="BK209" s="324">
        <v>0</v>
      </c>
      <c r="BL209" s="324">
        <v>0</v>
      </c>
      <c r="BM209" s="324">
        <v>0</v>
      </c>
      <c r="BN209" s="324">
        <v>0</v>
      </c>
      <c r="BO209" s="324">
        <v>0</v>
      </c>
      <c r="BP209" s="324">
        <v>0</v>
      </c>
      <c r="BQ209" s="324">
        <v>0</v>
      </c>
      <c r="BR209" s="324">
        <v>0</v>
      </c>
      <c r="BS209" s="324">
        <v>0</v>
      </c>
      <c r="BT209" s="140">
        <f t="shared" si="120"/>
        <v>0</v>
      </c>
      <c r="BU209" s="114">
        <f t="shared" si="121"/>
        <v>2375</v>
      </c>
      <c r="BV209" s="372">
        <v>1</v>
      </c>
      <c r="BW209" s="372">
        <v>1</v>
      </c>
      <c r="BX209" s="372">
        <v>1</v>
      </c>
      <c r="BY209" s="372">
        <v>1</v>
      </c>
      <c r="BZ209" s="436">
        <f t="shared" si="122"/>
        <v>0</v>
      </c>
      <c r="CA209" s="428">
        <f>IFERROR((FD209/T209%),0)</f>
        <v>79.105341697225768</v>
      </c>
      <c r="CB209" s="7" t="s">
        <v>1681</v>
      </c>
      <c r="CC209" s="3">
        <v>0</v>
      </c>
      <c r="CD209" s="3">
        <v>0</v>
      </c>
      <c r="CE209" s="3">
        <v>0</v>
      </c>
      <c r="CF209" s="3">
        <v>0</v>
      </c>
      <c r="CG209" s="3">
        <v>0</v>
      </c>
      <c r="CH209" s="3">
        <v>0</v>
      </c>
      <c r="CI209" s="3">
        <v>0</v>
      </c>
      <c r="CJ209" s="3">
        <v>0</v>
      </c>
      <c r="CK209" s="3">
        <v>12</v>
      </c>
      <c r="CL209" s="3">
        <v>0</v>
      </c>
      <c r="CM209" s="3">
        <v>0</v>
      </c>
      <c r="CN209" s="3">
        <v>0</v>
      </c>
      <c r="CO209" s="4">
        <f t="shared" si="109"/>
        <v>12</v>
      </c>
      <c r="CP209" s="3">
        <v>0</v>
      </c>
      <c r="CQ209" s="3">
        <v>0</v>
      </c>
      <c r="CR209" s="3">
        <v>0</v>
      </c>
      <c r="CS209" s="3">
        <v>0</v>
      </c>
      <c r="CT209" s="3">
        <v>0</v>
      </c>
      <c r="CU209" s="3">
        <v>0</v>
      </c>
      <c r="CV209" s="3">
        <v>0</v>
      </c>
      <c r="CW209" s="3">
        <v>0</v>
      </c>
      <c r="CX209" s="3">
        <v>0</v>
      </c>
      <c r="CY209" s="3">
        <v>0</v>
      </c>
      <c r="CZ209" s="3">
        <v>0</v>
      </c>
      <c r="DA209" s="3">
        <v>0</v>
      </c>
      <c r="DB209" s="4">
        <f t="shared" si="110"/>
        <v>0</v>
      </c>
      <c r="DC209" s="3">
        <v>0</v>
      </c>
      <c r="DD209" s="3">
        <v>0</v>
      </c>
      <c r="DE209" s="3">
        <v>0</v>
      </c>
      <c r="DF209" s="3">
        <v>0</v>
      </c>
      <c r="DG209" s="3">
        <v>0</v>
      </c>
      <c r="DH209" s="3">
        <v>0</v>
      </c>
      <c r="DI209" s="3">
        <v>0</v>
      </c>
      <c r="DJ209" s="3">
        <v>0</v>
      </c>
      <c r="DK209" s="3">
        <v>0</v>
      </c>
      <c r="DL209" s="3">
        <v>0</v>
      </c>
      <c r="DM209" s="3">
        <v>0</v>
      </c>
      <c r="DN209" s="3">
        <v>0</v>
      </c>
      <c r="DO209" s="4">
        <f t="shared" si="111"/>
        <v>0</v>
      </c>
      <c r="DP209" s="3">
        <v>0</v>
      </c>
      <c r="DQ209" s="3">
        <v>0</v>
      </c>
      <c r="DR209" s="3">
        <v>0</v>
      </c>
      <c r="DS209" s="3">
        <v>0</v>
      </c>
      <c r="DT209" s="3">
        <v>0</v>
      </c>
      <c r="DU209" s="3">
        <v>12</v>
      </c>
      <c r="DV209" s="3">
        <v>0</v>
      </c>
      <c r="DW209" s="3">
        <v>0</v>
      </c>
      <c r="DX209" s="3">
        <v>0</v>
      </c>
      <c r="DY209" s="3">
        <v>0</v>
      </c>
      <c r="DZ209" s="3">
        <v>0</v>
      </c>
      <c r="EA209" s="3">
        <v>0</v>
      </c>
      <c r="EB209" s="4">
        <f t="shared" si="112"/>
        <v>12</v>
      </c>
      <c r="EC209" s="3">
        <v>0</v>
      </c>
      <c r="ED209" s="3">
        <v>0</v>
      </c>
      <c r="EE209" s="3">
        <v>0</v>
      </c>
      <c r="EF209" s="3">
        <v>0</v>
      </c>
      <c r="EG209" s="3">
        <v>0</v>
      </c>
      <c r="EH209" s="3">
        <v>0</v>
      </c>
      <c r="EI209" s="3">
        <v>0</v>
      </c>
      <c r="EJ209" s="3">
        <v>0</v>
      </c>
      <c r="EK209" s="3">
        <v>0</v>
      </c>
      <c r="EL209" s="3">
        <v>0</v>
      </c>
      <c r="EM209" s="3">
        <v>0</v>
      </c>
      <c r="EN209" s="3">
        <v>0</v>
      </c>
      <c r="EO209" s="4">
        <f t="shared" si="113"/>
        <v>0</v>
      </c>
      <c r="EP209" s="8">
        <f t="shared" si="114"/>
        <v>24</v>
      </c>
      <c r="EQ209" s="181">
        <f>IFERROR(VLOOKUP(I209,CEI_012018!$A$1:$U$509,9,FALSE),0)</f>
        <v>0</v>
      </c>
      <c r="ER209" s="181">
        <f>IFERROR(VLOOKUP(I209,CEI_022018!$A$1:$U$509,9,FALSE),0)</f>
        <v>0</v>
      </c>
      <c r="ES209" s="181">
        <f>IFERROR(VLOOKUP(I209,CEI_032018!$A$1:$U$509,9,FALSE),0)</f>
        <v>0</v>
      </c>
      <c r="ET209" s="181">
        <f>IFERROR(VLOOKUP(I209,CEI_042018!$A$1:$U$491,9,FALSE),0)</f>
        <v>0</v>
      </c>
      <c r="EU209" s="181">
        <f>IFERROR(VLOOKUP(I209,CEI_052018!$A$1:$U$489,9,FALSE),0)</f>
        <v>0</v>
      </c>
      <c r="EV209" s="181">
        <f>IFERROR(VLOOKUP(I209,CEI_062018!$A$1:$U$489,9,FALSE),0)</f>
        <v>0</v>
      </c>
      <c r="EW209" s="181">
        <f>IFERROR(VLOOKUP(I209,CEI_072018!$A$1:$U$489,9,FALSE),0)</f>
        <v>0</v>
      </c>
      <c r="EX209" s="181">
        <f>IFERROR(VLOOKUP(I209,CEI_082018!$A$1:$U$489,9,FALSE),0)</f>
        <v>0</v>
      </c>
      <c r="EY209" s="181">
        <f>IFERROR(VLOOKUP(I209,CEI_092018!$A$1:$U$489,9,FALSE),0)</f>
        <v>0</v>
      </c>
      <c r="EZ209" s="181"/>
      <c r="FA209" s="181"/>
      <c r="FB209" s="181"/>
      <c r="FC209" s="181">
        <f>IFERROR(VLOOKUP(I209,CEI_092018!$A$1:$U$489,12,FALSE),0)</f>
        <v>969.04043579101562</v>
      </c>
      <c r="FD209" s="181">
        <f t="shared" si="123"/>
        <v>969.04043579101562</v>
      </c>
      <c r="FE209" s="181">
        <f t="shared" si="124"/>
        <v>255.95956420898437</v>
      </c>
      <c r="FF209"/>
      <c r="FG209"/>
      <c r="FH209"/>
      <c r="FI209"/>
      <c r="FJ209"/>
      <c r="FK209"/>
      <c r="FL209"/>
      <c r="FM209"/>
      <c r="FN209"/>
      <c r="FO209"/>
      <c r="FP209"/>
      <c r="FQ209"/>
      <c r="FR209"/>
      <c r="FS209"/>
      <c r="FT209"/>
      <c r="FU209"/>
      <c r="FV209"/>
      <c r="FW209"/>
      <c r="FX209"/>
      <c r="FY209"/>
      <c r="FZ209"/>
      <c r="GA209"/>
      <c r="GB209"/>
      <c r="GC209"/>
    </row>
    <row r="210" spans="1:185" ht="12.75" customHeight="1" x14ac:dyDescent="0.25">
      <c r="A210" s="202"/>
      <c r="B210" s="22" t="s">
        <v>57</v>
      </c>
      <c r="C210" s="34" t="s">
        <v>44</v>
      </c>
      <c r="D210" s="22" t="s">
        <v>318</v>
      </c>
      <c r="E210" s="25" t="s">
        <v>1066</v>
      </c>
      <c r="F210" s="25" t="s">
        <v>318</v>
      </c>
      <c r="G210" s="25" t="s">
        <v>1066</v>
      </c>
      <c r="H210" s="22" t="s">
        <v>56</v>
      </c>
      <c r="I210" s="483" t="s">
        <v>1465</v>
      </c>
      <c r="J210" s="255" t="s">
        <v>1467</v>
      </c>
      <c r="K210" s="23" t="s">
        <v>831</v>
      </c>
      <c r="L210" s="23" t="s">
        <v>832</v>
      </c>
      <c r="M210" s="23" t="s">
        <v>833</v>
      </c>
      <c r="N210" s="23" t="s">
        <v>1877</v>
      </c>
      <c r="O210" s="2">
        <v>232.37596130371094</v>
      </c>
      <c r="P210" s="2">
        <v>0</v>
      </c>
      <c r="Q210" s="2">
        <v>0</v>
      </c>
      <c r="R210" s="2">
        <v>0</v>
      </c>
      <c r="S210" s="2">
        <v>12.624050000000011</v>
      </c>
      <c r="T210" s="116">
        <f t="shared" si="116"/>
        <v>245.00001130371095</v>
      </c>
      <c r="U210" s="324">
        <v>0</v>
      </c>
      <c r="V210" s="324">
        <v>0</v>
      </c>
      <c r="W210" s="324">
        <v>0</v>
      </c>
      <c r="X210" s="324">
        <v>0</v>
      </c>
      <c r="Y210" s="324">
        <v>0</v>
      </c>
      <c r="Z210" s="324">
        <v>0</v>
      </c>
      <c r="AA210" s="324">
        <v>0</v>
      </c>
      <c r="AB210" s="324">
        <v>0</v>
      </c>
      <c r="AC210" s="324">
        <v>935</v>
      </c>
      <c r="AD210" s="324">
        <v>0</v>
      </c>
      <c r="AE210" s="324">
        <v>0</v>
      </c>
      <c r="AF210" s="324">
        <v>0</v>
      </c>
      <c r="AG210" s="140">
        <f t="shared" si="117"/>
        <v>935</v>
      </c>
      <c r="AH210" s="324">
        <v>0</v>
      </c>
      <c r="AI210" s="324">
        <v>0</v>
      </c>
      <c r="AJ210" s="324">
        <v>0</v>
      </c>
      <c r="AK210" s="324">
        <v>0</v>
      </c>
      <c r="AL210" s="324">
        <v>0</v>
      </c>
      <c r="AM210" s="324">
        <v>0</v>
      </c>
      <c r="AN210" s="324">
        <v>0</v>
      </c>
      <c r="AO210" s="324">
        <v>0</v>
      </c>
      <c r="AP210" s="324">
        <v>0</v>
      </c>
      <c r="AQ210" s="324">
        <v>0</v>
      </c>
      <c r="AR210" s="324">
        <v>0</v>
      </c>
      <c r="AS210" s="324">
        <v>0</v>
      </c>
      <c r="AT210" s="140">
        <f t="shared" si="118"/>
        <v>0</v>
      </c>
      <c r="AU210" s="324">
        <v>0</v>
      </c>
      <c r="AV210" s="324">
        <v>0</v>
      </c>
      <c r="AW210" s="324">
        <v>0</v>
      </c>
      <c r="AX210" s="324">
        <v>0</v>
      </c>
      <c r="AY210" s="324">
        <v>1105</v>
      </c>
      <c r="AZ210" s="324">
        <v>0</v>
      </c>
      <c r="BA210" s="324">
        <v>0</v>
      </c>
      <c r="BB210" s="324">
        <v>0</v>
      </c>
      <c r="BC210" s="324">
        <v>0</v>
      </c>
      <c r="BD210" s="324">
        <v>0</v>
      </c>
      <c r="BE210" s="324">
        <v>0</v>
      </c>
      <c r="BF210" s="324">
        <v>0</v>
      </c>
      <c r="BG210" s="140">
        <f t="shared" si="119"/>
        <v>1105</v>
      </c>
      <c r="BH210" s="324">
        <v>0</v>
      </c>
      <c r="BI210" s="324">
        <v>0</v>
      </c>
      <c r="BJ210" s="324">
        <v>0</v>
      </c>
      <c r="BK210" s="324">
        <v>0</v>
      </c>
      <c r="BL210" s="324">
        <v>0</v>
      </c>
      <c r="BM210" s="324">
        <v>0</v>
      </c>
      <c r="BN210" s="324">
        <v>0</v>
      </c>
      <c r="BO210" s="324">
        <v>0</v>
      </c>
      <c r="BP210" s="324">
        <v>0</v>
      </c>
      <c r="BQ210" s="324">
        <v>0</v>
      </c>
      <c r="BR210" s="324">
        <v>0</v>
      </c>
      <c r="BS210" s="324">
        <v>0</v>
      </c>
      <c r="BT210" s="140">
        <f t="shared" si="120"/>
        <v>0</v>
      </c>
      <c r="BU210" s="114">
        <f t="shared" si="121"/>
        <v>2285.0000113037108</v>
      </c>
      <c r="BV210" s="372">
        <v>1</v>
      </c>
      <c r="BW210" s="372">
        <v>1</v>
      </c>
      <c r="BX210" s="372">
        <v>1</v>
      </c>
      <c r="BY210" s="372">
        <v>1</v>
      </c>
      <c r="BZ210" s="436">
        <f t="shared" si="122"/>
        <v>94.847326768344189</v>
      </c>
      <c r="CA210" s="428">
        <f>IFERROR((FD210/T210%),0)</f>
        <v>94.847326768344189</v>
      </c>
      <c r="CB210" s="7" t="s">
        <v>1681</v>
      </c>
      <c r="CC210" s="3">
        <v>0</v>
      </c>
      <c r="CD210" s="3">
        <v>0</v>
      </c>
      <c r="CE210" s="3">
        <v>0</v>
      </c>
      <c r="CF210" s="3">
        <v>0</v>
      </c>
      <c r="CG210" s="3">
        <v>0</v>
      </c>
      <c r="CH210" s="3">
        <v>0</v>
      </c>
      <c r="CI210" s="3">
        <v>0</v>
      </c>
      <c r="CJ210" s="3">
        <v>1</v>
      </c>
      <c r="CK210" s="3">
        <v>0</v>
      </c>
      <c r="CL210" s="3">
        <v>0</v>
      </c>
      <c r="CM210" s="3">
        <v>0</v>
      </c>
      <c r="CN210" s="3">
        <v>0</v>
      </c>
      <c r="CO210" s="4">
        <f t="shared" si="109"/>
        <v>1</v>
      </c>
      <c r="CP210" s="3">
        <v>0</v>
      </c>
      <c r="CQ210" s="3">
        <v>0</v>
      </c>
      <c r="CR210" s="3">
        <v>0</v>
      </c>
      <c r="CS210" s="3">
        <v>0</v>
      </c>
      <c r="CT210" s="3">
        <v>0</v>
      </c>
      <c r="CU210" s="3">
        <v>0</v>
      </c>
      <c r="CV210" s="3">
        <v>0</v>
      </c>
      <c r="CW210" s="3">
        <v>0</v>
      </c>
      <c r="CX210" s="3">
        <v>1</v>
      </c>
      <c r="CY210" s="3">
        <v>0</v>
      </c>
      <c r="CZ210" s="3">
        <v>0</v>
      </c>
      <c r="DA210" s="3">
        <v>0</v>
      </c>
      <c r="DB210" s="4">
        <f t="shared" si="110"/>
        <v>1</v>
      </c>
      <c r="DC210" s="3">
        <v>0</v>
      </c>
      <c r="DD210" s="3">
        <v>0</v>
      </c>
      <c r="DE210" s="3">
        <v>0</v>
      </c>
      <c r="DF210" s="3">
        <v>0</v>
      </c>
      <c r="DG210" s="3">
        <v>0</v>
      </c>
      <c r="DH210" s="3">
        <v>0</v>
      </c>
      <c r="DI210" s="3">
        <v>0</v>
      </c>
      <c r="DJ210" s="3">
        <v>0</v>
      </c>
      <c r="DK210" s="3">
        <v>0</v>
      </c>
      <c r="DL210" s="3">
        <v>0</v>
      </c>
      <c r="DM210" s="3">
        <v>0</v>
      </c>
      <c r="DN210" s="3">
        <v>0</v>
      </c>
      <c r="DO210" s="4">
        <f t="shared" si="111"/>
        <v>0</v>
      </c>
      <c r="DP210" s="3">
        <v>0</v>
      </c>
      <c r="DQ210" s="3">
        <v>0</v>
      </c>
      <c r="DR210" s="3">
        <v>0</v>
      </c>
      <c r="DS210" s="3">
        <v>0</v>
      </c>
      <c r="DT210" s="3">
        <v>1</v>
      </c>
      <c r="DU210" s="3">
        <v>0</v>
      </c>
      <c r="DV210" s="3">
        <v>0</v>
      </c>
      <c r="DW210" s="3">
        <v>0</v>
      </c>
      <c r="DX210" s="3">
        <v>0</v>
      </c>
      <c r="DY210" s="3">
        <v>0</v>
      </c>
      <c r="DZ210" s="3">
        <v>0</v>
      </c>
      <c r="EA210" s="3">
        <v>0</v>
      </c>
      <c r="EB210" s="4">
        <f t="shared" si="112"/>
        <v>1</v>
      </c>
      <c r="EC210" s="3">
        <v>0</v>
      </c>
      <c r="ED210" s="3">
        <v>0</v>
      </c>
      <c r="EE210" s="3">
        <v>0</v>
      </c>
      <c r="EF210" s="3">
        <v>0</v>
      </c>
      <c r="EG210" s="3">
        <v>0</v>
      </c>
      <c r="EH210" s="3">
        <v>0</v>
      </c>
      <c r="EI210" s="3">
        <v>0</v>
      </c>
      <c r="EJ210" s="3">
        <v>0</v>
      </c>
      <c r="EK210" s="3">
        <v>0</v>
      </c>
      <c r="EL210" s="3">
        <v>0</v>
      </c>
      <c r="EM210" s="3">
        <v>0</v>
      </c>
      <c r="EN210" s="3">
        <v>0</v>
      </c>
      <c r="EO210" s="4">
        <f t="shared" si="113"/>
        <v>0</v>
      </c>
      <c r="EP210" s="8">
        <f t="shared" si="114"/>
        <v>3</v>
      </c>
      <c r="EQ210" s="181">
        <f>IFERROR(VLOOKUP(I210,CEI_012018!$A$1:$U$509,9,FALSE),0)</f>
        <v>0</v>
      </c>
      <c r="ER210" s="181">
        <f>IFERROR(VLOOKUP(I210,CEI_022018!$A$1:$U$509,9,FALSE),0)</f>
        <v>0</v>
      </c>
      <c r="ES210" s="181">
        <f>IFERROR(VLOOKUP(I210,CEI_032018!$A$1:$U$509,9,FALSE),0)</f>
        <v>0</v>
      </c>
      <c r="ET210" s="181">
        <f>IFERROR(VLOOKUP(I210,CEI_042018!$A$1:$U$491,9,FALSE),0)</f>
        <v>0</v>
      </c>
      <c r="EU210" s="181">
        <f>IFERROR(VLOOKUP(I210,CEI_052018!$A$1:$U$489,9,FALSE),0)</f>
        <v>0</v>
      </c>
      <c r="EV210" s="181">
        <f>IFERROR(VLOOKUP(I210,CEI_062018!$A$1:$U$489,9,FALSE),0)</f>
        <v>0</v>
      </c>
      <c r="EW210" s="181">
        <f>IFERROR(VLOOKUP(I210,CEI_072018!$A$1:$U$489,9,FALSE),0)</f>
        <v>232.37596130371094</v>
      </c>
      <c r="EX210" s="181">
        <f>IFERROR(VLOOKUP(I210,CEI_082018!$A$1:$U$489,9,FALSE),0)</f>
        <v>232.37596130371094</v>
      </c>
      <c r="EY210" s="181">
        <f>IFERROR(VLOOKUP(I210,CEI_092018!$A$1:$U$489,9,FALSE),0)</f>
        <v>232.37596130371094</v>
      </c>
      <c r="EZ210" s="181"/>
      <c r="FA210" s="181"/>
      <c r="FB210" s="181"/>
      <c r="FC210" s="181">
        <f>IFERROR(VLOOKUP(I210,CEI_092018!$A$1:$U$489,12,FALSE),0)</f>
        <v>0</v>
      </c>
      <c r="FD210" s="181">
        <f t="shared" si="123"/>
        <v>232.37596130371094</v>
      </c>
      <c r="FE210" s="181">
        <f t="shared" si="124"/>
        <v>12.624050000000011</v>
      </c>
      <c r="FF210"/>
      <c r="FG210"/>
      <c r="FH210"/>
      <c r="FI210"/>
      <c r="FJ210"/>
      <c r="FK210"/>
      <c r="FL210"/>
      <c r="FM210"/>
      <c r="FN210"/>
      <c r="FO210"/>
      <c r="FP210"/>
      <c r="FQ210"/>
      <c r="FR210"/>
      <c r="FS210"/>
      <c r="FT210"/>
      <c r="FU210"/>
      <c r="FV210"/>
      <c r="FW210"/>
      <c r="FX210"/>
      <c r="FY210"/>
      <c r="FZ210"/>
      <c r="GA210"/>
      <c r="GB210"/>
      <c r="GC210"/>
    </row>
    <row r="211" spans="1:185" ht="12.75" customHeight="1" x14ac:dyDescent="0.25">
      <c r="A211" s="202"/>
      <c r="B211" s="22" t="s">
        <v>57</v>
      </c>
      <c r="C211" s="34" t="s">
        <v>44</v>
      </c>
      <c r="D211" s="22" t="s">
        <v>318</v>
      </c>
      <c r="E211" s="25" t="s">
        <v>1066</v>
      </c>
      <c r="F211" s="25" t="s">
        <v>318</v>
      </c>
      <c r="G211" s="25" t="s">
        <v>1066</v>
      </c>
      <c r="H211" s="22" t="s">
        <v>56</v>
      </c>
      <c r="I211" s="483" t="s">
        <v>1167</v>
      </c>
      <c r="J211" s="255" t="s">
        <v>1168</v>
      </c>
      <c r="K211" s="23" t="s">
        <v>1169</v>
      </c>
      <c r="L211" s="23" t="s">
        <v>1170</v>
      </c>
      <c r="M211" s="23" t="s">
        <v>1028</v>
      </c>
      <c r="N211" s="23" t="s">
        <v>1877</v>
      </c>
      <c r="O211" s="2">
        <v>1236.459716796875</v>
      </c>
      <c r="P211" s="2">
        <v>0</v>
      </c>
      <c r="Q211" s="2">
        <v>0</v>
      </c>
      <c r="R211" s="2">
        <v>0</v>
      </c>
      <c r="S211" s="2">
        <v>0</v>
      </c>
      <c r="T211" s="116">
        <f t="shared" si="116"/>
        <v>1236.459716796875</v>
      </c>
      <c r="U211" s="324">
        <v>0</v>
      </c>
      <c r="V211" s="324">
        <v>0</v>
      </c>
      <c r="W211" s="324">
        <v>0</v>
      </c>
      <c r="X211" s="324">
        <v>0</v>
      </c>
      <c r="Y211" s="324">
        <v>0</v>
      </c>
      <c r="Z211" s="324">
        <v>0</v>
      </c>
      <c r="AA211" s="324">
        <v>0</v>
      </c>
      <c r="AB211" s="324">
        <v>0</v>
      </c>
      <c r="AC211" s="324">
        <v>0</v>
      </c>
      <c r="AD211" s="324">
        <v>0</v>
      </c>
      <c r="AE211" s="324">
        <v>0</v>
      </c>
      <c r="AF211" s="324">
        <v>0</v>
      </c>
      <c r="AG211" s="140">
        <f t="shared" si="117"/>
        <v>0</v>
      </c>
      <c r="AH211" s="324">
        <v>0</v>
      </c>
      <c r="AI211" s="324">
        <v>0</v>
      </c>
      <c r="AJ211" s="324">
        <v>0</v>
      </c>
      <c r="AK211" s="324">
        <v>0</v>
      </c>
      <c r="AL211" s="324">
        <v>0</v>
      </c>
      <c r="AM211" s="324">
        <v>0</v>
      </c>
      <c r="AN211" s="324">
        <v>0</v>
      </c>
      <c r="AO211" s="324">
        <v>0</v>
      </c>
      <c r="AP211" s="324">
        <v>0</v>
      </c>
      <c r="AQ211" s="324">
        <v>0</v>
      </c>
      <c r="AR211" s="324">
        <v>0</v>
      </c>
      <c r="AS211" s="324">
        <v>0</v>
      </c>
      <c r="AT211" s="140">
        <f t="shared" si="118"/>
        <v>0</v>
      </c>
      <c r="AU211" s="324">
        <v>0</v>
      </c>
      <c r="AV211" s="324">
        <v>0</v>
      </c>
      <c r="AW211" s="324">
        <v>0</v>
      </c>
      <c r="AX211" s="324">
        <v>0</v>
      </c>
      <c r="AY211" s="324">
        <v>0</v>
      </c>
      <c r="AZ211" s="324">
        <v>1000</v>
      </c>
      <c r="BA211" s="324">
        <v>0</v>
      </c>
      <c r="BB211" s="324">
        <v>0</v>
      </c>
      <c r="BC211" s="324">
        <v>0</v>
      </c>
      <c r="BD211" s="324">
        <v>0</v>
      </c>
      <c r="BE211" s="324">
        <v>0</v>
      </c>
      <c r="BF211" s="324">
        <v>0</v>
      </c>
      <c r="BG211" s="140">
        <f t="shared" si="119"/>
        <v>1000</v>
      </c>
      <c r="BH211" s="324">
        <v>0</v>
      </c>
      <c r="BI211" s="324">
        <v>0</v>
      </c>
      <c r="BJ211" s="324">
        <v>0</v>
      </c>
      <c r="BK211" s="324">
        <v>0</v>
      </c>
      <c r="BL211" s="324">
        <v>0</v>
      </c>
      <c r="BM211" s="324">
        <v>0</v>
      </c>
      <c r="BN211" s="324">
        <v>0</v>
      </c>
      <c r="BO211" s="324">
        <v>0</v>
      </c>
      <c r="BP211" s="324">
        <v>0</v>
      </c>
      <c r="BQ211" s="324">
        <v>0</v>
      </c>
      <c r="BR211" s="324">
        <v>0</v>
      </c>
      <c r="BS211" s="324">
        <v>0</v>
      </c>
      <c r="BT211" s="140">
        <f t="shared" si="120"/>
        <v>0</v>
      </c>
      <c r="BU211" s="114">
        <f t="shared" si="121"/>
        <v>2236.459716796875</v>
      </c>
      <c r="BV211" s="372">
        <v>1</v>
      </c>
      <c r="BW211" s="372">
        <v>1</v>
      </c>
      <c r="BX211" s="372">
        <v>1</v>
      </c>
      <c r="BY211" s="372">
        <v>1</v>
      </c>
      <c r="BZ211" s="436">
        <f t="shared" si="122"/>
        <v>100</v>
      </c>
      <c r="CA211" s="428">
        <f>IFERROR((FD211/T211%),0)</f>
        <v>100</v>
      </c>
      <c r="CB211" s="7" t="s">
        <v>1702</v>
      </c>
      <c r="CC211" s="3">
        <v>0</v>
      </c>
      <c r="CD211" s="3">
        <v>0</v>
      </c>
      <c r="CE211" s="3">
        <v>0</v>
      </c>
      <c r="CF211" s="3">
        <v>4</v>
      </c>
      <c r="CG211" s="3">
        <v>0</v>
      </c>
      <c r="CH211" s="3">
        <v>0</v>
      </c>
      <c r="CI211" s="3">
        <v>0</v>
      </c>
      <c r="CJ211" s="3">
        <v>0</v>
      </c>
      <c r="CK211" s="3">
        <v>0</v>
      </c>
      <c r="CL211" s="3">
        <v>0</v>
      </c>
      <c r="CM211" s="3">
        <v>0</v>
      </c>
      <c r="CN211" s="3">
        <v>0</v>
      </c>
      <c r="CO211" s="4">
        <f t="shared" si="109"/>
        <v>4</v>
      </c>
      <c r="CP211" s="3">
        <v>0</v>
      </c>
      <c r="CQ211" s="3">
        <v>0</v>
      </c>
      <c r="CR211" s="3">
        <v>0</v>
      </c>
      <c r="CS211" s="3">
        <v>0</v>
      </c>
      <c r="CT211" s="3">
        <v>0</v>
      </c>
      <c r="CU211" s="3">
        <v>0</v>
      </c>
      <c r="CV211" s="3">
        <v>0</v>
      </c>
      <c r="CW211" s="3">
        <v>0</v>
      </c>
      <c r="CX211" s="3">
        <v>0</v>
      </c>
      <c r="CY211" s="3">
        <v>0</v>
      </c>
      <c r="CZ211" s="3">
        <v>0</v>
      </c>
      <c r="DA211" s="3">
        <v>0</v>
      </c>
      <c r="DB211" s="4">
        <f t="shared" si="110"/>
        <v>0</v>
      </c>
      <c r="DC211" s="3">
        <v>0</v>
      </c>
      <c r="DD211" s="3">
        <v>0</v>
      </c>
      <c r="DE211" s="3">
        <v>0</v>
      </c>
      <c r="DF211" s="3">
        <v>0</v>
      </c>
      <c r="DG211" s="3">
        <v>0</v>
      </c>
      <c r="DH211" s="3">
        <v>0</v>
      </c>
      <c r="DI211" s="3">
        <v>0</v>
      </c>
      <c r="DJ211" s="3">
        <v>0</v>
      </c>
      <c r="DK211" s="3">
        <v>0</v>
      </c>
      <c r="DL211" s="3">
        <v>0</v>
      </c>
      <c r="DM211" s="3">
        <v>0</v>
      </c>
      <c r="DN211" s="3">
        <v>0</v>
      </c>
      <c r="DO211" s="4">
        <f t="shared" si="111"/>
        <v>0</v>
      </c>
      <c r="DP211" s="3">
        <v>0</v>
      </c>
      <c r="DQ211" s="3">
        <v>0</v>
      </c>
      <c r="DR211" s="3">
        <v>0</v>
      </c>
      <c r="DS211" s="3">
        <v>0</v>
      </c>
      <c r="DT211" s="3">
        <v>0</v>
      </c>
      <c r="DU211" s="3">
        <v>4</v>
      </c>
      <c r="DV211" s="3">
        <v>0</v>
      </c>
      <c r="DW211" s="3">
        <v>0</v>
      </c>
      <c r="DX211" s="3">
        <v>0</v>
      </c>
      <c r="DY211" s="3">
        <v>0</v>
      </c>
      <c r="DZ211" s="3">
        <v>0</v>
      </c>
      <c r="EA211" s="3">
        <v>0</v>
      </c>
      <c r="EB211" s="4">
        <f t="shared" si="112"/>
        <v>4</v>
      </c>
      <c r="EC211" s="3">
        <v>0</v>
      </c>
      <c r="ED211" s="3">
        <v>0</v>
      </c>
      <c r="EE211" s="3">
        <v>0</v>
      </c>
      <c r="EF211" s="3">
        <v>0</v>
      </c>
      <c r="EG211" s="3">
        <v>0</v>
      </c>
      <c r="EH211" s="3">
        <v>0</v>
      </c>
      <c r="EI211" s="3">
        <v>0</v>
      </c>
      <c r="EJ211" s="3">
        <v>0</v>
      </c>
      <c r="EK211" s="3">
        <v>0</v>
      </c>
      <c r="EL211" s="3">
        <v>0</v>
      </c>
      <c r="EM211" s="3">
        <v>0</v>
      </c>
      <c r="EN211" s="3">
        <v>0</v>
      </c>
      <c r="EO211" s="4">
        <f t="shared" si="113"/>
        <v>0</v>
      </c>
      <c r="EP211" s="8">
        <f t="shared" si="114"/>
        <v>8</v>
      </c>
      <c r="EQ211" s="181">
        <f>IFERROR(VLOOKUP(I211,CEI_012018!$A$1:$U$509,9,FALSE),0)</f>
        <v>0</v>
      </c>
      <c r="ER211" s="181">
        <f>IFERROR(VLOOKUP(I211,CEI_022018!$A$1:$U$509,9,FALSE),0)</f>
        <v>0</v>
      </c>
      <c r="ES211" s="181">
        <f>IFERROR(VLOOKUP(I211,CEI_032018!$A$1:$U$509,9,FALSE),0)</f>
        <v>0</v>
      </c>
      <c r="ET211" s="181">
        <f>IFERROR(VLOOKUP(I211,CEI_042018!$A$1:$U$491,9,FALSE),0)</f>
        <v>1236.459716796875</v>
      </c>
      <c r="EU211" s="181">
        <f>IFERROR(VLOOKUP(I211,CEI_052018!$A$1:$U$489,9,FALSE),0)</f>
        <v>1236.459716796875</v>
      </c>
      <c r="EV211" s="181">
        <f>IFERROR(VLOOKUP(I211,CEI_062018!$A$1:$U$489,9,FALSE),0)</f>
        <v>1236.459716796875</v>
      </c>
      <c r="EW211" s="181">
        <f>IFERROR(VLOOKUP(I211,CEI_072018!$A$1:$U$489,9,FALSE),0)</f>
        <v>1236.459716796875</v>
      </c>
      <c r="EX211" s="181">
        <f>IFERROR(VLOOKUP(I211,CEI_082018!$A$1:$U$489,9,FALSE),0)</f>
        <v>1236.459716796875</v>
      </c>
      <c r="EY211" s="181">
        <f>IFERROR(VLOOKUP(I211,CEI_092018!$A$1:$U$489,9,FALSE),0)</f>
        <v>1236.459716796875</v>
      </c>
      <c r="EZ211" s="181"/>
      <c r="FA211" s="181"/>
      <c r="FB211" s="181"/>
      <c r="FC211" s="181">
        <f>IFERROR(VLOOKUP(I211,CEI_092018!$A$1:$U$489,12,FALSE),0)</f>
        <v>0</v>
      </c>
      <c r="FD211" s="181">
        <f t="shared" si="123"/>
        <v>1236.459716796875</v>
      </c>
      <c r="FE211" s="181">
        <f t="shared" si="124"/>
        <v>0</v>
      </c>
      <c r="FF211"/>
      <c r="FG211"/>
      <c r="FH211"/>
      <c r="FI211"/>
      <c r="FJ211"/>
      <c r="FK211"/>
      <c r="FL211"/>
      <c r="FM211"/>
      <c r="FN211"/>
      <c r="FO211"/>
      <c r="FP211"/>
      <c r="FQ211"/>
      <c r="FR211"/>
      <c r="FS211"/>
      <c r="FT211"/>
      <c r="FU211"/>
      <c r="FV211"/>
      <c r="FW211"/>
      <c r="FX211"/>
      <c r="FY211"/>
      <c r="FZ211"/>
      <c r="GA211"/>
      <c r="GB211"/>
      <c r="GC211"/>
    </row>
    <row r="212" spans="1:185" ht="12.75" customHeight="1" x14ac:dyDescent="0.25">
      <c r="A212" s="202"/>
      <c r="B212" s="22" t="s">
        <v>57</v>
      </c>
      <c r="C212" s="34" t="s">
        <v>44</v>
      </c>
      <c r="D212" s="22" t="s">
        <v>1059</v>
      </c>
      <c r="E212" s="25" t="s">
        <v>1063</v>
      </c>
      <c r="F212" s="25" t="s">
        <v>1059</v>
      </c>
      <c r="G212" s="25" t="s">
        <v>1063</v>
      </c>
      <c r="H212" s="22" t="s">
        <v>56</v>
      </c>
      <c r="I212" s="423" t="s">
        <v>565</v>
      </c>
      <c r="J212" s="37" t="s">
        <v>59</v>
      </c>
      <c r="K212" s="23" t="s">
        <v>907</v>
      </c>
      <c r="L212" s="23" t="s">
        <v>385</v>
      </c>
      <c r="M212" s="23" t="s">
        <v>386</v>
      </c>
      <c r="N212" s="23" t="s">
        <v>1874</v>
      </c>
      <c r="O212" s="2">
        <v>0</v>
      </c>
      <c r="P212" s="2">
        <v>0</v>
      </c>
      <c r="Q212" s="2">
        <v>0</v>
      </c>
      <c r="R212" s="2">
        <v>0</v>
      </c>
      <c r="S212" s="2">
        <v>0</v>
      </c>
      <c r="T212" s="116">
        <f t="shared" si="116"/>
        <v>0</v>
      </c>
      <c r="U212" s="324">
        <v>0</v>
      </c>
      <c r="V212" s="324">
        <v>0</v>
      </c>
      <c r="W212" s="324">
        <v>0</v>
      </c>
      <c r="X212" s="324">
        <v>0</v>
      </c>
      <c r="Y212" s="324">
        <v>0</v>
      </c>
      <c r="Z212" s="324">
        <v>0</v>
      </c>
      <c r="AA212" s="324">
        <v>0</v>
      </c>
      <c r="AB212" s="324">
        <v>0</v>
      </c>
      <c r="AC212" s="324">
        <v>0</v>
      </c>
      <c r="AD212" s="324">
        <v>0</v>
      </c>
      <c r="AE212" s="324">
        <v>0</v>
      </c>
      <c r="AF212" s="324">
        <v>0</v>
      </c>
      <c r="AG212" s="140">
        <f t="shared" si="117"/>
        <v>0</v>
      </c>
      <c r="AH212" s="324">
        <v>0</v>
      </c>
      <c r="AI212" s="324">
        <v>2200</v>
      </c>
      <c r="AJ212" s="324">
        <v>0</v>
      </c>
      <c r="AK212" s="324">
        <v>0</v>
      </c>
      <c r="AL212" s="324">
        <v>0</v>
      </c>
      <c r="AM212" s="324">
        <v>0</v>
      </c>
      <c r="AN212" s="324">
        <v>0</v>
      </c>
      <c r="AO212" s="324">
        <v>0</v>
      </c>
      <c r="AP212" s="324">
        <v>0</v>
      </c>
      <c r="AQ212" s="324">
        <v>0</v>
      </c>
      <c r="AR212" s="324">
        <v>0</v>
      </c>
      <c r="AS212" s="324">
        <v>0</v>
      </c>
      <c r="AT212" s="140">
        <f t="shared" si="118"/>
        <v>2200</v>
      </c>
      <c r="AU212" s="324">
        <v>0</v>
      </c>
      <c r="AV212" s="324">
        <v>0</v>
      </c>
      <c r="AW212" s="324">
        <v>0</v>
      </c>
      <c r="AX212" s="324">
        <v>0</v>
      </c>
      <c r="AY212" s="324">
        <v>0</v>
      </c>
      <c r="AZ212" s="324">
        <v>0</v>
      </c>
      <c r="BA212" s="324">
        <v>0</v>
      </c>
      <c r="BB212" s="324">
        <v>0</v>
      </c>
      <c r="BC212" s="324">
        <v>0</v>
      </c>
      <c r="BD212" s="324">
        <v>0</v>
      </c>
      <c r="BE212" s="324">
        <v>0</v>
      </c>
      <c r="BF212" s="324">
        <v>0</v>
      </c>
      <c r="BG212" s="140">
        <f t="shared" si="119"/>
        <v>0</v>
      </c>
      <c r="BH212" s="324">
        <v>0</v>
      </c>
      <c r="BI212" s="324">
        <v>0</v>
      </c>
      <c r="BJ212" s="324">
        <v>0</v>
      </c>
      <c r="BK212" s="324">
        <v>0</v>
      </c>
      <c r="BL212" s="324">
        <v>0</v>
      </c>
      <c r="BM212" s="324">
        <v>0</v>
      </c>
      <c r="BN212" s="324">
        <v>0</v>
      </c>
      <c r="BO212" s="324">
        <v>0</v>
      </c>
      <c r="BP212" s="324">
        <v>0</v>
      </c>
      <c r="BQ212" s="324">
        <v>0</v>
      </c>
      <c r="BR212" s="324">
        <v>0</v>
      </c>
      <c r="BS212" s="324">
        <v>0</v>
      </c>
      <c r="BT212" s="140">
        <f t="shared" si="120"/>
        <v>0</v>
      </c>
      <c r="BU212" s="114">
        <f t="shared" si="121"/>
        <v>2200</v>
      </c>
      <c r="BV212" s="432"/>
      <c r="BW212" s="432"/>
      <c r="BX212" s="432"/>
      <c r="BY212" s="432"/>
      <c r="BZ212" s="433"/>
      <c r="CA212" s="434"/>
      <c r="CB212" s="7" t="s">
        <v>1701</v>
      </c>
      <c r="CC212" s="3">
        <v>0</v>
      </c>
      <c r="CD212" s="3">
        <v>0</v>
      </c>
      <c r="CE212" s="3">
        <v>0</v>
      </c>
      <c r="CF212" s="3">
        <v>0</v>
      </c>
      <c r="CG212" s="3">
        <v>0</v>
      </c>
      <c r="CH212" s="3">
        <v>0</v>
      </c>
      <c r="CI212" s="3">
        <v>0</v>
      </c>
      <c r="CJ212" s="3">
        <v>0</v>
      </c>
      <c r="CK212" s="3">
        <v>0</v>
      </c>
      <c r="CL212" s="3">
        <v>0</v>
      </c>
      <c r="CM212" s="3">
        <v>0</v>
      </c>
      <c r="CN212" s="3">
        <v>0</v>
      </c>
      <c r="CO212" s="4">
        <f t="shared" si="109"/>
        <v>0</v>
      </c>
      <c r="CP212" s="3">
        <v>0</v>
      </c>
      <c r="CQ212" s="3">
        <v>0</v>
      </c>
      <c r="CR212" s="3">
        <v>0</v>
      </c>
      <c r="CS212" s="3">
        <v>0</v>
      </c>
      <c r="CT212" s="3">
        <v>0</v>
      </c>
      <c r="CU212" s="3">
        <v>0</v>
      </c>
      <c r="CV212" s="3">
        <v>0</v>
      </c>
      <c r="CW212" s="3">
        <v>0</v>
      </c>
      <c r="CX212" s="3">
        <v>0</v>
      </c>
      <c r="CY212" s="3">
        <v>0</v>
      </c>
      <c r="CZ212" s="3">
        <v>0</v>
      </c>
      <c r="DA212" s="3">
        <v>0</v>
      </c>
      <c r="DB212" s="4">
        <f t="shared" si="110"/>
        <v>0</v>
      </c>
      <c r="DC212" s="3">
        <v>0</v>
      </c>
      <c r="DD212" s="3">
        <v>1</v>
      </c>
      <c r="DE212" s="3">
        <v>0</v>
      </c>
      <c r="DF212" s="3">
        <v>0</v>
      </c>
      <c r="DG212" s="3">
        <v>0</v>
      </c>
      <c r="DH212" s="3">
        <v>0</v>
      </c>
      <c r="DI212" s="3">
        <v>0</v>
      </c>
      <c r="DJ212" s="3">
        <v>0</v>
      </c>
      <c r="DK212" s="3">
        <v>0</v>
      </c>
      <c r="DL212" s="3">
        <v>0</v>
      </c>
      <c r="DM212" s="3">
        <v>0</v>
      </c>
      <c r="DN212" s="3">
        <v>0</v>
      </c>
      <c r="DO212" s="4">
        <f t="shared" si="111"/>
        <v>1</v>
      </c>
      <c r="DP212" s="3">
        <v>0</v>
      </c>
      <c r="DQ212" s="3">
        <v>0</v>
      </c>
      <c r="DR212" s="3">
        <v>0</v>
      </c>
      <c r="DS212" s="3">
        <v>0</v>
      </c>
      <c r="DT212" s="3">
        <v>0</v>
      </c>
      <c r="DU212" s="3">
        <v>0</v>
      </c>
      <c r="DV212" s="3">
        <v>0</v>
      </c>
      <c r="DW212" s="3">
        <v>0</v>
      </c>
      <c r="DX212" s="3">
        <v>0</v>
      </c>
      <c r="DY212" s="3">
        <v>0</v>
      </c>
      <c r="DZ212" s="3">
        <v>0</v>
      </c>
      <c r="EA212" s="3">
        <v>0</v>
      </c>
      <c r="EB212" s="4">
        <f t="shared" si="112"/>
        <v>0</v>
      </c>
      <c r="EC212" s="3">
        <v>0</v>
      </c>
      <c r="ED212" s="3">
        <v>0</v>
      </c>
      <c r="EE212" s="3">
        <v>0</v>
      </c>
      <c r="EF212" s="3">
        <v>0</v>
      </c>
      <c r="EG212" s="3">
        <v>0</v>
      </c>
      <c r="EH212" s="3">
        <v>0</v>
      </c>
      <c r="EI212" s="3">
        <v>0</v>
      </c>
      <c r="EJ212" s="3">
        <v>0</v>
      </c>
      <c r="EK212" s="3">
        <v>0</v>
      </c>
      <c r="EL212" s="3">
        <v>0</v>
      </c>
      <c r="EM212" s="3">
        <v>0</v>
      </c>
      <c r="EN212" s="3">
        <v>0</v>
      </c>
      <c r="EO212" s="4">
        <f t="shared" si="113"/>
        <v>0</v>
      </c>
      <c r="EP212" s="8">
        <f t="shared" si="114"/>
        <v>1</v>
      </c>
      <c r="EQ212" s="181">
        <f>IFERROR(VLOOKUP(I212,CEI_012018!$A$1:$U$509,9,FALSE),0)</f>
        <v>0</v>
      </c>
      <c r="ER212" s="181">
        <f>IFERROR(VLOOKUP(I212,CEI_022018!$A$1:$U$509,9,FALSE),0)</f>
        <v>0</v>
      </c>
      <c r="ES212" s="181">
        <f>IFERROR(VLOOKUP(I212,CEI_032018!$A$1:$U$509,9,FALSE),0)</f>
        <v>0</v>
      </c>
      <c r="ET212" s="181">
        <f>IFERROR(VLOOKUP(I212,CEI_042018!$A$1:$U$491,9,FALSE),0)</f>
        <v>0</v>
      </c>
      <c r="EU212" s="181">
        <f>IFERROR(VLOOKUP(I212,CEI_052018!$A$1:$U$489,9,FALSE),0)</f>
        <v>0</v>
      </c>
      <c r="EV212" s="181">
        <f>IFERROR(VLOOKUP(I212,CEI_062018!$A$1:$U$489,9,FALSE),0)</f>
        <v>0</v>
      </c>
      <c r="EW212" s="181">
        <f>IFERROR(VLOOKUP(I212,CEI_072018!$A$1:$U$489,9,FALSE),0)</f>
        <v>0</v>
      </c>
      <c r="EX212" s="181">
        <f>IFERROR(VLOOKUP(I212,CEI_082018!$A$1:$U$489,9,FALSE),0)</f>
        <v>0</v>
      </c>
      <c r="EY212" s="181">
        <f>IFERROR(VLOOKUP(I212,CEI_092018!$A$1:$U$489,9,FALSE),0)</f>
        <v>0</v>
      </c>
      <c r="EZ212" s="181"/>
      <c r="FA212" s="181"/>
      <c r="FB212" s="181"/>
      <c r="FC212" s="181">
        <f>IFERROR(VLOOKUP(I212,CEI_092018!$A$1:$U$489,12,FALSE),0)</f>
        <v>0</v>
      </c>
      <c r="FD212" s="181">
        <f t="shared" si="123"/>
        <v>0</v>
      </c>
      <c r="FE212" s="181">
        <f t="shared" si="124"/>
        <v>0</v>
      </c>
      <c r="FF212"/>
      <c r="FG212"/>
      <c r="FH212"/>
      <c r="FI212"/>
      <c r="FJ212"/>
      <c r="FK212"/>
      <c r="FL212"/>
      <c r="FM212"/>
      <c r="FN212"/>
      <c r="FO212"/>
      <c r="FP212"/>
      <c r="FQ212"/>
      <c r="FR212"/>
      <c r="FS212"/>
      <c r="FT212"/>
      <c r="FU212"/>
      <c r="FV212"/>
      <c r="FW212"/>
      <c r="FX212"/>
      <c r="FY212"/>
      <c r="FZ212"/>
      <c r="GA212"/>
      <c r="GB212"/>
      <c r="GC212"/>
    </row>
    <row r="213" spans="1:185" ht="12.75" customHeight="1" x14ac:dyDescent="0.25">
      <c r="A213" s="202"/>
      <c r="B213" s="22" t="s">
        <v>57</v>
      </c>
      <c r="C213" s="34" t="s">
        <v>44</v>
      </c>
      <c r="D213" s="22" t="s">
        <v>318</v>
      </c>
      <c r="E213" s="25" t="s">
        <v>1066</v>
      </c>
      <c r="F213" s="25" t="s">
        <v>318</v>
      </c>
      <c r="G213" s="25" t="s">
        <v>1066</v>
      </c>
      <c r="H213" s="22" t="s">
        <v>56</v>
      </c>
      <c r="I213" s="423" t="s">
        <v>565</v>
      </c>
      <c r="J213" s="37" t="s">
        <v>59</v>
      </c>
      <c r="K213" s="23" t="s">
        <v>1575</v>
      </c>
      <c r="L213" s="23" t="s">
        <v>839</v>
      </c>
      <c r="M213" s="23" t="s">
        <v>840</v>
      </c>
      <c r="N213" s="23" t="s">
        <v>1877</v>
      </c>
      <c r="O213" s="2">
        <v>0</v>
      </c>
      <c r="P213" s="2">
        <v>0</v>
      </c>
      <c r="Q213" s="2">
        <v>0</v>
      </c>
      <c r="R213" s="2">
        <v>0</v>
      </c>
      <c r="S213" s="2">
        <v>0</v>
      </c>
      <c r="T213" s="116">
        <f t="shared" si="116"/>
        <v>0</v>
      </c>
      <c r="U213" s="324">
        <v>0</v>
      </c>
      <c r="V213" s="324">
        <v>200</v>
      </c>
      <c r="W213" s="324">
        <v>1760</v>
      </c>
      <c r="X213" s="324">
        <v>222</v>
      </c>
      <c r="Y213" s="324">
        <v>0</v>
      </c>
      <c r="Z213" s="324">
        <v>0</v>
      </c>
      <c r="AA213" s="324">
        <v>0</v>
      </c>
      <c r="AB213" s="324">
        <v>0</v>
      </c>
      <c r="AC213" s="324">
        <v>0</v>
      </c>
      <c r="AD213" s="324">
        <v>0</v>
      </c>
      <c r="AE213" s="324">
        <v>0</v>
      </c>
      <c r="AF213" s="324">
        <v>0</v>
      </c>
      <c r="AG213" s="140">
        <f t="shared" si="117"/>
        <v>2182</v>
      </c>
      <c r="AH213" s="324">
        <v>0</v>
      </c>
      <c r="AI213" s="324">
        <v>0</v>
      </c>
      <c r="AJ213" s="324">
        <v>0</v>
      </c>
      <c r="AK213" s="324">
        <v>0</v>
      </c>
      <c r="AL213" s="324">
        <v>0</v>
      </c>
      <c r="AM213" s="324">
        <v>0</v>
      </c>
      <c r="AN213" s="324">
        <v>0</v>
      </c>
      <c r="AO213" s="324">
        <v>0</v>
      </c>
      <c r="AP213" s="324">
        <v>0</v>
      </c>
      <c r="AQ213" s="324">
        <v>0</v>
      </c>
      <c r="AR213" s="324">
        <v>0</v>
      </c>
      <c r="AS213" s="324">
        <v>0</v>
      </c>
      <c r="AT213" s="140">
        <f t="shared" si="118"/>
        <v>0</v>
      </c>
      <c r="AU213" s="324">
        <v>0</v>
      </c>
      <c r="AV213" s="324">
        <v>0</v>
      </c>
      <c r="AW213" s="324">
        <v>0</v>
      </c>
      <c r="AX213" s="324">
        <v>0</v>
      </c>
      <c r="AY213" s="324">
        <v>0</v>
      </c>
      <c r="AZ213" s="324">
        <v>0</v>
      </c>
      <c r="BA213" s="324">
        <v>0</v>
      </c>
      <c r="BB213" s="324">
        <v>0</v>
      </c>
      <c r="BC213" s="324">
        <v>0</v>
      </c>
      <c r="BD213" s="324">
        <v>0</v>
      </c>
      <c r="BE213" s="324">
        <v>0</v>
      </c>
      <c r="BF213" s="324">
        <v>0</v>
      </c>
      <c r="BG213" s="140">
        <f t="shared" si="119"/>
        <v>0</v>
      </c>
      <c r="BH213" s="324">
        <v>0</v>
      </c>
      <c r="BI213" s="324">
        <v>0</v>
      </c>
      <c r="BJ213" s="324">
        <v>0</v>
      </c>
      <c r="BK213" s="324">
        <v>0</v>
      </c>
      <c r="BL213" s="324">
        <v>0</v>
      </c>
      <c r="BM213" s="324">
        <v>0</v>
      </c>
      <c r="BN213" s="324">
        <v>0</v>
      </c>
      <c r="BO213" s="324">
        <v>0</v>
      </c>
      <c r="BP213" s="324">
        <v>0</v>
      </c>
      <c r="BQ213" s="324">
        <v>0</v>
      </c>
      <c r="BR213" s="324">
        <v>0</v>
      </c>
      <c r="BS213" s="324">
        <v>0</v>
      </c>
      <c r="BT213" s="140">
        <f t="shared" si="120"/>
        <v>0</v>
      </c>
      <c r="BU213" s="114">
        <f t="shared" si="121"/>
        <v>2182</v>
      </c>
      <c r="BV213" s="432"/>
      <c r="BW213" s="432"/>
      <c r="BX213" s="432"/>
      <c r="BY213" s="432"/>
      <c r="BZ213" s="433"/>
      <c r="CA213" s="434"/>
      <c r="CB213" s="7" t="s">
        <v>1681</v>
      </c>
      <c r="CC213" s="3">
        <v>0</v>
      </c>
      <c r="CD213" s="3">
        <v>0</v>
      </c>
      <c r="CE213" s="3">
        <v>0</v>
      </c>
      <c r="CF213" s="3">
        <v>0</v>
      </c>
      <c r="CG213" s="3">
        <v>0</v>
      </c>
      <c r="CH213" s="3">
        <v>0</v>
      </c>
      <c r="CI213" s="3">
        <v>0</v>
      </c>
      <c r="CJ213" s="3">
        <v>0</v>
      </c>
      <c r="CK213" s="3">
        <v>0</v>
      </c>
      <c r="CL213" s="3">
        <v>0</v>
      </c>
      <c r="CM213" s="3">
        <v>0</v>
      </c>
      <c r="CN213" s="3">
        <v>0</v>
      </c>
      <c r="CO213" s="4">
        <f t="shared" si="109"/>
        <v>0</v>
      </c>
      <c r="CP213" s="3">
        <v>0</v>
      </c>
      <c r="CQ213" s="3">
        <v>0</v>
      </c>
      <c r="CR213" s="3">
        <v>40</v>
      </c>
      <c r="CS213" s="3">
        <v>0</v>
      </c>
      <c r="CT213" s="3">
        <v>0</v>
      </c>
      <c r="CU213" s="3">
        <v>0</v>
      </c>
      <c r="CV213" s="3">
        <v>0</v>
      </c>
      <c r="CW213" s="3">
        <v>0</v>
      </c>
      <c r="CX213" s="3">
        <v>0</v>
      </c>
      <c r="CY213" s="3">
        <v>0</v>
      </c>
      <c r="CZ213" s="3">
        <v>0</v>
      </c>
      <c r="DA213" s="3">
        <v>0</v>
      </c>
      <c r="DB213" s="4">
        <f t="shared" si="110"/>
        <v>40</v>
      </c>
      <c r="DC213" s="3">
        <v>0</v>
      </c>
      <c r="DD213" s="3">
        <v>0</v>
      </c>
      <c r="DE213" s="3">
        <v>0</v>
      </c>
      <c r="DF213" s="3">
        <v>0</v>
      </c>
      <c r="DG213" s="3">
        <v>0</v>
      </c>
      <c r="DH213" s="3">
        <v>0</v>
      </c>
      <c r="DI213" s="3">
        <v>0</v>
      </c>
      <c r="DJ213" s="3">
        <v>0</v>
      </c>
      <c r="DK213" s="3">
        <v>0</v>
      </c>
      <c r="DL213" s="3">
        <v>0</v>
      </c>
      <c r="DM213" s="3">
        <v>0</v>
      </c>
      <c r="DN213" s="3">
        <v>0</v>
      </c>
      <c r="DO213" s="4">
        <f t="shared" si="111"/>
        <v>0</v>
      </c>
      <c r="DP213" s="3">
        <v>0</v>
      </c>
      <c r="DQ213" s="3">
        <v>0</v>
      </c>
      <c r="DR213" s="3">
        <v>0</v>
      </c>
      <c r="DS213" s="3">
        <v>0</v>
      </c>
      <c r="DT213" s="3">
        <v>0</v>
      </c>
      <c r="DU213" s="3">
        <v>0</v>
      </c>
      <c r="DV213" s="3">
        <v>0</v>
      </c>
      <c r="DW213" s="3">
        <v>0</v>
      </c>
      <c r="DX213" s="3">
        <v>0</v>
      </c>
      <c r="DY213" s="3">
        <v>0</v>
      </c>
      <c r="DZ213" s="3">
        <v>0</v>
      </c>
      <c r="EA213" s="3">
        <v>0</v>
      </c>
      <c r="EB213" s="4">
        <f t="shared" si="112"/>
        <v>0</v>
      </c>
      <c r="EC213" s="3">
        <v>0</v>
      </c>
      <c r="ED213" s="3">
        <v>0</v>
      </c>
      <c r="EE213" s="3">
        <v>0</v>
      </c>
      <c r="EF213" s="3">
        <v>0</v>
      </c>
      <c r="EG213" s="3">
        <v>0</v>
      </c>
      <c r="EH213" s="3">
        <v>0</v>
      </c>
      <c r="EI213" s="3">
        <v>0</v>
      </c>
      <c r="EJ213" s="3">
        <v>0</v>
      </c>
      <c r="EK213" s="3">
        <v>0</v>
      </c>
      <c r="EL213" s="3">
        <v>0</v>
      </c>
      <c r="EM213" s="3">
        <v>0</v>
      </c>
      <c r="EN213" s="3">
        <v>0</v>
      </c>
      <c r="EO213" s="4">
        <f t="shared" si="113"/>
        <v>0</v>
      </c>
      <c r="EP213" s="8">
        <f t="shared" si="114"/>
        <v>40</v>
      </c>
      <c r="EQ213" s="181">
        <f>IFERROR(VLOOKUP(I213,CEI_012018!$A$1:$U$509,9,FALSE),0)</f>
        <v>0</v>
      </c>
      <c r="ER213" s="181">
        <f>IFERROR(VLOOKUP(I213,CEI_022018!$A$1:$U$509,9,FALSE),0)</f>
        <v>0</v>
      </c>
      <c r="ES213" s="181">
        <f>IFERROR(VLOOKUP(I213,CEI_032018!$A$1:$U$509,9,FALSE),0)</f>
        <v>0</v>
      </c>
      <c r="ET213" s="181">
        <f>IFERROR(VLOOKUP(I213,CEI_042018!$A$1:$U$491,9,FALSE),0)</f>
        <v>0</v>
      </c>
      <c r="EU213" s="181">
        <f>IFERROR(VLOOKUP(I213,CEI_052018!$A$1:$U$489,9,FALSE),0)</f>
        <v>0</v>
      </c>
      <c r="EV213" s="181">
        <f>IFERROR(VLOOKUP(I213,CEI_062018!$A$1:$U$489,9,FALSE),0)</f>
        <v>0</v>
      </c>
      <c r="EW213" s="181">
        <f>IFERROR(VLOOKUP(I213,CEI_072018!$A$1:$U$489,9,FALSE),0)</f>
        <v>0</v>
      </c>
      <c r="EX213" s="181">
        <f>IFERROR(VLOOKUP(I213,CEI_082018!$A$1:$U$489,9,FALSE),0)</f>
        <v>0</v>
      </c>
      <c r="EY213" s="181">
        <f>IFERROR(VLOOKUP(I213,CEI_092018!$A$1:$U$489,9,FALSE),0)</f>
        <v>0</v>
      </c>
      <c r="EZ213" s="181"/>
      <c r="FA213" s="181"/>
      <c r="FB213" s="181"/>
      <c r="FC213" s="181">
        <f>IFERROR(VLOOKUP(I213,CEI_092018!$A$1:$U$489,12,FALSE),0)</f>
        <v>0</v>
      </c>
      <c r="FD213" s="181">
        <f t="shared" si="123"/>
        <v>0</v>
      </c>
      <c r="FE213" s="181">
        <f t="shared" si="124"/>
        <v>0</v>
      </c>
      <c r="FF213"/>
      <c r="FG213"/>
      <c r="FH213"/>
      <c r="FI213"/>
      <c r="FJ213"/>
      <c r="FK213"/>
      <c r="FL213"/>
      <c r="FM213"/>
      <c r="FN213"/>
      <c r="FO213"/>
      <c r="FP213"/>
      <c r="FQ213"/>
      <c r="FR213"/>
      <c r="FS213"/>
      <c r="FT213"/>
      <c r="FU213"/>
      <c r="FV213"/>
      <c r="FW213"/>
      <c r="FX213"/>
      <c r="FY213"/>
      <c r="FZ213"/>
      <c r="GA213"/>
      <c r="GB213"/>
      <c r="GC213"/>
    </row>
    <row r="214" spans="1:185" ht="12.75" customHeight="1" x14ac:dyDescent="0.25">
      <c r="A214" s="202"/>
      <c r="B214" s="22" t="s">
        <v>57</v>
      </c>
      <c r="C214" s="34" t="s">
        <v>44</v>
      </c>
      <c r="D214" s="22" t="s">
        <v>1058</v>
      </c>
      <c r="E214" s="25" t="s">
        <v>1062</v>
      </c>
      <c r="F214" s="25" t="s">
        <v>1661</v>
      </c>
      <c r="G214" s="25" t="s">
        <v>1846</v>
      </c>
      <c r="H214" s="22" t="s">
        <v>62</v>
      </c>
      <c r="I214" s="423" t="s">
        <v>565</v>
      </c>
      <c r="J214" s="37" t="s">
        <v>59</v>
      </c>
      <c r="K214" s="23" t="s">
        <v>542</v>
      </c>
      <c r="L214" s="23" t="s">
        <v>543</v>
      </c>
      <c r="M214" s="23" t="s">
        <v>544</v>
      </c>
      <c r="N214" s="23" t="s">
        <v>59</v>
      </c>
      <c r="O214" s="2">
        <v>0</v>
      </c>
      <c r="P214" s="2">
        <v>0</v>
      </c>
      <c r="Q214" s="2">
        <v>0</v>
      </c>
      <c r="R214" s="2">
        <v>0</v>
      </c>
      <c r="S214" s="2">
        <v>0</v>
      </c>
      <c r="T214" s="116">
        <f t="shared" si="116"/>
        <v>0</v>
      </c>
      <c r="U214" s="324">
        <v>0</v>
      </c>
      <c r="V214" s="324">
        <v>0</v>
      </c>
      <c r="W214" s="324">
        <v>0</v>
      </c>
      <c r="X214" s="324">
        <v>0</v>
      </c>
      <c r="Y214" s="324">
        <v>0</v>
      </c>
      <c r="Z214" s="324">
        <v>0</v>
      </c>
      <c r="AA214" s="324">
        <v>0</v>
      </c>
      <c r="AB214" s="324">
        <v>0</v>
      </c>
      <c r="AC214" s="324">
        <v>1500</v>
      </c>
      <c r="AD214" s="324">
        <v>0</v>
      </c>
      <c r="AE214" s="324">
        <v>0</v>
      </c>
      <c r="AF214" s="324">
        <v>0</v>
      </c>
      <c r="AG214" s="140">
        <f t="shared" si="117"/>
        <v>1500</v>
      </c>
      <c r="AH214" s="324">
        <v>200</v>
      </c>
      <c r="AI214" s="324">
        <v>200</v>
      </c>
      <c r="AJ214" s="324">
        <v>200</v>
      </c>
      <c r="AK214" s="324">
        <v>0</v>
      </c>
      <c r="AL214" s="324">
        <v>0</v>
      </c>
      <c r="AM214" s="324">
        <v>0</v>
      </c>
      <c r="AN214" s="324">
        <v>0</v>
      </c>
      <c r="AO214" s="324">
        <v>0</v>
      </c>
      <c r="AP214" s="324">
        <v>0</v>
      </c>
      <c r="AQ214" s="324">
        <v>0</v>
      </c>
      <c r="AR214" s="324">
        <v>0</v>
      </c>
      <c r="AS214" s="324">
        <v>0</v>
      </c>
      <c r="AT214" s="140">
        <f t="shared" si="118"/>
        <v>600</v>
      </c>
      <c r="AU214" s="324">
        <v>0</v>
      </c>
      <c r="AV214" s="324">
        <v>0</v>
      </c>
      <c r="AW214" s="324">
        <v>0</v>
      </c>
      <c r="AX214" s="324">
        <v>0</v>
      </c>
      <c r="AY214" s="324">
        <v>0</v>
      </c>
      <c r="AZ214" s="324">
        <v>0</v>
      </c>
      <c r="BA214" s="324">
        <v>0</v>
      </c>
      <c r="BB214" s="324">
        <v>0</v>
      </c>
      <c r="BC214" s="324">
        <v>0</v>
      </c>
      <c r="BD214" s="324">
        <v>0</v>
      </c>
      <c r="BE214" s="324">
        <v>0</v>
      </c>
      <c r="BF214" s="324">
        <v>0</v>
      </c>
      <c r="BG214" s="140">
        <f t="shared" si="119"/>
        <v>0</v>
      </c>
      <c r="BH214" s="324">
        <v>0</v>
      </c>
      <c r="BI214" s="324">
        <v>0</v>
      </c>
      <c r="BJ214" s="324">
        <v>0</v>
      </c>
      <c r="BK214" s="324">
        <v>0</v>
      </c>
      <c r="BL214" s="324">
        <v>0</v>
      </c>
      <c r="BM214" s="324">
        <v>0</v>
      </c>
      <c r="BN214" s="324">
        <v>0</v>
      </c>
      <c r="BO214" s="324">
        <v>0</v>
      </c>
      <c r="BP214" s="324">
        <v>0</v>
      </c>
      <c r="BQ214" s="324">
        <v>0</v>
      </c>
      <c r="BR214" s="324">
        <v>0</v>
      </c>
      <c r="BS214" s="324">
        <v>0</v>
      </c>
      <c r="BT214" s="140">
        <f t="shared" si="120"/>
        <v>0</v>
      </c>
      <c r="BU214" s="114">
        <f t="shared" si="121"/>
        <v>2100</v>
      </c>
      <c r="BV214" s="432"/>
      <c r="BW214" s="432"/>
      <c r="BX214" s="432"/>
      <c r="BY214" s="432"/>
      <c r="BZ214" s="433"/>
      <c r="CA214" s="434"/>
      <c r="CB214" s="7" t="s">
        <v>1681</v>
      </c>
      <c r="CC214" s="3">
        <v>0</v>
      </c>
      <c r="CD214" s="3">
        <v>0</v>
      </c>
      <c r="CE214" s="3">
        <v>0</v>
      </c>
      <c r="CF214" s="3">
        <v>0</v>
      </c>
      <c r="CG214" s="3">
        <v>0</v>
      </c>
      <c r="CH214" s="3">
        <v>0</v>
      </c>
      <c r="CI214" s="3">
        <v>0</v>
      </c>
      <c r="CJ214" s="3">
        <v>0</v>
      </c>
      <c r="CK214" s="3">
        <v>0</v>
      </c>
      <c r="CL214" s="3">
        <v>0</v>
      </c>
      <c r="CM214" s="3">
        <v>0</v>
      </c>
      <c r="CN214" s="3">
        <v>0</v>
      </c>
      <c r="CO214" s="4">
        <f t="shared" si="109"/>
        <v>0</v>
      </c>
      <c r="CP214" s="3">
        <v>0</v>
      </c>
      <c r="CQ214" s="3">
        <v>0</v>
      </c>
      <c r="CR214" s="3">
        <v>0</v>
      </c>
      <c r="CS214" s="3">
        <v>0</v>
      </c>
      <c r="CT214" s="3">
        <v>0</v>
      </c>
      <c r="CU214" s="3">
        <v>0</v>
      </c>
      <c r="CV214" s="3">
        <v>0</v>
      </c>
      <c r="CW214" s="3">
        <v>0</v>
      </c>
      <c r="CX214" s="3">
        <v>1</v>
      </c>
      <c r="CY214" s="3">
        <v>0</v>
      </c>
      <c r="CZ214" s="3">
        <v>0</v>
      </c>
      <c r="DA214" s="3">
        <v>0</v>
      </c>
      <c r="DB214" s="4">
        <f t="shared" si="110"/>
        <v>1</v>
      </c>
      <c r="DC214" s="3">
        <v>0</v>
      </c>
      <c r="DD214" s="3">
        <v>0</v>
      </c>
      <c r="DE214" s="3">
        <v>1</v>
      </c>
      <c r="DF214" s="3">
        <v>0</v>
      </c>
      <c r="DG214" s="3">
        <v>0</v>
      </c>
      <c r="DH214" s="3">
        <v>0</v>
      </c>
      <c r="DI214" s="3">
        <v>0</v>
      </c>
      <c r="DJ214" s="3">
        <v>0</v>
      </c>
      <c r="DK214" s="3">
        <v>0</v>
      </c>
      <c r="DL214" s="3">
        <v>0</v>
      </c>
      <c r="DM214" s="3">
        <v>0</v>
      </c>
      <c r="DN214" s="3">
        <v>0</v>
      </c>
      <c r="DO214" s="4">
        <f t="shared" si="111"/>
        <v>1</v>
      </c>
      <c r="DP214" s="3">
        <v>0</v>
      </c>
      <c r="DQ214" s="3">
        <v>0</v>
      </c>
      <c r="DR214" s="3">
        <v>0</v>
      </c>
      <c r="DS214" s="3">
        <v>0</v>
      </c>
      <c r="DT214" s="3">
        <v>0</v>
      </c>
      <c r="DU214" s="3">
        <v>0</v>
      </c>
      <c r="DV214" s="3">
        <v>0</v>
      </c>
      <c r="DW214" s="3">
        <v>0</v>
      </c>
      <c r="DX214" s="3">
        <v>0</v>
      </c>
      <c r="DY214" s="3">
        <v>0</v>
      </c>
      <c r="DZ214" s="3">
        <v>0</v>
      </c>
      <c r="EA214" s="3">
        <v>0</v>
      </c>
      <c r="EB214" s="4">
        <f t="shared" si="112"/>
        <v>0</v>
      </c>
      <c r="EC214" s="3">
        <v>0</v>
      </c>
      <c r="ED214" s="3">
        <v>0</v>
      </c>
      <c r="EE214" s="3">
        <v>0</v>
      </c>
      <c r="EF214" s="3">
        <v>0</v>
      </c>
      <c r="EG214" s="3">
        <v>0</v>
      </c>
      <c r="EH214" s="3">
        <v>0</v>
      </c>
      <c r="EI214" s="3">
        <v>0</v>
      </c>
      <c r="EJ214" s="3">
        <v>0</v>
      </c>
      <c r="EK214" s="3">
        <v>0</v>
      </c>
      <c r="EL214" s="3">
        <v>0</v>
      </c>
      <c r="EM214" s="3">
        <v>0</v>
      </c>
      <c r="EN214" s="3">
        <v>0</v>
      </c>
      <c r="EO214" s="4">
        <f t="shared" si="113"/>
        <v>0</v>
      </c>
      <c r="EP214" s="8">
        <f t="shared" si="114"/>
        <v>2</v>
      </c>
      <c r="EQ214" s="181">
        <f>IFERROR(VLOOKUP(I214,CEI_012018!$A$1:$U$509,9,FALSE),0)</f>
        <v>0</v>
      </c>
      <c r="ER214" s="181">
        <f>IFERROR(VLOOKUP(I214,CEI_022018!$A$1:$U$509,9,FALSE),0)</f>
        <v>0</v>
      </c>
      <c r="ES214" s="181">
        <f>IFERROR(VLOOKUP(I214,CEI_032018!$A$1:$U$509,9,FALSE),0)</f>
        <v>0</v>
      </c>
      <c r="ET214" s="181">
        <f>IFERROR(VLOOKUP(I214,CEI_042018!$A$1:$U$491,9,FALSE),0)</f>
        <v>0</v>
      </c>
      <c r="EU214" s="181">
        <f>IFERROR(VLOOKUP(I214,CEI_052018!$A$1:$U$489,9,FALSE),0)</f>
        <v>0</v>
      </c>
      <c r="EV214" s="181">
        <f>IFERROR(VLOOKUP(I214,CEI_062018!$A$1:$U$489,9,FALSE),0)</f>
        <v>0</v>
      </c>
      <c r="EW214" s="181">
        <f>IFERROR(VLOOKUP(I214,CEI_072018!$A$1:$U$489,9,FALSE),0)</f>
        <v>0</v>
      </c>
      <c r="EX214" s="181">
        <f>IFERROR(VLOOKUP(I214,CEI_082018!$A$1:$U$489,9,FALSE),0)</f>
        <v>0</v>
      </c>
      <c r="EY214" s="181">
        <f>IFERROR(VLOOKUP(I214,CEI_092018!$A$1:$U$489,9,FALSE),0)</f>
        <v>0</v>
      </c>
      <c r="EZ214" s="181"/>
      <c r="FA214" s="181"/>
      <c r="FB214" s="181"/>
      <c r="FC214" s="181">
        <f>IFERROR(VLOOKUP(I214,CEI_092018!$A$1:$U$489,12,FALSE),0)</f>
        <v>0</v>
      </c>
      <c r="FD214" s="181">
        <f t="shared" si="123"/>
        <v>0</v>
      </c>
      <c r="FE214" s="181">
        <f t="shared" si="124"/>
        <v>0</v>
      </c>
      <c r="FF214"/>
      <c r="FG214"/>
      <c r="FH214"/>
      <c r="FI214"/>
      <c r="FJ214"/>
      <c r="FK214"/>
      <c r="FL214"/>
      <c r="FM214"/>
      <c r="FN214"/>
      <c r="FO214"/>
      <c r="FP214"/>
      <c r="FQ214"/>
      <c r="FR214"/>
      <c r="FS214"/>
      <c r="FT214"/>
      <c r="FU214"/>
      <c r="FV214"/>
      <c r="FW214"/>
      <c r="FX214"/>
      <c r="FY214"/>
      <c r="FZ214"/>
      <c r="GA214"/>
      <c r="GB214"/>
      <c r="GC214"/>
    </row>
    <row r="215" spans="1:185" ht="12.75" customHeight="1" x14ac:dyDescent="0.25">
      <c r="A215" s="202"/>
      <c r="B215" s="22" t="s">
        <v>57</v>
      </c>
      <c r="C215" s="34" t="s">
        <v>44</v>
      </c>
      <c r="D215" s="22" t="s">
        <v>1059</v>
      </c>
      <c r="E215" s="25" t="s">
        <v>1065</v>
      </c>
      <c r="F215" s="25" t="s">
        <v>1059</v>
      </c>
      <c r="G215" s="25" t="s">
        <v>1065</v>
      </c>
      <c r="H215" s="22" t="s">
        <v>56</v>
      </c>
      <c r="I215" s="423" t="s">
        <v>565</v>
      </c>
      <c r="J215" s="37" t="s">
        <v>59</v>
      </c>
      <c r="K215" s="23" t="s">
        <v>425</v>
      </c>
      <c r="L215" s="23" t="s">
        <v>817</v>
      </c>
      <c r="M215" s="23" t="s">
        <v>818</v>
      </c>
      <c r="N215" s="23" t="s">
        <v>1884</v>
      </c>
      <c r="O215" s="2">
        <v>0</v>
      </c>
      <c r="P215" s="2">
        <v>0</v>
      </c>
      <c r="Q215" s="2">
        <v>0</v>
      </c>
      <c r="R215" s="2">
        <v>0</v>
      </c>
      <c r="S215" s="2">
        <v>200</v>
      </c>
      <c r="T215" s="116">
        <f t="shared" si="116"/>
        <v>200</v>
      </c>
      <c r="U215" s="324">
        <v>100</v>
      </c>
      <c r="V215" s="324">
        <v>200</v>
      </c>
      <c r="W215" s="324">
        <v>200</v>
      </c>
      <c r="X215" s="324">
        <v>250</v>
      </c>
      <c r="Y215" s="324">
        <v>250</v>
      </c>
      <c r="Z215" s="324">
        <v>200</v>
      </c>
      <c r="AA215" s="324">
        <v>200</v>
      </c>
      <c r="AB215" s="324">
        <v>200</v>
      </c>
      <c r="AC215" s="324">
        <v>200</v>
      </c>
      <c r="AD215" s="324">
        <v>0</v>
      </c>
      <c r="AE215" s="324">
        <v>0</v>
      </c>
      <c r="AF215" s="324">
        <v>0</v>
      </c>
      <c r="AG215" s="140">
        <f t="shared" si="117"/>
        <v>1800</v>
      </c>
      <c r="AH215" s="324">
        <v>0</v>
      </c>
      <c r="AI215" s="324">
        <v>0</v>
      </c>
      <c r="AJ215" s="324">
        <v>0</v>
      </c>
      <c r="AK215" s="324">
        <v>0</v>
      </c>
      <c r="AL215" s="324">
        <v>0</v>
      </c>
      <c r="AM215" s="324">
        <v>0</v>
      </c>
      <c r="AN215" s="324">
        <v>0</v>
      </c>
      <c r="AO215" s="324">
        <v>0</v>
      </c>
      <c r="AP215" s="324">
        <v>0</v>
      </c>
      <c r="AQ215" s="324">
        <v>0</v>
      </c>
      <c r="AR215" s="324">
        <v>0</v>
      </c>
      <c r="AS215" s="324">
        <v>0</v>
      </c>
      <c r="AT215" s="140">
        <f t="shared" si="118"/>
        <v>0</v>
      </c>
      <c r="AU215" s="324">
        <v>0</v>
      </c>
      <c r="AV215" s="324">
        <v>0</v>
      </c>
      <c r="AW215" s="324">
        <v>0</v>
      </c>
      <c r="AX215" s="324">
        <v>0</v>
      </c>
      <c r="AY215" s="324">
        <v>0</v>
      </c>
      <c r="AZ215" s="324">
        <v>0</v>
      </c>
      <c r="BA215" s="324">
        <v>0</v>
      </c>
      <c r="BB215" s="324">
        <v>0</v>
      </c>
      <c r="BC215" s="324">
        <v>0</v>
      </c>
      <c r="BD215" s="324">
        <v>0</v>
      </c>
      <c r="BE215" s="324">
        <v>0</v>
      </c>
      <c r="BF215" s="324">
        <v>0</v>
      </c>
      <c r="BG215" s="140">
        <f t="shared" si="119"/>
        <v>0</v>
      </c>
      <c r="BH215" s="324">
        <v>0</v>
      </c>
      <c r="BI215" s="324">
        <v>0</v>
      </c>
      <c r="BJ215" s="324">
        <v>0</v>
      </c>
      <c r="BK215" s="324">
        <v>0</v>
      </c>
      <c r="BL215" s="324">
        <v>0</v>
      </c>
      <c r="BM215" s="324">
        <v>0</v>
      </c>
      <c r="BN215" s="324">
        <v>0</v>
      </c>
      <c r="BO215" s="324">
        <v>0</v>
      </c>
      <c r="BP215" s="324">
        <v>0</v>
      </c>
      <c r="BQ215" s="324">
        <v>0</v>
      </c>
      <c r="BR215" s="324">
        <v>0</v>
      </c>
      <c r="BS215" s="324">
        <v>0</v>
      </c>
      <c r="BT215" s="140">
        <f t="shared" si="120"/>
        <v>0</v>
      </c>
      <c r="BU215" s="114">
        <f t="shared" si="121"/>
        <v>2000</v>
      </c>
      <c r="BV215" s="372">
        <v>-1</v>
      </c>
      <c r="BW215" s="372">
        <v>-1</v>
      </c>
      <c r="BX215" s="372">
        <v>-1</v>
      </c>
      <c r="BY215" s="372">
        <v>-1</v>
      </c>
      <c r="BZ215" s="436">
        <f>IFERROR((EX215/T215%),0)</f>
        <v>0</v>
      </c>
      <c r="CA215" s="428">
        <f>IFERROR((FD215/T215%),0)</f>
        <v>0</v>
      </c>
      <c r="CB215" s="7" t="s">
        <v>1699</v>
      </c>
      <c r="CC215" s="3">
        <v>0</v>
      </c>
      <c r="CD215" s="3">
        <v>0</v>
      </c>
      <c r="CE215" s="3">
        <v>0</v>
      </c>
      <c r="CF215" s="3">
        <v>0</v>
      </c>
      <c r="CG215" s="3">
        <v>0</v>
      </c>
      <c r="CH215" s="3">
        <v>0</v>
      </c>
      <c r="CI215" s="3">
        <v>0</v>
      </c>
      <c r="CJ215" s="3">
        <v>0</v>
      </c>
      <c r="CK215" s="3">
        <v>0</v>
      </c>
      <c r="CL215" s="3">
        <v>0</v>
      </c>
      <c r="CM215" s="3">
        <v>0</v>
      </c>
      <c r="CN215" s="3">
        <v>1</v>
      </c>
      <c r="CO215" s="4">
        <f t="shared" si="109"/>
        <v>1</v>
      </c>
      <c r="CP215" s="3">
        <v>0</v>
      </c>
      <c r="CQ215" s="3">
        <v>0</v>
      </c>
      <c r="CR215" s="3">
        <v>0</v>
      </c>
      <c r="CS215" s="3">
        <v>0</v>
      </c>
      <c r="CT215" s="3">
        <v>0</v>
      </c>
      <c r="CU215" s="3">
        <v>0</v>
      </c>
      <c r="CV215" s="3">
        <v>0</v>
      </c>
      <c r="CW215" s="3">
        <v>0</v>
      </c>
      <c r="CX215" s="3">
        <v>1</v>
      </c>
      <c r="CY215" s="3">
        <v>0</v>
      </c>
      <c r="CZ215" s="3">
        <v>0</v>
      </c>
      <c r="DA215" s="3">
        <v>0</v>
      </c>
      <c r="DB215" s="4">
        <f t="shared" si="110"/>
        <v>1</v>
      </c>
      <c r="DC215" s="3">
        <v>0</v>
      </c>
      <c r="DD215" s="3">
        <v>0</v>
      </c>
      <c r="DE215" s="3">
        <v>0</v>
      </c>
      <c r="DF215" s="3">
        <v>0</v>
      </c>
      <c r="DG215" s="3">
        <v>0</v>
      </c>
      <c r="DH215" s="3">
        <v>0</v>
      </c>
      <c r="DI215" s="3">
        <v>0</v>
      </c>
      <c r="DJ215" s="3">
        <v>0</v>
      </c>
      <c r="DK215" s="3">
        <v>0</v>
      </c>
      <c r="DL215" s="3">
        <v>0</v>
      </c>
      <c r="DM215" s="3">
        <v>0</v>
      </c>
      <c r="DN215" s="3">
        <v>0</v>
      </c>
      <c r="DO215" s="4">
        <f t="shared" si="111"/>
        <v>0</v>
      </c>
      <c r="DP215" s="3">
        <v>0</v>
      </c>
      <c r="DQ215" s="3">
        <v>0</v>
      </c>
      <c r="DR215" s="3">
        <v>0</v>
      </c>
      <c r="DS215" s="3">
        <v>0</v>
      </c>
      <c r="DT215" s="3">
        <v>0</v>
      </c>
      <c r="DU215" s="3">
        <v>0</v>
      </c>
      <c r="DV215" s="3">
        <v>0</v>
      </c>
      <c r="DW215" s="3">
        <v>0</v>
      </c>
      <c r="DX215" s="3">
        <v>0</v>
      </c>
      <c r="DY215" s="3">
        <v>0</v>
      </c>
      <c r="DZ215" s="3">
        <v>0</v>
      </c>
      <c r="EA215" s="3">
        <v>0</v>
      </c>
      <c r="EB215" s="4">
        <f t="shared" si="112"/>
        <v>0</v>
      </c>
      <c r="EC215" s="3">
        <v>0</v>
      </c>
      <c r="ED215" s="3">
        <v>0</v>
      </c>
      <c r="EE215" s="3">
        <v>0</v>
      </c>
      <c r="EF215" s="3">
        <v>0</v>
      </c>
      <c r="EG215" s="3">
        <v>0</v>
      </c>
      <c r="EH215" s="3">
        <v>0</v>
      </c>
      <c r="EI215" s="3">
        <v>0</v>
      </c>
      <c r="EJ215" s="3">
        <v>0</v>
      </c>
      <c r="EK215" s="3">
        <v>0</v>
      </c>
      <c r="EL215" s="3">
        <v>0</v>
      </c>
      <c r="EM215" s="3">
        <v>0</v>
      </c>
      <c r="EN215" s="3">
        <v>0</v>
      </c>
      <c r="EO215" s="4">
        <f t="shared" si="113"/>
        <v>0</v>
      </c>
      <c r="EP215" s="8">
        <f t="shared" si="114"/>
        <v>2</v>
      </c>
      <c r="EQ215" s="181">
        <f>IFERROR(VLOOKUP(I215,CEI_012018!$A$1:$U$509,9,FALSE),0)</f>
        <v>0</v>
      </c>
      <c r="ER215" s="181">
        <f>IFERROR(VLOOKUP(I215,CEI_022018!$A$1:$U$509,9,FALSE),0)</f>
        <v>0</v>
      </c>
      <c r="ES215" s="181">
        <f>IFERROR(VLOOKUP(I215,CEI_032018!$A$1:$U$509,9,FALSE),0)</f>
        <v>0</v>
      </c>
      <c r="ET215" s="181">
        <f>IFERROR(VLOOKUP(I215,CEI_042018!$A$1:$U$491,9,FALSE),0)</f>
        <v>0</v>
      </c>
      <c r="EU215" s="181">
        <f>IFERROR(VLOOKUP(I215,CEI_052018!$A$1:$U$489,9,FALSE),0)</f>
        <v>0</v>
      </c>
      <c r="EV215" s="181">
        <f>IFERROR(VLOOKUP(I215,CEI_062018!$A$1:$U$489,9,FALSE),0)</f>
        <v>0</v>
      </c>
      <c r="EW215" s="181">
        <f>IFERROR(VLOOKUP(I215,CEI_072018!$A$1:$U$489,9,FALSE),0)</f>
        <v>0</v>
      </c>
      <c r="EX215" s="181">
        <f>IFERROR(VLOOKUP(I215,CEI_082018!$A$1:$U$489,9,FALSE),0)</f>
        <v>0</v>
      </c>
      <c r="EY215" s="181">
        <f>IFERROR(VLOOKUP(I215,CEI_092018!$A$1:$U$489,9,FALSE),0)</f>
        <v>0</v>
      </c>
      <c r="EZ215" s="181"/>
      <c r="FA215" s="181"/>
      <c r="FB215" s="181"/>
      <c r="FC215" s="181">
        <f>IFERROR(VLOOKUP(I215,CEI_092018!$A$1:$U$489,12,FALSE),0)</f>
        <v>0</v>
      </c>
      <c r="FD215" s="181">
        <f t="shared" si="123"/>
        <v>0</v>
      </c>
      <c r="FE215" s="181">
        <f t="shared" si="124"/>
        <v>200</v>
      </c>
      <c r="FF215"/>
      <c r="FG215"/>
      <c r="FH215"/>
      <c r="FI215"/>
      <c r="FJ215"/>
      <c r="FK215"/>
      <c r="FL215"/>
      <c r="FM215"/>
      <c r="FN215"/>
      <c r="FO215"/>
      <c r="FP215"/>
      <c r="FQ215"/>
      <c r="FR215"/>
      <c r="FS215"/>
      <c r="FT215"/>
      <c r="FU215"/>
      <c r="FV215"/>
      <c r="FW215"/>
      <c r="FX215"/>
      <c r="FY215"/>
      <c r="FZ215"/>
      <c r="GA215"/>
      <c r="GB215"/>
      <c r="GC215"/>
    </row>
    <row r="216" spans="1:185" ht="12.75" customHeight="1" x14ac:dyDescent="0.25">
      <c r="A216" s="202"/>
      <c r="B216" s="22" t="s">
        <v>57</v>
      </c>
      <c r="C216" s="34" t="s">
        <v>44</v>
      </c>
      <c r="D216" s="22" t="s">
        <v>1059</v>
      </c>
      <c r="E216" s="25" t="s">
        <v>1063</v>
      </c>
      <c r="F216" s="25" t="s">
        <v>1059</v>
      </c>
      <c r="G216" s="25" t="s">
        <v>1063</v>
      </c>
      <c r="H216" s="22" t="s">
        <v>56</v>
      </c>
      <c r="I216" s="423" t="s">
        <v>565</v>
      </c>
      <c r="J216" s="37" t="s">
        <v>59</v>
      </c>
      <c r="K216" s="23" t="s">
        <v>1786</v>
      </c>
      <c r="L216" s="23"/>
      <c r="M216" s="23"/>
      <c r="N216" s="23" t="s">
        <v>1872</v>
      </c>
      <c r="O216" s="2">
        <v>0</v>
      </c>
      <c r="P216" s="2">
        <v>0</v>
      </c>
      <c r="Q216" s="2">
        <v>0</v>
      </c>
      <c r="R216" s="2">
        <v>0</v>
      </c>
      <c r="S216" s="2">
        <v>0</v>
      </c>
      <c r="T216" s="116">
        <f t="shared" si="116"/>
        <v>0</v>
      </c>
      <c r="U216" s="324">
        <v>0</v>
      </c>
      <c r="V216" s="324">
        <v>0</v>
      </c>
      <c r="W216" s="324">
        <v>0</v>
      </c>
      <c r="X216" s="324">
        <v>0</v>
      </c>
      <c r="Y216" s="324">
        <v>0</v>
      </c>
      <c r="Z216" s="324">
        <v>0</v>
      </c>
      <c r="AA216" s="324">
        <v>0</v>
      </c>
      <c r="AB216" s="324">
        <v>0</v>
      </c>
      <c r="AC216" s="324">
        <v>50</v>
      </c>
      <c r="AD216" s="324">
        <v>0</v>
      </c>
      <c r="AE216" s="324">
        <v>150</v>
      </c>
      <c r="AF216" s="324">
        <v>0</v>
      </c>
      <c r="AG216" s="140">
        <f t="shared" si="117"/>
        <v>200</v>
      </c>
      <c r="AH216" s="324">
        <v>0</v>
      </c>
      <c r="AI216" s="324">
        <v>100</v>
      </c>
      <c r="AJ216" s="324">
        <v>0</v>
      </c>
      <c r="AK216" s="324">
        <v>200</v>
      </c>
      <c r="AL216" s="324">
        <v>0</v>
      </c>
      <c r="AM216" s="324">
        <v>100</v>
      </c>
      <c r="AN216" s="324">
        <v>0</v>
      </c>
      <c r="AO216" s="324">
        <v>0</v>
      </c>
      <c r="AP216" s="324">
        <v>51</v>
      </c>
      <c r="AQ216" s="324">
        <v>0</v>
      </c>
      <c r="AR216" s="324">
        <v>0</v>
      </c>
      <c r="AS216" s="324">
        <v>100</v>
      </c>
      <c r="AT216" s="140">
        <f t="shared" si="118"/>
        <v>551</v>
      </c>
      <c r="AU216" s="324">
        <v>0</v>
      </c>
      <c r="AV216" s="324">
        <v>0</v>
      </c>
      <c r="AW216" s="324">
        <v>35</v>
      </c>
      <c r="AX216" s="324">
        <v>25</v>
      </c>
      <c r="AY216" s="324">
        <v>25</v>
      </c>
      <c r="AZ216" s="324">
        <v>100</v>
      </c>
      <c r="BA216" s="324">
        <v>50</v>
      </c>
      <c r="BB216" s="324">
        <v>50</v>
      </c>
      <c r="BC216" s="324">
        <v>50</v>
      </c>
      <c r="BD216" s="324">
        <v>50</v>
      </c>
      <c r="BE216" s="324">
        <v>50</v>
      </c>
      <c r="BF216" s="324">
        <v>100</v>
      </c>
      <c r="BG216" s="140">
        <f t="shared" si="119"/>
        <v>535</v>
      </c>
      <c r="BH216" s="324">
        <v>100</v>
      </c>
      <c r="BI216" s="324">
        <v>100</v>
      </c>
      <c r="BJ216" s="324">
        <v>100</v>
      </c>
      <c r="BK216" s="324">
        <v>200</v>
      </c>
      <c r="BL216" s="324">
        <v>91</v>
      </c>
      <c r="BM216" s="324">
        <v>0</v>
      </c>
      <c r="BN216" s="324">
        <v>0</v>
      </c>
      <c r="BO216" s="324">
        <v>0</v>
      </c>
      <c r="BP216" s="324">
        <v>0</v>
      </c>
      <c r="BQ216" s="324">
        <v>0</v>
      </c>
      <c r="BR216" s="324">
        <v>0</v>
      </c>
      <c r="BS216" s="324">
        <v>0</v>
      </c>
      <c r="BT216" s="140">
        <f t="shared" si="120"/>
        <v>591</v>
      </c>
      <c r="BU216" s="114">
        <f t="shared" si="121"/>
        <v>1877</v>
      </c>
      <c r="BV216" s="432"/>
      <c r="BW216" s="432"/>
      <c r="BX216" s="432"/>
      <c r="BY216" s="432"/>
      <c r="BZ216" s="433"/>
      <c r="CA216" s="434"/>
      <c r="CB216" s="7" t="s">
        <v>1699</v>
      </c>
      <c r="CC216" s="3">
        <v>0</v>
      </c>
      <c r="CD216" s="3">
        <v>0</v>
      </c>
      <c r="CE216" s="3">
        <v>0</v>
      </c>
      <c r="CF216" s="3">
        <v>0</v>
      </c>
      <c r="CG216" s="3">
        <v>0</v>
      </c>
      <c r="CH216" s="3">
        <v>0</v>
      </c>
      <c r="CI216" s="3">
        <v>0</v>
      </c>
      <c r="CJ216" s="3">
        <v>0</v>
      </c>
      <c r="CK216" s="3">
        <v>0</v>
      </c>
      <c r="CL216" s="3">
        <v>0</v>
      </c>
      <c r="CM216" s="3">
        <v>0</v>
      </c>
      <c r="CN216" s="3">
        <v>0</v>
      </c>
      <c r="CO216" s="4">
        <f t="shared" si="109"/>
        <v>0</v>
      </c>
      <c r="CP216" s="3">
        <v>0</v>
      </c>
      <c r="CQ216" s="3">
        <v>0</v>
      </c>
      <c r="CR216" s="3">
        <v>0</v>
      </c>
      <c r="CS216" s="3">
        <v>0</v>
      </c>
      <c r="CT216" s="3">
        <v>0</v>
      </c>
      <c r="CU216" s="3">
        <v>0</v>
      </c>
      <c r="CV216" s="3">
        <v>0</v>
      </c>
      <c r="CW216" s="3">
        <v>0</v>
      </c>
      <c r="CX216" s="3">
        <v>0</v>
      </c>
      <c r="CY216" s="3">
        <v>0</v>
      </c>
      <c r="CZ216" s="3">
        <v>1</v>
      </c>
      <c r="DA216" s="3">
        <v>0</v>
      </c>
      <c r="DB216" s="4">
        <f t="shared" si="110"/>
        <v>1</v>
      </c>
      <c r="DC216" s="3">
        <v>0</v>
      </c>
      <c r="DD216" s="3">
        <v>0</v>
      </c>
      <c r="DE216" s="3">
        <v>0</v>
      </c>
      <c r="DF216" s="3">
        <v>0</v>
      </c>
      <c r="DG216" s="3">
        <v>0</v>
      </c>
      <c r="DH216" s="3">
        <v>0</v>
      </c>
      <c r="DI216" s="3">
        <v>0</v>
      </c>
      <c r="DJ216" s="3">
        <v>0</v>
      </c>
      <c r="DK216" s="3">
        <v>0</v>
      </c>
      <c r="DL216" s="3">
        <v>0</v>
      </c>
      <c r="DM216" s="3">
        <v>0</v>
      </c>
      <c r="DN216" s="3">
        <v>1</v>
      </c>
      <c r="DO216" s="4">
        <f t="shared" si="111"/>
        <v>1</v>
      </c>
      <c r="DP216" s="3">
        <v>0</v>
      </c>
      <c r="DQ216" s="3">
        <v>0</v>
      </c>
      <c r="DR216" s="3">
        <v>0</v>
      </c>
      <c r="DS216" s="3">
        <v>0</v>
      </c>
      <c r="DT216" s="3">
        <v>0</v>
      </c>
      <c r="DU216" s="3">
        <v>0</v>
      </c>
      <c r="DV216" s="3">
        <v>0</v>
      </c>
      <c r="DW216" s="3">
        <v>0</v>
      </c>
      <c r="DX216" s="3">
        <v>0</v>
      </c>
      <c r="DY216" s="3">
        <v>0</v>
      </c>
      <c r="DZ216" s="3">
        <v>0</v>
      </c>
      <c r="EA216" s="3">
        <v>1</v>
      </c>
      <c r="EB216" s="4">
        <f t="shared" si="112"/>
        <v>1</v>
      </c>
      <c r="EC216" s="3">
        <v>0</v>
      </c>
      <c r="ED216" s="3">
        <v>0</v>
      </c>
      <c r="EE216" s="3">
        <v>0</v>
      </c>
      <c r="EF216" s="3">
        <v>1</v>
      </c>
      <c r="EG216" s="3">
        <v>0</v>
      </c>
      <c r="EH216" s="3">
        <v>0</v>
      </c>
      <c r="EI216" s="3">
        <v>0</v>
      </c>
      <c r="EJ216" s="3">
        <v>0</v>
      </c>
      <c r="EK216" s="3">
        <v>0</v>
      </c>
      <c r="EL216" s="3">
        <v>0</v>
      </c>
      <c r="EM216" s="3">
        <v>0</v>
      </c>
      <c r="EN216" s="3">
        <v>0</v>
      </c>
      <c r="EO216" s="4">
        <f t="shared" si="113"/>
        <v>1</v>
      </c>
      <c r="EP216" s="8">
        <f t="shared" si="114"/>
        <v>4</v>
      </c>
      <c r="EQ216" s="181">
        <f>IFERROR(VLOOKUP(I216,CEI_012018!$A$1:$U$509,9,FALSE),0)</f>
        <v>0</v>
      </c>
      <c r="ER216" s="181">
        <f>IFERROR(VLOOKUP(I216,CEI_022018!$A$1:$U$509,9,FALSE),0)</f>
        <v>0</v>
      </c>
      <c r="ES216" s="181">
        <f>IFERROR(VLOOKUP(I216,CEI_032018!$A$1:$U$509,9,FALSE),0)</f>
        <v>0</v>
      </c>
      <c r="ET216" s="181">
        <f>IFERROR(VLOOKUP(I216,CEI_042018!$A$1:$U$491,9,FALSE),0)</f>
        <v>0</v>
      </c>
      <c r="EU216" s="181">
        <f>IFERROR(VLOOKUP(I216,CEI_052018!$A$1:$U$489,9,FALSE),0)</f>
        <v>0</v>
      </c>
      <c r="EV216" s="181">
        <f>IFERROR(VLOOKUP(I216,CEI_062018!$A$1:$U$489,9,FALSE),0)</f>
        <v>0</v>
      </c>
      <c r="EW216" s="181">
        <f>IFERROR(VLOOKUP(I216,CEI_072018!$A$1:$U$489,9,FALSE),0)</f>
        <v>0</v>
      </c>
      <c r="EX216" s="181">
        <f>IFERROR(VLOOKUP(I216,CEI_082018!$A$1:$U$489,9,FALSE),0)</f>
        <v>0</v>
      </c>
      <c r="EY216" s="181">
        <f>IFERROR(VLOOKUP(I216,CEI_092018!$A$1:$U$489,9,FALSE),0)</f>
        <v>0</v>
      </c>
      <c r="EZ216" s="181"/>
      <c r="FA216" s="181"/>
      <c r="FB216" s="181"/>
      <c r="FC216" s="181">
        <f>IFERROR(VLOOKUP(I216,CEI_092018!$A$1:$U$489,12,FALSE),0)</f>
        <v>0</v>
      </c>
      <c r="FD216" s="181">
        <f t="shared" si="123"/>
        <v>0</v>
      </c>
      <c r="FE216" s="181">
        <f t="shared" si="124"/>
        <v>0</v>
      </c>
      <c r="FF216"/>
      <c r="FG216"/>
      <c r="FH216"/>
      <c r="FI216"/>
      <c r="FJ216"/>
      <c r="FK216"/>
      <c r="FL216"/>
      <c r="FM216"/>
      <c r="FN216"/>
      <c r="FO216"/>
      <c r="FP216"/>
      <c r="FQ216"/>
      <c r="FR216"/>
      <c r="FS216"/>
      <c r="FT216"/>
      <c r="FU216"/>
      <c r="FV216"/>
      <c r="FW216"/>
      <c r="FX216"/>
      <c r="FY216"/>
      <c r="FZ216"/>
      <c r="GA216"/>
      <c r="GB216"/>
      <c r="GC216"/>
    </row>
    <row r="217" spans="1:185" ht="12.75" customHeight="1" x14ac:dyDescent="0.25">
      <c r="A217" s="202"/>
      <c r="B217" s="22" t="s">
        <v>57</v>
      </c>
      <c r="C217" s="34" t="s">
        <v>44</v>
      </c>
      <c r="D217" s="22" t="s">
        <v>1059</v>
      </c>
      <c r="E217" s="25" t="s">
        <v>1063</v>
      </c>
      <c r="F217" s="25" t="s">
        <v>1059</v>
      </c>
      <c r="G217" s="25" t="s">
        <v>1063</v>
      </c>
      <c r="H217" s="22" t="s">
        <v>56</v>
      </c>
      <c r="I217" s="423" t="s">
        <v>753</v>
      </c>
      <c r="J217" s="37" t="s">
        <v>1372</v>
      </c>
      <c r="K217" s="23" t="s">
        <v>332</v>
      </c>
      <c r="L217" s="23" t="s">
        <v>333</v>
      </c>
      <c r="M217" s="23" t="s">
        <v>334</v>
      </c>
      <c r="N217" s="23" t="s">
        <v>1864</v>
      </c>
      <c r="O217" s="2">
        <v>44.140701055526733</v>
      </c>
      <c r="P217" s="2">
        <v>0</v>
      </c>
      <c r="Q217" s="2">
        <v>40</v>
      </c>
      <c r="R217" s="2">
        <v>40</v>
      </c>
      <c r="S217" s="2">
        <v>68.11142000000001</v>
      </c>
      <c r="T217" s="116">
        <f t="shared" si="116"/>
        <v>192.25212105552674</v>
      </c>
      <c r="U217" s="324">
        <v>15</v>
      </c>
      <c r="V217" s="324">
        <v>15</v>
      </c>
      <c r="W217" s="324">
        <v>25</v>
      </c>
      <c r="X217" s="324">
        <v>25</v>
      </c>
      <c r="Y217" s="324">
        <v>20</v>
      </c>
      <c r="Z217" s="324">
        <v>30</v>
      </c>
      <c r="AA217" s="324">
        <v>25</v>
      </c>
      <c r="AB217" s="324">
        <v>75</v>
      </c>
      <c r="AC217" s="324">
        <v>75</v>
      </c>
      <c r="AD217" s="324">
        <v>85</v>
      </c>
      <c r="AE217" s="324">
        <v>85</v>
      </c>
      <c r="AF217" s="324">
        <v>118</v>
      </c>
      <c r="AG217" s="140">
        <f t="shared" si="117"/>
        <v>593</v>
      </c>
      <c r="AH217" s="324">
        <v>15</v>
      </c>
      <c r="AI217" s="324">
        <v>15</v>
      </c>
      <c r="AJ217" s="324">
        <v>15</v>
      </c>
      <c r="AK217" s="324">
        <v>28</v>
      </c>
      <c r="AL217" s="324">
        <v>20</v>
      </c>
      <c r="AM217" s="324">
        <v>30</v>
      </c>
      <c r="AN217" s="324">
        <v>25</v>
      </c>
      <c r="AO217" s="324">
        <v>25</v>
      </c>
      <c r="AP217" s="324">
        <v>125</v>
      </c>
      <c r="AQ217" s="324">
        <v>125</v>
      </c>
      <c r="AR217" s="324">
        <v>91</v>
      </c>
      <c r="AS217" s="324">
        <v>120</v>
      </c>
      <c r="AT217" s="140">
        <f t="shared" si="118"/>
        <v>634</v>
      </c>
      <c r="AU217" s="324">
        <v>15</v>
      </c>
      <c r="AV217" s="324">
        <v>15</v>
      </c>
      <c r="AW217" s="324">
        <v>15</v>
      </c>
      <c r="AX217" s="324">
        <v>15</v>
      </c>
      <c r="AY217" s="324">
        <v>20</v>
      </c>
      <c r="AZ217" s="324">
        <v>30</v>
      </c>
      <c r="BA217" s="324">
        <v>25</v>
      </c>
      <c r="BB217" s="324">
        <v>25</v>
      </c>
      <c r="BC217" s="324">
        <v>25</v>
      </c>
      <c r="BD217" s="324">
        <v>25</v>
      </c>
      <c r="BE217" s="324">
        <v>20</v>
      </c>
      <c r="BF217" s="324">
        <v>20</v>
      </c>
      <c r="BG217" s="140">
        <f t="shared" si="119"/>
        <v>250</v>
      </c>
      <c r="BH217" s="324">
        <v>0</v>
      </c>
      <c r="BI217" s="324">
        <v>0</v>
      </c>
      <c r="BJ217" s="324">
        <v>30</v>
      </c>
      <c r="BK217" s="324">
        <v>0</v>
      </c>
      <c r="BL217" s="324">
        <v>20</v>
      </c>
      <c r="BM217" s="324">
        <v>30</v>
      </c>
      <c r="BN217" s="324">
        <v>0</v>
      </c>
      <c r="BO217" s="324">
        <v>50</v>
      </c>
      <c r="BP217" s="324">
        <v>0</v>
      </c>
      <c r="BQ217" s="324">
        <v>25</v>
      </c>
      <c r="BR217" s="324">
        <v>25</v>
      </c>
      <c r="BS217" s="324">
        <v>20</v>
      </c>
      <c r="BT217" s="140">
        <f t="shared" si="120"/>
        <v>200</v>
      </c>
      <c r="BU217" s="114">
        <f t="shared" si="121"/>
        <v>1869.2521210555267</v>
      </c>
      <c r="BV217" s="372">
        <v>1</v>
      </c>
      <c r="BW217" s="372">
        <v>1</v>
      </c>
      <c r="BX217" s="372">
        <v>1</v>
      </c>
      <c r="BY217" s="372">
        <v>1</v>
      </c>
      <c r="BZ217" s="436">
        <f t="shared" ref="BZ217:BZ221" si="125">IFERROR((EX217/T217%),0)</f>
        <v>22.959799253802721</v>
      </c>
      <c r="CA217" s="428">
        <f>IFERROR((FD217/T217%),0)</f>
        <v>63.830255058996912</v>
      </c>
      <c r="CB217" s="7" t="s">
        <v>1700</v>
      </c>
      <c r="CC217" s="3">
        <v>0</v>
      </c>
      <c r="CD217" s="3">
        <v>0</v>
      </c>
      <c r="CE217" s="3">
        <v>0</v>
      </c>
      <c r="CF217" s="3">
        <v>0</v>
      </c>
      <c r="CG217" s="3">
        <v>95.935162790697689</v>
      </c>
      <c r="CH217" s="3">
        <v>0</v>
      </c>
      <c r="CI217" s="3">
        <v>0</v>
      </c>
      <c r="CJ217" s="3">
        <v>69.767441860465112</v>
      </c>
      <c r="CK217" s="3">
        <v>0</v>
      </c>
      <c r="CL217" s="3">
        <v>93.023255813953483</v>
      </c>
      <c r="CM217" s="3">
        <v>93.023255813953483</v>
      </c>
      <c r="CN217" s="3">
        <v>95.348837209302332</v>
      </c>
      <c r="CO217" s="4">
        <f t="shared" si="109"/>
        <v>447.09795348837213</v>
      </c>
      <c r="CP217" s="3">
        <v>34.883720930232556</v>
      </c>
      <c r="CQ217" s="3">
        <v>34.883720930232556</v>
      </c>
      <c r="CR217" s="3">
        <v>58.139534883720934</v>
      </c>
      <c r="CS217" s="3">
        <v>58.139534883720934</v>
      </c>
      <c r="CT217" s="3">
        <v>46.511627906976742</v>
      </c>
      <c r="CU217" s="3">
        <v>69.767441860465112</v>
      </c>
      <c r="CV217" s="3">
        <v>58.139534883720934</v>
      </c>
      <c r="CW217" s="3">
        <v>174.41860465116278</v>
      </c>
      <c r="CX217" s="3">
        <v>174.41860465116278</v>
      </c>
      <c r="CY217" s="3">
        <v>197.67441860465118</v>
      </c>
      <c r="CZ217" s="3">
        <v>197.67441860465118</v>
      </c>
      <c r="DA217" s="3">
        <v>274.41860465116281</v>
      </c>
      <c r="DB217" s="4">
        <f t="shared" si="110"/>
        <v>1379.0697674418607</v>
      </c>
      <c r="DC217" s="3">
        <v>34.883720930232556</v>
      </c>
      <c r="DD217" s="3">
        <v>34.883720930232556</v>
      </c>
      <c r="DE217" s="3">
        <v>34.883720930232556</v>
      </c>
      <c r="DF217" s="3">
        <v>65.116279069767444</v>
      </c>
      <c r="DG217" s="3">
        <v>46.511627906976742</v>
      </c>
      <c r="DH217" s="3">
        <v>69.767441860465112</v>
      </c>
      <c r="DI217" s="3">
        <v>58.139534883720934</v>
      </c>
      <c r="DJ217" s="3">
        <v>58.139534883720934</v>
      </c>
      <c r="DK217" s="3">
        <v>290.69767441860466</v>
      </c>
      <c r="DL217" s="3">
        <v>290.69767441860466</v>
      </c>
      <c r="DM217" s="3">
        <v>211.62790697674419</v>
      </c>
      <c r="DN217" s="3">
        <v>279.06976744186045</v>
      </c>
      <c r="DO217" s="4">
        <f t="shared" si="111"/>
        <v>1474.4186046511629</v>
      </c>
      <c r="DP217" s="3">
        <v>34.883720930232556</v>
      </c>
      <c r="DQ217" s="3">
        <v>34.883720930232556</v>
      </c>
      <c r="DR217" s="3">
        <v>34.883720930232556</v>
      </c>
      <c r="DS217" s="3">
        <v>34.883720930232556</v>
      </c>
      <c r="DT217" s="3">
        <v>46.511627906976742</v>
      </c>
      <c r="DU217" s="3">
        <v>69.767441860465112</v>
      </c>
      <c r="DV217" s="3">
        <v>58.139534883720934</v>
      </c>
      <c r="DW217" s="3">
        <v>58.139534883720934</v>
      </c>
      <c r="DX217" s="3">
        <v>58.139534883720934</v>
      </c>
      <c r="DY217" s="3">
        <v>58.139534883720934</v>
      </c>
      <c r="DZ217" s="3">
        <v>46.511627906976742</v>
      </c>
      <c r="EA217" s="3">
        <v>46.511627906976742</v>
      </c>
      <c r="EB217" s="4">
        <f t="shared" si="112"/>
        <v>581.39534883720933</v>
      </c>
      <c r="EC217" s="3">
        <v>0</v>
      </c>
      <c r="ED217" s="3">
        <v>0</v>
      </c>
      <c r="EE217" s="3">
        <v>69.767441860465112</v>
      </c>
      <c r="EF217" s="3">
        <v>0</v>
      </c>
      <c r="EG217" s="3">
        <v>46.511627906976742</v>
      </c>
      <c r="EH217" s="3">
        <v>69.767441860465112</v>
      </c>
      <c r="EI217" s="3">
        <v>0</v>
      </c>
      <c r="EJ217" s="3">
        <v>116.27906976744187</v>
      </c>
      <c r="EK217" s="3">
        <v>0</v>
      </c>
      <c r="EL217" s="3">
        <v>58.139534883720934</v>
      </c>
      <c r="EM217" s="3">
        <v>58.139534883720934</v>
      </c>
      <c r="EN217" s="3">
        <v>46.511627906976742</v>
      </c>
      <c r="EO217" s="4">
        <f t="shared" si="113"/>
        <v>465.11627906976747</v>
      </c>
      <c r="EP217" s="8">
        <f t="shared" si="114"/>
        <v>4347.0979534883727</v>
      </c>
      <c r="EQ217" s="181">
        <f>IFERROR(VLOOKUP(I217,CEI_012018!$A$1:$U$509,9,FALSE),0)</f>
        <v>0</v>
      </c>
      <c r="ER217" s="181">
        <f>IFERROR(VLOOKUP(I217,CEI_022018!$A$1:$U$509,9,FALSE),0)</f>
        <v>0</v>
      </c>
      <c r="ES217" s="181">
        <f>IFERROR(VLOOKUP(I217,CEI_032018!$A$1:$U$509,9,FALSE),0)</f>
        <v>0</v>
      </c>
      <c r="ET217" s="181">
        <f>IFERROR(VLOOKUP(I217,CEI_042018!$A$1:$U$491,9,FALSE),0)</f>
        <v>0</v>
      </c>
      <c r="EU217" s="181">
        <f>IFERROR(VLOOKUP(I217,CEI_052018!$A$1:$U$489,9,FALSE),0)</f>
        <v>41.252120971679688</v>
      </c>
      <c r="EV217" s="181">
        <f>IFERROR(VLOOKUP(I217,CEI_062018!$A$1:$U$489,9,FALSE),0)</f>
        <v>41.252120971679688</v>
      </c>
      <c r="EW217" s="181">
        <f>IFERROR(VLOOKUP(I217,CEI_072018!$A$1:$U$489,9,FALSE),0)</f>
        <v>44.140701055526733</v>
      </c>
      <c r="EX217" s="181">
        <f>IFERROR(VLOOKUP(I217,CEI_082018!$A$1:$U$489,9,FALSE),0)</f>
        <v>44.140701055526733</v>
      </c>
      <c r="EY217" s="181">
        <f>IFERROR(VLOOKUP(I217,CEI_092018!$A$1:$U$489,9,FALSE),0)</f>
        <v>44.140701055526733</v>
      </c>
      <c r="EZ217" s="181"/>
      <c r="FA217" s="181"/>
      <c r="FB217" s="181"/>
      <c r="FC217" s="181">
        <f>IFERROR(VLOOKUP(I217,CEI_092018!$A$1:$U$489,12,FALSE),0)</f>
        <v>78.574318170547485</v>
      </c>
      <c r="FD217" s="181">
        <f t="shared" si="123"/>
        <v>122.71501922607422</v>
      </c>
      <c r="FE217" s="181">
        <f t="shared" si="124"/>
        <v>69.537101829452524</v>
      </c>
      <c r="FF217"/>
      <c r="FG217"/>
      <c r="FH217"/>
      <c r="FI217"/>
      <c r="FJ217"/>
      <c r="FK217"/>
      <c r="FL217"/>
      <c r="FM217"/>
      <c r="FN217"/>
      <c r="FO217"/>
      <c r="FP217"/>
      <c r="FQ217"/>
      <c r="FR217"/>
      <c r="FS217"/>
      <c r="FT217"/>
      <c r="FU217"/>
      <c r="FV217"/>
      <c r="FW217"/>
      <c r="FX217"/>
      <c r="FY217"/>
      <c r="FZ217"/>
      <c r="GA217"/>
      <c r="GB217"/>
      <c r="GC217"/>
    </row>
    <row r="218" spans="1:185" ht="12.75" customHeight="1" x14ac:dyDescent="0.25">
      <c r="A218" s="202"/>
      <c r="B218" s="22" t="s">
        <v>57</v>
      </c>
      <c r="C218" s="34" t="s">
        <v>44</v>
      </c>
      <c r="D218" s="22" t="s">
        <v>318</v>
      </c>
      <c r="E218" s="25" t="s">
        <v>1066</v>
      </c>
      <c r="F218" s="25" t="s">
        <v>318</v>
      </c>
      <c r="G218" s="25" t="s">
        <v>1066</v>
      </c>
      <c r="H218" s="22" t="s">
        <v>56</v>
      </c>
      <c r="I218" s="423" t="s">
        <v>1649</v>
      </c>
      <c r="J218" s="37" t="s">
        <v>1650</v>
      </c>
      <c r="K218" s="23" t="s">
        <v>843</v>
      </c>
      <c r="L218" s="23" t="s">
        <v>1687</v>
      </c>
      <c r="M218" s="23" t="s">
        <v>1694</v>
      </c>
      <c r="N218" s="23" t="s">
        <v>1877</v>
      </c>
      <c r="O218" s="2">
        <v>0</v>
      </c>
      <c r="P218" s="2">
        <v>0</v>
      </c>
      <c r="Q218" s="2">
        <v>1705</v>
      </c>
      <c r="R218" s="2">
        <v>160</v>
      </c>
      <c r="S218" s="2">
        <v>0</v>
      </c>
      <c r="T218" s="116">
        <f t="shared" si="116"/>
        <v>1865</v>
      </c>
      <c r="U218" s="324">
        <v>0</v>
      </c>
      <c r="V218" s="324">
        <v>0</v>
      </c>
      <c r="W218" s="324">
        <v>0</v>
      </c>
      <c r="X218" s="324">
        <v>0</v>
      </c>
      <c r="Y218" s="324">
        <v>0</v>
      </c>
      <c r="Z218" s="324">
        <v>0</v>
      </c>
      <c r="AA218" s="324">
        <v>0</v>
      </c>
      <c r="AB218" s="324">
        <v>0</v>
      </c>
      <c r="AC218" s="324">
        <v>0</v>
      </c>
      <c r="AD218" s="324">
        <v>0</v>
      </c>
      <c r="AE218" s="324">
        <v>0</v>
      </c>
      <c r="AF218" s="324">
        <v>0</v>
      </c>
      <c r="AG218" s="140">
        <f t="shared" si="117"/>
        <v>0</v>
      </c>
      <c r="AH218" s="324">
        <v>0</v>
      </c>
      <c r="AI218" s="324">
        <v>0</v>
      </c>
      <c r="AJ218" s="324">
        <v>0</v>
      </c>
      <c r="AK218" s="324">
        <v>0</v>
      </c>
      <c r="AL218" s="324">
        <v>0</v>
      </c>
      <c r="AM218" s="324">
        <v>0</v>
      </c>
      <c r="AN218" s="324">
        <v>0</v>
      </c>
      <c r="AO218" s="324">
        <v>0</v>
      </c>
      <c r="AP218" s="324">
        <v>0</v>
      </c>
      <c r="AQ218" s="324">
        <v>0</v>
      </c>
      <c r="AR218" s="324">
        <v>0</v>
      </c>
      <c r="AS218" s="324">
        <v>0</v>
      </c>
      <c r="AT218" s="140">
        <f t="shared" si="118"/>
        <v>0</v>
      </c>
      <c r="AU218" s="324">
        <v>0</v>
      </c>
      <c r="AV218" s="324">
        <v>0</v>
      </c>
      <c r="AW218" s="324">
        <v>0</v>
      </c>
      <c r="AX218" s="324">
        <v>0</v>
      </c>
      <c r="AY218" s="324">
        <v>0</v>
      </c>
      <c r="AZ218" s="324">
        <v>0</v>
      </c>
      <c r="BA218" s="324">
        <v>0</v>
      </c>
      <c r="BB218" s="324">
        <v>0</v>
      </c>
      <c r="BC218" s="324">
        <v>0</v>
      </c>
      <c r="BD218" s="324">
        <v>0</v>
      </c>
      <c r="BE218" s="324">
        <v>0</v>
      </c>
      <c r="BF218" s="324">
        <v>0</v>
      </c>
      <c r="BG218" s="140">
        <f t="shared" si="119"/>
        <v>0</v>
      </c>
      <c r="BH218" s="324">
        <v>0</v>
      </c>
      <c r="BI218" s="324">
        <v>0</v>
      </c>
      <c r="BJ218" s="324">
        <v>0</v>
      </c>
      <c r="BK218" s="324">
        <v>0</v>
      </c>
      <c r="BL218" s="324">
        <v>0</v>
      </c>
      <c r="BM218" s="324">
        <v>0</v>
      </c>
      <c r="BN218" s="324">
        <v>0</v>
      </c>
      <c r="BO218" s="324">
        <v>0</v>
      </c>
      <c r="BP218" s="324">
        <v>0</v>
      </c>
      <c r="BQ218" s="324">
        <v>0</v>
      </c>
      <c r="BR218" s="324">
        <v>0</v>
      </c>
      <c r="BS218" s="324">
        <v>0</v>
      </c>
      <c r="BT218" s="140">
        <f t="shared" si="120"/>
        <v>0</v>
      </c>
      <c r="BU218" s="114">
        <f t="shared" si="121"/>
        <v>1865</v>
      </c>
      <c r="BV218" s="372">
        <v>1</v>
      </c>
      <c r="BW218" s="372">
        <v>1</v>
      </c>
      <c r="BX218" s="372">
        <v>1</v>
      </c>
      <c r="BY218" s="372">
        <v>-1</v>
      </c>
      <c r="BZ218" s="436">
        <f t="shared" si="125"/>
        <v>0</v>
      </c>
      <c r="CA218" s="428">
        <f>IFERROR((FD218/T218%),0)</f>
        <v>90.000214563937362</v>
      </c>
      <c r="CB218" s="7" t="s">
        <v>1681</v>
      </c>
      <c r="CC218" s="3">
        <v>0</v>
      </c>
      <c r="CD218" s="3">
        <v>0</v>
      </c>
      <c r="CE218" s="3">
        <v>0</v>
      </c>
      <c r="CF218" s="3">
        <v>0</v>
      </c>
      <c r="CG218" s="3">
        <v>0</v>
      </c>
      <c r="CH218" s="3">
        <v>0</v>
      </c>
      <c r="CI218" s="3">
        <v>0</v>
      </c>
      <c r="CJ218" s="3">
        <v>0</v>
      </c>
      <c r="CK218" s="3">
        <v>0</v>
      </c>
      <c r="CL218" s="3">
        <v>26</v>
      </c>
      <c r="CM218" s="3">
        <v>0</v>
      </c>
      <c r="CN218" s="3">
        <v>0</v>
      </c>
      <c r="CO218" s="4">
        <f t="shared" si="109"/>
        <v>26</v>
      </c>
      <c r="CP218" s="3">
        <v>0</v>
      </c>
      <c r="CQ218" s="3">
        <v>0</v>
      </c>
      <c r="CR218" s="3">
        <v>0</v>
      </c>
      <c r="CS218" s="3">
        <v>0</v>
      </c>
      <c r="CT218" s="3">
        <v>0</v>
      </c>
      <c r="CU218" s="3">
        <v>0</v>
      </c>
      <c r="CV218" s="3">
        <v>0</v>
      </c>
      <c r="CW218" s="3">
        <v>0</v>
      </c>
      <c r="CX218" s="3">
        <v>0</v>
      </c>
      <c r="CY218" s="3">
        <v>0</v>
      </c>
      <c r="CZ218" s="3">
        <v>0</v>
      </c>
      <c r="DA218" s="3">
        <v>0</v>
      </c>
      <c r="DB218" s="4">
        <f t="shared" si="110"/>
        <v>0</v>
      </c>
      <c r="DC218" s="3">
        <v>0</v>
      </c>
      <c r="DD218" s="3">
        <v>0</v>
      </c>
      <c r="DE218" s="3">
        <v>0</v>
      </c>
      <c r="DF218" s="3">
        <v>0</v>
      </c>
      <c r="DG218" s="3">
        <v>0</v>
      </c>
      <c r="DH218" s="3">
        <v>0</v>
      </c>
      <c r="DI218" s="3">
        <v>0</v>
      </c>
      <c r="DJ218" s="3">
        <v>0</v>
      </c>
      <c r="DK218" s="3">
        <v>0</v>
      </c>
      <c r="DL218" s="3">
        <v>0</v>
      </c>
      <c r="DM218" s="3">
        <v>0</v>
      </c>
      <c r="DN218" s="3">
        <v>0</v>
      </c>
      <c r="DO218" s="4">
        <f t="shared" si="111"/>
        <v>0</v>
      </c>
      <c r="DP218" s="3">
        <v>0</v>
      </c>
      <c r="DQ218" s="3">
        <v>0</v>
      </c>
      <c r="DR218" s="3">
        <v>0</v>
      </c>
      <c r="DS218" s="3">
        <v>0</v>
      </c>
      <c r="DT218" s="3">
        <v>0</v>
      </c>
      <c r="DU218" s="3">
        <v>0</v>
      </c>
      <c r="DV218" s="3">
        <v>0</v>
      </c>
      <c r="DW218" s="3">
        <v>0</v>
      </c>
      <c r="DX218" s="3">
        <v>0</v>
      </c>
      <c r="DY218" s="3">
        <v>0</v>
      </c>
      <c r="DZ218" s="3">
        <v>0</v>
      </c>
      <c r="EA218" s="3">
        <v>0</v>
      </c>
      <c r="EB218" s="4">
        <f t="shared" si="112"/>
        <v>0</v>
      </c>
      <c r="EC218" s="3">
        <v>0</v>
      </c>
      <c r="ED218" s="3">
        <v>0</v>
      </c>
      <c r="EE218" s="3">
        <v>0</v>
      </c>
      <c r="EF218" s="3">
        <v>0</v>
      </c>
      <c r="EG218" s="3">
        <v>0</v>
      </c>
      <c r="EH218" s="3">
        <v>0</v>
      </c>
      <c r="EI218" s="3">
        <v>0</v>
      </c>
      <c r="EJ218" s="3">
        <v>0</v>
      </c>
      <c r="EK218" s="3">
        <v>0</v>
      </c>
      <c r="EL218" s="3">
        <v>0</v>
      </c>
      <c r="EM218" s="3">
        <v>0</v>
      </c>
      <c r="EN218" s="3">
        <v>0</v>
      </c>
      <c r="EO218" s="4">
        <f t="shared" si="113"/>
        <v>0</v>
      </c>
      <c r="EP218" s="8">
        <f t="shared" si="114"/>
        <v>26</v>
      </c>
      <c r="EQ218" s="181">
        <f>IFERROR(VLOOKUP(I218,CEI_012018!$A$1:$U$509,9,FALSE),0)</f>
        <v>0</v>
      </c>
      <c r="ER218" s="181">
        <f>IFERROR(VLOOKUP(I218,CEI_022018!$A$1:$U$509,9,FALSE),0)</f>
        <v>0</v>
      </c>
      <c r="ES218" s="181">
        <f>IFERROR(VLOOKUP(I218,CEI_032018!$A$1:$U$509,9,FALSE),0)</f>
        <v>0</v>
      </c>
      <c r="ET218" s="181">
        <f>IFERROR(VLOOKUP(I218,CEI_042018!$A$1:$U$491,9,FALSE),0)</f>
        <v>0</v>
      </c>
      <c r="EU218" s="181">
        <f>IFERROR(VLOOKUP(I218,CEI_052018!$A$1:$U$489,9,FALSE),0)</f>
        <v>0</v>
      </c>
      <c r="EV218" s="181">
        <f>IFERROR(VLOOKUP(I218,CEI_062018!$A$1:$U$489,9,FALSE),0)</f>
        <v>0</v>
      </c>
      <c r="EW218" s="181">
        <f>IFERROR(VLOOKUP(I218,CEI_072018!$A$1:$U$489,9,FALSE),0)</f>
        <v>0</v>
      </c>
      <c r="EX218" s="181">
        <f>IFERROR(VLOOKUP(I218,CEI_082018!$A$1:$U$489,9,FALSE),0)</f>
        <v>0</v>
      </c>
      <c r="EY218" s="181">
        <f>IFERROR(VLOOKUP(I218,CEI_092018!$A$1:$U$489,9,FALSE),0)</f>
        <v>0</v>
      </c>
      <c r="EZ218" s="181"/>
      <c r="FA218" s="181"/>
      <c r="FB218" s="181"/>
      <c r="FC218" s="181">
        <f>IFERROR(VLOOKUP(I218,CEI_092018!$A$1:$U$489,12,FALSE),0)</f>
        <v>1678.5040016174316</v>
      </c>
      <c r="FD218" s="181">
        <f t="shared" si="123"/>
        <v>1678.5040016174316</v>
      </c>
      <c r="FE218" s="181">
        <f t="shared" si="124"/>
        <v>186.49599838256836</v>
      </c>
      <c r="FF218"/>
      <c r="FG218"/>
      <c r="FH218"/>
      <c r="FI218"/>
      <c r="FJ218"/>
      <c r="FK218"/>
      <c r="FL218"/>
      <c r="FM218"/>
      <c r="FN218"/>
      <c r="FO218"/>
      <c r="FP218"/>
      <c r="FQ218"/>
      <c r="FR218"/>
      <c r="FS218"/>
      <c r="FT218"/>
      <c r="FU218"/>
      <c r="FV218"/>
      <c r="FW218"/>
      <c r="FX218"/>
      <c r="FY218"/>
      <c r="FZ218"/>
      <c r="GA218"/>
      <c r="GB218"/>
      <c r="GC218"/>
    </row>
    <row r="219" spans="1:185" ht="12.75" customHeight="1" x14ac:dyDescent="0.25">
      <c r="A219" s="202"/>
      <c r="B219" s="22" t="s">
        <v>57</v>
      </c>
      <c r="C219" s="34" t="s">
        <v>44</v>
      </c>
      <c r="D219" s="22" t="s">
        <v>318</v>
      </c>
      <c r="E219" s="25" t="s">
        <v>1066</v>
      </c>
      <c r="F219" s="25" t="s">
        <v>318</v>
      </c>
      <c r="G219" s="25" t="s">
        <v>1066</v>
      </c>
      <c r="H219" s="22" t="s">
        <v>56</v>
      </c>
      <c r="I219" s="483" t="s">
        <v>1752</v>
      </c>
      <c r="J219" s="255" t="s">
        <v>1753</v>
      </c>
      <c r="K219" s="23" t="s">
        <v>834</v>
      </c>
      <c r="L219" s="23" t="s">
        <v>835</v>
      </c>
      <c r="M219" s="23" t="s">
        <v>836</v>
      </c>
      <c r="N219" s="23" t="s">
        <v>1877</v>
      </c>
      <c r="O219" s="2">
        <v>0</v>
      </c>
      <c r="P219" s="2">
        <v>0</v>
      </c>
      <c r="Q219" s="2">
        <v>0</v>
      </c>
      <c r="R219" s="2">
        <v>992.60844000000009</v>
      </c>
      <c r="S219" s="2">
        <v>130</v>
      </c>
      <c r="T219" s="116">
        <f t="shared" si="116"/>
        <v>1122.60844</v>
      </c>
      <c r="U219" s="324">
        <v>172.73974000000001</v>
      </c>
      <c r="V219" s="324">
        <v>64.651820000000001</v>
      </c>
      <c r="W219" s="324">
        <v>0</v>
      </c>
      <c r="X219" s="324">
        <v>0</v>
      </c>
      <c r="Y219" s="324">
        <v>0</v>
      </c>
      <c r="Z219" s="324">
        <v>0</v>
      </c>
      <c r="AA219" s="324">
        <v>0</v>
      </c>
      <c r="AB219" s="324">
        <v>0</v>
      </c>
      <c r="AC219" s="324">
        <v>0</v>
      </c>
      <c r="AD219" s="324">
        <v>0</v>
      </c>
      <c r="AE219" s="324">
        <v>0</v>
      </c>
      <c r="AF219" s="324">
        <v>0</v>
      </c>
      <c r="AG219" s="140">
        <f t="shared" si="117"/>
        <v>237.39156000000003</v>
      </c>
      <c r="AH219" s="324">
        <v>0</v>
      </c>
      <c r="AI219" s="324">
        <v>0</v>
      </c>
      <c r="AJ219" s="324">
        <v>337</v>
      </c>
      <c r="AK219" s="324">
        <v>63</v>
      </c>
      <c r="AL219" s="324">
        <v>0</v>
      </c>
      <c r="AM219" s="324">
        <v>0</v>
      </c>
      <c r="AN219" s="324">
        <v>0</v>
      </c>
      <c r="AO219" s="324">
        <v>0</v>
      </c>
      <c r="AP219" s="324">
        <v>0</v>
      </c>
      <c r="AQ219" s="324">
        <v>0</v>
      </c>
      <c r="AR219" s="324">
        <v>0</v>
      </c>
      <c r="AS219" s="324">
        <v>0</v>
      </c>
      <c r="AT219" s="140">
        <f t="shared" si="118"/>
        <v>400</v>
      </c>
      <c r="AU219" s="324">
        <v>0</v>
      </c>
      <c r="AV219" s="324">
        <v>0</v>
      </c>
      <c r="AW219" s="324">
        <v>0</v>
      </c>
      <c r="AX219" s="324">
        <v>0</v>
      </c>
      <c r="AY219" s="324">
        <v>0</v>
      </c>
      <c r="AZ219" s="324">
        <v>0</v>
      </c>
      <c r="BA219" s="324">
        <v>0</v>
      </c>
      <c r="BB219" s="324">
        <v>0</v>
      </c>
      <c r="BC219" s="324">
        <v>0</v>
      </c>
      <c r="BD219" s="324">
        <v>0</v>
      </c>
      <c r="BE219" s="324">
        <v>0</v>
      </c>
      <c r="BF219" s="324">
        <v>0</v>
      </c>
      <c r="BG219" s="140">
        <f t="shared" si="119"/>
        <v>0</v>
      </c>
      <c r="BH219" s="324">
        <v>0</v>
      </c>
      <c r="BI219" s="324">
        <v>0</v>
      </c>
      <c r="BJ219" s="324">
        <v>0</v>
      </c>
      <c r="BK219" s="324">
        <v>0</v>
      </c>
      <c r="BL219" s="324">
        <v>0</v>
      </c>
      <c r="BM219" s="324">
        <v>0</v>
      </c>
      <c r="BN219" s="324">
        <v>0</v>
      </c>
      <c r="BO219" s="324">
        <v>0</v>
      </c>
      <c r="BP219" s="324">
        <v>0</v>
      </c>
      <c r="BQ219" s="324">
        <v>0</v>
      </c>
      <c r="BR219" s="324">
        <v>0</v>
      </c>
      <c r="BS219" s="324">
        <v>0</v>
      </c>
      <c r="BT219" s="140">
        <f t="shared" si="120"/>
        <v>0</v>
      </c>
      <c r="BU219" s="114">
        <f t="shared" si="121"/>
        <v>1760</v>
      </c>
      <c r="BV219" s="372">
        <v>1</v>
      </c>
      <c r="BW219" s="372">
        <v>1</v>
      </c>
      <c r="BX219" s="372">
        <v>1</v>
      </c>
      <c r="BY219" s="372">
        <v>-1</v>
      </c>
      <c r="BZ219" s="436">
        <f t="shared" si="125"/>
        <v>0</v>
      </c>
      <c r="CA219" s="428">
        <f>IFERROR((FD219/T219%),0)</f>
        <v>88.419824057033281</v>
      </c>
      <c r="CB219" s="7" t="s">
        <v>1681</v>
      </c>
      <c r="CC219" s="3">
        <v>0</v>
      </c>
      <c r="CD219" s="3">
        <v>0</v>
      </c>
      <c r="CE219" s="3">
        <v>0</v>
      </c>
      <c r="CF219" s="3">
        <v>0</v>
      </c>
      <c r="CG219" s="3">
        <v>0</v>
      </c>
      <c r="CH219" s="3">
        <v>0</v>
      </c>
      <c r="CI219" s="3">
        <v>0</v>
      </c>
      <c r="CJ219" s="3">
        <v>0</v>
      </c>
      <c r="CK219" s="3">
        <v>0</v>
      </c>
      <c r="CL219" s="3">
        <v>0</v>
      </c>
      <c r="CM219" s="3">
        <v>10</v>
      </c>
      <c r="CN219" s="3">
        <v>0</v>
      </c>
      <c r="CO219" s="4">
        <f t="shared" si="109"/>
        <v>10</v>
      </c>
      <c r="CP219" s="3">
        <v>2.9069767441860463</v>
      </c>
      <c r="CQ219" s="3">
        <v>2.9069767441860463</v>
      </c>
      <c r="CR219" s="3">
        <v>0</v>
      </c>
      <c r="CS219" s="3">
        <v>0</v>
      </c>
      <c r="CT219" s="3">
        <v>0</v>
      </c>
      <c r="CU219" s="3">
        <v>0</v>
      </c>
      <c r="CV219" s="3">
        <v>0</v>
      </c>
      <c r="CW219" s="3">
        <v>0</v>
      </c>
      <c r="CX219" s="3">
        <v>0</v>
      </c>
      <c r="CY219" s="3">
        <v>0</v>
      </c>
      <c r="CZ219" s="3">
        <v>0</v>
      </c>
      <c r="DA219" s="3">
        <v>0</v>
      </c>
      <c r="DB219" s="4">
        <f t="shared" si="110"/>
        <v>5.8139534883720927</v>
      </c>
      <c r="DC219" s="3">
        <v>0</v>
      </c>
      <c r="DD219" s="3">
        <v>0</v>
      </c>
      <c r="DE219" s="3">
        <v>4.6511627906976747</v>
      </c>
      <c r="DF219" s="3">
        <v>0</v>
      </c>
      <c r="DG219" s="3">
        <v>0</v>
      </c>
      <c r="DH219" s="3">
        <v>0</v>
      </c>
      <c r="DI219" s="3">
        <v>0</v>
      </c>
      <c r="DJ219" s="3">
        <v>0</v>
      </c>
      <c r="DK219" s="3">
        <v>0</v>
      </c>
      <c r="DL219" s="3">
        <v>0</v>
      </c>
      <c r="DM219" s="3">
        <v>0</v>
      </c>
      <c r="DN219" s="3">
        <v>0</v>
      </c>
      <c r="DO219" s="4">
        <f t="shared" si="111"/>
        <v>4.6511627906976747</v>
      </c>
      <c r="DP219" s="3">
        <v>0</v>
      </c>
      <c r="DQ219" s="3">
        <v>0</v>
      </c>
      <c r="DR219" s="3">
        <v>0</v>
      </c>
      <c r="DS219" s="3">
        <v>0</v>
      </c>
      <c r="DT219" s="3">
        <v>0</v>
      </c>
      <c r="DU219" s="3">
        <v>0</v>
      </c>
      <c r="DV219" s="3">
        <v>0</v>
      </c>
      <c r="DW219" s="3">
        <v>0</v>
      </c>
      <c r="DX219" s="3">
        <v>0</v>
      </c>
      <c r="DY219" s="3">
        <v>0</v>
      </c>
      <c r="DZ219" s="3">
        <v>0</v>
      </c>
      <c r="EA219" s="3">
        <v>0</v>
      </c>
      <c r="EB219" s="4">
        <f t="shared" si="112"/>
        <v>0</v>
      </c>
      <c r="EC219" s="3">
        <v>0</v>
      </c>
      <c r="ED219" s="3">
        <v>0</v>
      </c>
      <c r="EE219" s="3">
        <v>0</v>
      </c>
      <c r="EF219" s="3">
        <v>0</v>
      </c>
      <c r="EG219" s="3">
        <v>0</v>
      </c>
      <c r="EH219" s="3">
        <v>0</v>
      </c>
      <c r="EI219" s="3">
        <v>0</v>
      </c>
      <c r="EJ219" s="3">
        <v>0</v>
      </c>
      <c r="EK219" s="3">
        <v>0</v>
      </c>
      <c r="EL219" s="3">
        <v>0</v>
      </c>
      <c r="EM219" s="3">
        <v>0</v>
      </c>
      <c r="EN219" s="3">
        <v>0</v>
      </c>
      <c r="EO219" s="4">
        <f t="shared" si="113"/>
        <v>0</v>
      </c>
      <c r="EP219" s="8">
        <f t="shared" si="114"/>
        <v>20.465116279069768</v>
      </c>
      <c r="EQ219" s="181">
        <f>IFERROR(VLOOKUP(I219,CEI_012018!$A$1:$U$509,9,FALSE),0)</f>
        <v>0</v>
      </c>
      <c r="ER219" s="181">
        <f>IFERROR(VLOOKUP(I219,CEI_022018!$A$1:$U$509,9,FALSE),0)</f>
        <v>0</v>
      </c>
      <c r="ES219" s="181">
        <f>IFERROR(VLOOKUP(I219,CEI_032018!$A$1:$U$509,9,FALSE),0)</f>
        <v>0</v>
      </c>
      <c r="ET219" s="181">
        <f>IFERROR(VLOOKUP(I219,CEI_042018!$A$1:$U$491,9,FALSE),0)</f>
        <v>0</v>
      </c>
      <c r="EU219" s="181">
        <f>IFERROR(VLOOKUP(I219,CEI_052018!$A$1:$U$489,9,FALSE),0)</f>
        <v>0</v>
      </c>
      <c r="EV219" s="181">
        <f>IFERROR(VLOOKUP(I219,CEI_062018!$A$1:$U$489,9,FALSE),0)</f>
        <v>0</v>
      </c>
      <c r="EW219" s="181">
        <f>IFERROR(VLOOKUP(I219,CEI_072018!$A$1:$U$489,9,FALSE),0)</f>
        <v>0</v>
      </c>
      <c r="EX219" s="181">
        <f>IFERROR(VLOOKUP(I219,CEI_082018!$A$1:$U$489,9,FALSE),0)</f>
        <v>0</v>
      </c>
      <c r="EY219" s="181">
        <f>IFERROR(VLOOKUP(I219,CEI_092018!$A$1:$U$489,9,FALSE),0)</f>
        <v>0</v>
      </c>
      <c r="EZ219" s="181"/>
      <c r="FA219" s="181"/>
      <c r="FB219" s="181"/>
      <c r="FC219" s="181">
        <f>IFERROR(VLOOKUP(I219,CEI_092018!$A$1:$U$489,12,FALSE),0)</f>
        <v>992.60840749740601</v>
      </c>
      <c r="FD219" s="181">
        <f t="shared" si="123"/>
        <v>992.60840749740601</v>
      </c>
      <c r="FE219" s="181">
        <f t="shared" si="124"/>
        <v>130.00003250259397</v>
      </c>
      <c r="FF219"/>
      <c r="FG219"/>
      <c r="FH219"/>
      <c r="FI219"/>
      <c r="FJ219"/>
      <c r="FK219"/>
      <c r="FL219"/>
      <c r="FM219"/>
      <c r="FN219"/>
      <c r="FO219"/>
      <c r="FP219"/>
      <c r="FQ219"/>
      <c r="FR219"/>
      <c r="FS219"/>
      <c r="FT219"/>
      <c r="FU219"/>
      <c r="FV219"/>
      <c r="FW219"/>
      <c r="FX219"/>
      <c r="FY219"/>
      <c r="FZ219"/>
      <c r="GA219"/>
      <c r="GB219"/>
      <c r="GC219"/>
    </row>
    <row r="220" spans="1:185" ht="12.75" customHeight="1" x14ac:dyDescent="0.25">
      <c r="A220" s="202"/>
      <c r="B220" s="22" t="s">
        <v>57</v>
      </c>
      <c r="C220" s="34" t="s">
        <v>44</v>
      </c>
      <c r="D220" s="22" t="s">
        <v>318</v>
      </c>
      <c r="E220" s="25" t="s">
        <v>1066</v>
      </c>
      <c r="F220" s="25" t="s">
        <v>318</v>
      </c>
      <c r="G220" s="25" t="s">
        <v>1066</v>
      </c>
      <c r="H220" s="22" t="s">
        <v>56</v>
      </c>
      <c r="I220" s="483" t="s">
        <v>1343</v>
      </c>
      <c r="J220" s="255" t="s">
        <v>1345</v>
      </c>
      <c r="K220" s="23" t="s">
        <v>828</v>
      </c>
      <c r="L220" s="23" t="s">
        <v>829</v>
      </c>
      <c r="M220" s="23" t="s">
        <v>830</v>
      </c>
      <c r="N220" s="23" t="s">
        <v>1877</v>
      </c>
      <c r="O220" s="2">
        <v>0</v>
      </c>
      <c r="P220" s="2">
        <v>0</v>
      </c>
      <c r="Q220" s="2">
        <v>0</v>
      </c>
      <c r="R220" s="2">
        <v>0</v>
      </c>
      <c r="S220" s="2">
        <v>0</v>
      </c>
      <c r="T220" s="116">
        <f t="shared" si="116"/>
        <v>0</v>
      </c>
      <c r="U220" s="324">
        <v>0</v>
      </c>
      <c r="V220" s="324">
        <v>0</v>
      </c>
      <c r="W220" s="324">
        <v>671</v>
      </c>
      <c r="X220" s="324">
        <v>161</v>
      </c>
      <c r="Y220" s="324">
        <v>0</v>
      </c>
      <c r="Z220" s="324">
        <v>0</v>
      </c>
      <c r="AA220" s="324">
        <v>0</v>
      </c>
      <c r="AB220" s="324">
        <v>0</v>
      </c>
      <c r="AC220" s="324">
        <v>0</v>
      </c>
      <c r="AD220" s="324">
        <v>0</v>
      </c>
      <c r="AE220" s="324">
        <v>0</v>
      </c>
      <c r="AF220" s="324">
        <v>0</v>
      </c>
      <c r="AG220" s="140">
        <f t="shared" si="117"/>
        <v>832</v>
      </c>
      <c r="AH220" s="324">
        <v>0</v>
      </c>
      <c r="AI220" s="324">
        <v>0</v>
      </c>
      <c r="AJ220" s="324">
        <v>0</v>
      </c>
      <c r="AK220" s="324">
        <v>0</v>
      </c>
      <c r="AL220" s="324">
        <v>0</v>
      </c>
      <c r="AM220" s="324">
        <v>0</v>
      </c>
      <c r="AN220" s="324">
        <v>0</v>
      </c>
      <c r="AO220" s="324">
        <v>0</v>
      </c>
      <c r="AP220" s="324">
        <v>0</v>
      </c>
      <c r="AQ220" s="324">
        <v>0</v>
      </c>
      <c r="AR220" s="324">
        <v>0</v>
      </c>
      <c r="AS220" s="324">
        <v>0</v>
      </c>
      <c r="AT220" s="140">
        <f t="shared" si="118"/>
        <v>0</v>
      </c>
      <c r="AU220" s="324">
        <v>0</v>
      </c>
      <c r="AV220" s="324">
        <v>0</v>
      </c>
      <c r="AW220" s="324">
        <v>0</v>
      </c>
      <c r="AX220" s="324">
        <v>0</v>
      </c>
      <c r="AY220" s="324">
        <v>0</v>
      </c>
      <c r="AZ220" s="324">
        <v>0</v>
      </c>
      <c r="BA220" s="324">
        <v>0</v>
      </c>
      <c r="BB220" s="324">
        <v>0</v>
      </c>
      <c r="BC220" s="324">
        <v>0</v>
      </c>
      <c r="BD220" s="324">
        <v>0</v>
      </c>
      <c r="BE220" s="324">
        <v>0</v>
      </c>
      <c r="BF220" s="324">
        <v>0</v>
      </c>
      <c r="BG220" s="140">
        <f t="shared" si="119"/>
        <v>0</v>
      </c>
      <c r="BH220" s="324">
        <v>0</v>
      </c>
      <c r="BI220" s="324">
        <v>0</v>
      </c>
      <c r="BJ220" s="324">
        <v>0</v>
      </c>
      <c r="BK220" s="324">
        <v>0</v>
      </c>
      <c r="BL220" s="324">
        <v>850</v>
      </c>
      <c r="BM220" s="324">
        <v>0</v>
      </c>
      <c r="BN220" s="324">
        <v>0</v>
      </c>
      <c r="BO220" s="324">
        <v>0</v>
      </c>
      <c r="BP220" s="324">
        <v>0</v>
      </c>
      <c r="BQ220" s="324">
        <v>0</v>
      </c>
      <c r="BR220" s="324">
        <v>0</v>
      </c>
      <c r="BS220" s="324">
        <v>0</v>
      </c>
      <c r="BT220" s="140">
        <f t="shared" si="120"/>
        <v>850</v>
      </c>
      <c r="BU220" s="114">
        <f t="shared" si="121"/>
        <v>1682</v>
      </c>
      <c r="BV220" s="432"/>
      <c r="BW220" s="432"/>
      <c r="BX220" s="432"/>
      <c r="BY220" s="432"/>
      <c r="BZ220" s="436">
        <f t="shared" si="125"/>
        <v>0</v>
      </c>
      <c r="CA220" s="434"/>
      <c r="CB220" s="7" t="s">
        <v>1699</v>
      </c>
      <c r="CC220" s="3">
        <v>0</v>
      </c>
      <c r="CD220" s="3">
        <v>0</v>
      </c>
      <c r="CE220" s="3">
        <v>0</v>
      </c>
      <c r="CF220" s="3">
        <v>0</v>
      </c>
      <c r="CG220" s="3">
        <v>0</v>
      </c>
      <c r="CH220" s="3">
        <v>0</v>
      </c>
      <c r="CI220" s="3">
        <v>0</v>
      </c>
      <c r="CJ220" s="3">
        <v>0</v>
      </c>
      <c r="CK220" s="3">
        <v>0</v>
      </c>
      <c r="CL220" s="3">
        <v>0</v>
      </c>
      <c r="CM220" s="3">
        <v>0</v>
      </c>
      <c r="CN220" s="3">
        <v>0</v>
      </c>
      <c r="CO220" s="4">
        <f t="shared" si="109"/>
        <v>0</v>
      </c>
      <c r="CP220" s="3">
        <v>0</v>
      </c>
      <c r="CQ220" s="3">
        <v>0</v>
      </c>
      <c r="CR220" s="3">
        <v>1</v>
      </c>
      <c r="CS220" s="3">
        <v>0</v>
      </c>
      <c r="CT220" s="3">
        <v>0</v>
      </c>
      <c r="CU220" s="3">
        <v>0</v>
      </c>
      <c r="CV220" s="3">
        <v>0</v>
      </c>
      <c r="CW220" s="3">
        <v>0</v>
      </c>
      <c r="CX220" s="3">
        <v>0</v>
      </c>
      <c r="CY220" s="3">
        <v>0</v>
      </c>
      <c r="CZ220" s="3">
        <v>0</v>
      </c>
      <c r="DA220" s="3">
        <v>0</v>
      </c>
      <c r="DB220" s="4">
        <f t="shared" si="110"/>
        <v>1</v>
      </c>
      <c r="DC220" s="3">
        <v>0</v>
      </c>
      <c r="DD220" s="3">
        <v>0</v>
      </c>
      <c r="DE220" s="3">
        <v>0</v>
      </c>
      <c r="DF220" s="3">
        <v>0</v>
      </c>
      <c r="DG220" s="3">
        <v>0</v>
      </c>
      <c r="DH220" s="3">
        <v>0</v>
      </c>
      <c r="DI220" s="3">
        <v>0</v>
      </c>
      <c r="DJ220" s="3">
        <v>0</v>
      </c>
      <c r="DK220" s="3">
        <v>0</v>
      </c>
      <c r="DL220" s="3">
        <v>0</v>
      </c>
      <c r="DM220" s="3">
        <v>0</v>
      </c>
      <c r="DN220" s="3">
        <v>0</v>
      </c>
      <c r="DO220" s="4">
        <f t="shared" si="111"/>
        <v>0</v>
      </c>
      <c r="DP220" s="3">
        <v>0</v>
      </c>
      <c r="DQ220" s="3">
        <v>0</v>
      </c>
      <c r="DR220" s="3">
        <v>0</v>
      </c>
      <c r="DS220" s="3">
        <v>0</v>
      </c>
      <c r="DT220" s="3">
        <v>0</v>
      </c>
      <c r="DU220" s="3">
        <v>0</v>
      </c>
      <c r="DV220" s="3">
        <v>0</v>
      </c>
      <c r="DW220" s="3">
        <v>0</v>
      </c>
      <c r="DX220" s="3">
        <v>0</v>
      </c>
      <c r="DY220" s="3">
        <v>0</v>
      </c>
      <c r="DZ220" s="3">
        <v>0</v>
      </c>
      <c r="EA220" s="3">
        <v>0</v>
      </c>
      <c r="EB220" s="4">
        <f t="shared" si="112"/>
        <v>0</v>
      </c>
      <c r="EC220" s="3">
        <v>0</v>
      </c>
      <c r="ED220" s="3">
        <v>0</v>
      </c>
      <c r="EE220" s="3">
        <v>0</v>
      </c>
      <c r="EF220" s="3">
        <v>0</v>
      </c>
      <c r="EG220" s="3">
        <v>1</v>
      </c>
      <c r="EH220" s="3">
        <v>0</v>
      </c>
      <c r="EI220" s="3">
        <v>0</v>
      </c>
      <c r="EJ220" s="3">
        <v>0</v>
      </c>
      <c r="EK220" s="3">
        <v>0</v>
      </c>
      <c r="EL220" s="3">
        <v>0</v>
      </c>
      <c r="EM220" s="3">
        <v>0</v>
      </c>
      <c r="EN220" s="3">
        <v>0</v>
      </c>
      <c r="EO220" s="4">
        <f t="shared" si="113"/>
        <v>1</v>
      </c>
      <c r="EP220" s="8">
        <f t="shared" si="114"/>
        <v>2</v>
      </c>
      <c r="EQ220" s="181">
        <f>IFERROR(VLOOKUP(I220,CEI_012018!$A$1:$U$509,9,FALSE),0)</f>
        <v>0</v>
      </c>
      <c r="ER220" s="181">
        <f>IFERROR(VLOOKUP(I220,CEI_022018!$A$1:$U$509,9,FALSE),0)</f>
        <v>0</v>
      </c>
      <c r="ES220" s="181">
        <f>IFERROR(VLOOKUP(I220,CEI_032018!$A$1:$U$509,9,FALSE),0)</f>
        <v>0</v>
      </c>
      <c r="ET220" s="181">
        <f>IFERROR(VLOOKUP(I220,CEI_042018!$A$1:$U$491,9,FALSE),0)</f>
        <v>0</v>
      </c>
      <c r="EU220" s="181">
        <f>IFERROR(VLOOKUP(I220,CEI_052018!$A$1:$U$489,9,FALSE),0)</f>
        <v>0</v>
      </c>
      <c r="EV220" s="181">
        <f>IFERROR(VLOOKUP(I220,CEI_062018!$A$1:$U$489,9,FALSE),0)</f>
        <v>0</v>
      </c>
      <c r="EW220" s="181">
        <f>IFERROR(VLOOKUP(I220,CEI_072018!$A$1:$U$489,9,FALSE),0)</f>
        <v>0</v>
      </c>
      <c r="EX220" s="181">
        <f>IFERROR(VLOOKUP(I220,CEI_082018!$A$1:$U$489,9,FALSE),0)</f>
        <v>0</v>
      </c>
      <c r="EY220" s="181">
        <f>IFERROR(VLOOKUP(I220,CEI_092018!$A$1:$U$489,9,FALSE),0)</f>
        <v>0</v>
      </c>
      <c r="EZ220" s="181"/>
      <c r="FA220" s="181"/>
      <c r="FB220" s="181"/>
      <c r="FC220" s="181">
        <f>IFERROR(VLOOKUP(I220,CEI_092018!$A$1:$U$489,12,FALSE),0)</f>
        <v>0</v>
      </c>
      <c r="FD220" s="181">
        <f t="shared" si="123"/>
        <v>0</v>
      </c>
      <c r="FE220" s="181">
        <f t="shared" si="124"/>
        <v>0</v>
      </c>
      <c r="FF220"/>
      <c r="FG220"/>
      <c r="FH220"/>
      <c r="FI220"/>
      <c r="FJ220"/>
      <c r="FK220"/>
      <c r="FL220"/>
      <c r="FM220"/>
      <c r="FN220"/>
      <c r="FO220"/>
      <c r="FP220"/>
      <c r="FQ220"/>
      <c r="FR220"/>
      <c r="FS220"/>
      <c r="FT220"/>
      <c r="FU220"/>
      <c r="FV220"/>
      <c r="FW220"/>
      <c r="FX220"/>
      <c r="FY220"/>
      <c r="FZ220"/>
      <c r="GA220"/>
      <c r="GB220"/>
      <c r="GC220"/>
    </row>
    <row r="221" spans="1:185" ht="12.75" customHeight="1" x14ac:dyDescent="0.25">
      <c r="A221" s="202"/>
      <c r="B221" s="22" t="s">
        <v>57</v>
      </c>
      <c r="C221" s="34" t="s">
        <v>44</v>
      </c>
      <c r="D221" s="22" t="s">
        <v>1059</v>
      </c>
      <c r="E221" s="25" t="s">
        <v>1063</v>
      </c>
      <c r="F221" s="25" t="s">
        <v>1059</v>
      </c>
      <c r="G221" s="25" t="s">
        <v>1063</v>
      </c>
      <c r="H221" s="22" t="s">
        <v>56</v>
      </c>
      <c r="I221" s="423" t="s">
        <v>1175</v>
      </c>
      <c r="J221" s="37" t="s">
        <v>1176</v>
      </c>
      <c r="K221" s="23" t="s">
        <v>1173</v>
      </c>
      <c r="L221" s="23" t="s">
        <v>1174</v>
      </c>
      <c r="M221" s="23" t="s">
        <v>1602</v>
      </c>
      <c r="N221" s="23" t="s">
        <v>1885</v>
      </c>
      <c r="O221" s="2">
        <v>0</v>
      </c>
      <c r="P221" s="2">
        <v>0</v>
      </c>
      <c r="Q221" s="2">
        <v>35</v>
      </c>
      <c r="R221" s="2">
        <v>35</v>
      </c>
      <c r="S221" s="2">
        <v>72</v>
      </c>
      <c r="T221" s="116">
        <f t="shared" si="116"/>
        <v>142</v>
      </c>
      <c r="U221" s="324">
        <v>0</v>
      </c>
      <c r="V221" s="324">
        <v>50</v>
      </c>
      <c r="W221" s="324">
        <v>25</v>
      </c>
      <c r="X221" s="324">
        <v>25</v>
      </c>
      <c r="Y221" s="324">
        <v>25</v>
      </c>
      <c r="Z221" s="324">
        <v>25</v>
      </c>
      <c r="AA221" s="324">
        <v>0</v>
      </c>
      <c r="AB221" s="324">
        <v>50</v>
      </c>
      <c r="AC221" s="324">
        <v>50</v>
      </c>
      <c r="AD221" s="324">
        <v>39</v>
      </c>
      <c r="AE221" s="324">
        <v>50</v>
      </c>
      <c r="AF221" s="324">
        <v>50</v>
      </c>
      <c r="AG221" s="140">
        <f t="shared" si="117"/>
        <v>389</v>
      </c>
      <c r="AH221" s="324">
        <v>0</v>
      </c>
      <c r="AI221" s="324">
        <v>50</v>
      </c>
      <c r="AJ221" s="324">
        <v>25</v>
      </c>
      <c r="AK221" s="324">
        <v>25</v>
      </c>
      <c r="AL221" s="324">
        <v>25</v>
      </c>
      <c r="AM221" s="324">
        <v>25</v>
      </c>
      <c r="AN221" s="324">
        <v>0</v>
      </c>
      <c r="AO221" s="324">
        <v>50</v>
      </c>
      <c r="AP221" s="324">
        <v>50</v>
      </c>
      <c r="AQ221" s="324">
        <v>39</v>
      </c>
      <c r="AR221" s="324">
        <v>50</v>
      </c>
      <c r="AS221" s="324">
        <v>50</v>
      </c>
      <c r="AT221" s="140">
        <f t="shared" si="118"/>
        <v>389</v>
      </c>
      <c r="AU221" s="324">
        <v>50</v>
      </c>
      <c r="AV221" s="324">
        <v>50</v>
      </c>
      <c r="AW221" s="324">
        <v>50</v>
      </c>
      <c r="AX221" s="324">
        <v>50</v>
      </c>
      <c r="AY221" s="324">
        <v>47</v>
      </c>
      <c r="AZ221" s="324">
        <v>0</v>
      </c>
      <c r="BA221" s="324">
        <v>0</v>
      </c>
      <c r="BB221" s="324">
        <v>0</v>
      </c>
      <c r="BC221" s="324">
        <v>0</v>
      </c>
      <c r="BD221" s="324">
        <v>0</v>
      </c>
      <c r="BE221" s="324">
        <v>0</v>
      </c>
      <c r="BF221" s="324">
        <v>0</v>
      </c>
      <c r="BG221" s="140">
        <f t="shared" si="119"/>
        <v>247</v>
      </c>
      <c r="BH221" s="324">
        <v>50</v>
      </c>
      <c r="BI221" s="324">
        <v>50</v>
      </c>
      <c r="BJ221" s="324">
        <v>100</v>
      </c>
      <c r="BK221" s="324">
        <v>150</v>
      </c>
      <c r="BL221" s="324">
        <v>53</v>
      </c>
      <c r="BM221" s="324">
        <v>0</v>
      </c>
      <c r="BN221" s="324">
        <v>0</v>
      </c>
      <c r="BO221" s="324">
        <v>0</v>
      </c>
      <c r="BP221" s="324">
        <v>0</v>
      </c>
      <c r="BQ221" s="324">
        <v>0</v>
      </c>
      <c r="BR221" s="324">
        <v>0</v>
      </c>
      <c r="BS221" s="324">
        <v>0</v>
      </c>
      <c r="BT221" s="140">
        <f t="shared" si="120"/>
        <v>403</v>
      </c>
      <c r="BU221" s="114">
        <f t="shared" si="121"/>
        <v>1570</v>
      </c>
      <c r="BV221" s="372">
        <v>1</v>
      </c>
      <c r="BW221" s="372">
        <v>1</v>
      </c>
      <c r="BX221" s="372">
        <v>1</v>
      </c>
      <c r="BY221" s="372">
        <v>1</v>
      </c>
      <c r="BZ221" s="436">
        <f t="shared" si="125"/>
        <v>0</v>
      </c>
      <c r="CA221" s="428">
        <f>IFERROR((FD221/T221%),0)</f>
        <v>99.785914891202694</v>
      </c>
      <c r="CB221" s="7" t="s">
        <v>1700</v>
      </c>
      <c r="CC221" s="3">
        <v>0</v>
      </c>
      <c r="CD221" s="3">
        <v>0</v>
      </c>
      <c r="CE221" s="3">
        <v>0</v>
      </c>
      <c r="CF221" s="3">
        <v>0</v>
      </c>
      <c r="CG221" s="3">
        <v>0</v>
      </c>
      <c r="CH221" s="3">
        <v>0</v>
      </c>
      <c r="CI221" s="3">
        <v>0</v>
      </c>
      <c r="CJ221" s="3">
        <v>0</v>
      </c>
      <c r="CK221" s="3">
        <v>200</v>
      </c>
      <c r="CL221" s="3">
        <v>200</v>
      </c>
      <c r="CM221" s="3">
        <v>200</v>
      </c>
      <c r="CN221" s="3">
        <v>200</v>
      </c>
      <c r="CO221" s="4">
        <f t="shared" si="109"/>
        <v>800</v>
      </c>
      <c r="CP221" s="3">
        <v>133.33333333333334</v>
      </c>
      <c r="CQ221" s="3">
        <v>133.33333333333334</v>
      </c>
      <c r="CR221" s="3">
        <v>133.33333333333334</v>
      </c>
      <c r="CS221" s="3">
        <v>133.33333333333334</v>
      </c>
      <c r="CT221" s="3">
        <v>133.33333333333334</v>
      </c>
      <c r="CU221" s="3">
        <v>133.33333333333334</v>
      </c>
      <c r="CV221" s="3">
        <v>133.33333333333334</v>
      </c>
      <c r="CW221" s="3">
        <v>133.33333333333334</v>
      </c>
      <c r="CX221" s="3">
        <v>133.33333333333334</v>
      </c>
      <c r="CY221" s="3">
        <v>133.33333333333334</v>
      </c>
      <c r="CZ221" s="3">
        <v>133.33333333333334</v>
      </c>
      <c r="DA221" s="3">
        <v>133.33333333333334</v>
      </c>
      <c r="DB221" s="4">
        <f t="shared" si="110"/>
        <v>1599.9999999999998</v>
      </c>
      <c r="DC221" s="3">
        <v>0</v>
      </c>
      <c r="DD221" s="3">
        <v>200</v>
      </c>
      <c r="DE221" s="3">
        <v>200</v>
      </c>
      <c r="DF221" s="3">
        <v>200</v>
      </c>
      <c r="DG221" s="3">
        <v>200</v>
      </c>
      <c r="DH221" s="3">
        <v>0</v>
      </c>
      <c r="DI221" s="3">
        <v>0</v>
      </c>
      <c r="DJ221" s="3">
        <v>0</v>
      </c>
      <c r="DK221" s="3">
        <v>0</v>
      </c>
      <c r="DL221" s="3">
        <v>0</v>
      </c>
      <c r="DM221" s="3">
        <v>0</v>
      </c>
      <c r="DN221" s="3">
        <v>0</v>
      </c>
      <c r="DO221" s="4">
        <f t="shared" si="111"/>
        <v>800</v>
      </c>
      <c r="DP221" s="3">
        <v>133.33333333333334</v>
      </c>
      <c r="DQ221" s="3">
        <v>133.33333333333334</v>
      </c>
      <c r="DR221" s="3">
        <v>133.33333333333334</v>
      </c>
      <c r="DS221" s="3">
        <v>133.33333333333334</v>
      </c>
      <c r="DT221" s="3">
        <v>133.33333333333334</v>
      </c>
      <c r="DU221" s="3">
        <v>133.33333333333334</v>
      </c>
      <c r="DV221" s="3">
        <v>0</v>
      </c>
      <c r="DW221" s="3">
        <v>0</v>
      </c>
      <c r="DX221" s="3">
        <v>0</v>
      </c>
      <c r="DY221" s="3">
        <v>0</v>
      </c>
      <c r="DZ221" s="3">
        <v>0</v>
      </c>
      <c r="EA221" s="3">
        <v>0</v>
      </c>
      <c r="EB221" s="4">
        <f t="shared" si="112"/>
        <v>800.00000000000011</v>
      </c>
      <c r="EC221" s="3">
        <v>133.33333333333334</v>
      </c>
      <c r="ED221" s="3">
        <v>133.33333333333334</v>
      </c>
      <c r="EE221" s="3">
        <v>266.66666666666669</v>
      </c>
      <c r="EF221" s="3">
        <v>400</v>
      </c>
      <c r="EG221" s="3">
        <v>0</v>
      </c>
      <c r="EH221" s="3">
        <v>0</v>
      </c>
      <c r="EI221" s="3">
        <v>0</v>
      </c>
      <c r="EJ221" s="3">
        <v>0</v>
      </c>
      <c r="EK221" s="3">
        <v>0</v>
      </c>
      <c r="EL221" s="3">
        <v>0</v>
      </c>
      <c r="EM221" s="3">
        <v>0</v>
      </c>
      <c r="EN221" s="3">
        <v>0</v>
      </c>
      <c r="EO221" s="4">
        <f t="shared" si="113"/>
        <v>933.33333333333337</v>
      </c>
      <c r="EP221" s="8">
        <f t="shared" si="114"/>
        <v>4933.333333333333</v>
      </c>
      <c r="EQ221" s="181">
        <f>IFERROR(VLOOKUP(I221,CEI_012018!$A$1:$U$509,9,FALSE),0)</f>
        <v>0</v>
      </c>
      <c r="ER221" s="181">
        <f>IFERROR(VLOOKUP(I221,CEI_022018!$A$1:$U$509,9,FALSE),0)</f>
        <v>0</v>
      </c>
      <c r="ES221" s="181">
        <f>IFERROR(VLOOKUP(I221,CEI_032018!$A$1:$U$509,9,FALSE),0)</f>
        <v>0</v>
      </c>
      <c r="ET221" s="181">
        <f>IFERROR(VLOOKUP(I221,CEI_042018!$A$1:$U$491,9,FALSE),0)</f>
        <v>0</v>
      </c>
      <c r="EU221" s="181">
        <f>IFERROR(VLOOKUP(I221,CEI_052018!$A$1:$U$489,9,FALSE),0)</f>
        <v>0</v>
      </c>
      <c r="EV221" s="181">
        <f>IFERROR(VLOOKUP(I221,CEI_062018!$A$1:$U$489,9,FALSE),0)</f>
        <v>0</v>
      </c>
      <c r="EW221" s="181">
        <f>IFERROR(VLOOKUP(I221,CEI_072018!$A$1:$U$489,9,FALSE),0)</f>
        <v>0</v>
      </c>
      <c r="EX221" s="181">
        <f>IFERROR(VLOOKUP(I221,CEI_082018!$A$1:$U$489,9,FALSE),0)</f>
        <v>0</v>
      </c>
      <c r="EY221" s="181">
        <f>IFERROR(VLOOKUP(I221,CEI_092018!$A$1:$U$489,9,FALSE),0)</f>
        <v>0</v>
      </c>
      <c r="EZ221" s="181"/>
      <c r="FA221" s="181"/>
      <c r="FB221" s="181"/>
      <c r="FC221" s="181">
        <f>IFERROR(VLOOKUP(I221,CEI_092018!$A$1:$U$489,12,FALSE),0)</f>
        <v>141.69599914550781</v>
      </c>
      <c r="FD221" s="181">
        <f t="shared" si="123"/>
        <v>141.69599914550781</v>
      </c>
      <c r="FE221" s="181">
        <f t="shared" si="124"/>
        <v>0.3040008544921875</v>
      </c>
      <c r="FF221"/>
      <c r="FG221"/>
      <c r="FH221"/>
      <c r="FI221"/>
      <c r="FJ221"/>
      <c r="FK221"/>
      <c r="FL221"/>
      <c r="FM221"/>
      <c r="FN221"/>
      <c r="FO221"/>
      <c r="FP221"/>
      <c r="FQ221"/>
      <c r="FR221"/>
      <c r="FS221"/>
      <c r="FT221"/>
      <c r="FU221"/>
      <c r="FV221"/>
      <c r="FW221"/>
      <c r="FX221"/>
      <c r="FY221"/>
      <c r="FZ221"/>
      <c r="GA221"/>
      <c r="GB221"/>
      <c r="GC221"/>
    </row>
    <row r="222" spans="1:185" ht="12.75" customHeight="1" x14ac:dyDescent="0.25">
      <c r="A222" s="202"/>
      <c r="B222" s="22" t="s">
        <v>57</v>
      </c>
      <c r="C222" s="34" t="s">
        <v>44</v>
      </c>
      <c r="D222" s="22" t="s">
        <v>1058</v>
      </c>
      <c r="E222" s="25" t="s">
        <v>1062</v>
      </c>
      <c r="F222" s="25" t="s">
        <v>1058</v>
      </c>
      <c r="G222" s="25" t="s">
        <v>1062</v>
      </c>
      <c r="H222" s="22" t="s">
        <v>56</v>
      </c>
      <c r="I222" s="423" t="s">
        <v>565</v>
      </c>
      <c r="J222" s="37" t="s">
        <v>59</v>
      </c>
      <c r="K222" s="23" t="s">
        <v>814</v>
      </c>
      <c r="L222" s="23" t="s">
        <v>815</v>
      </c>
      <c r="M222" s="23" t="s">
        <v>816</v>
      </c>
      <c r="N222" s="23" t="s">
        <v>59</v>
      </c>
      <c r="O222" s="2">
        <v>0</v>
      </c>
      <c r="P222" s="2">
        <v>0</v>
      </c>
      <c r="Q222" s="2">
        <v>0</v>
      </c>
      <c r="R222" s="2">
        <v>0</v>
      </c>
      <c r="S222" s="2">
        <v>0</v>
      </c>
      <c r="T222" s="116">
        <f t="shared" si="116"/>
        <v>0</v>
      </c>
      <c r="U222" s="324">
        <v>0</v>
      </c>
      <c r="V222" s="324">
        <v>0</v>
      </c>
      <c r="W222" s="324">
        <v>0</v>
      </c>
      <c r="X222" s="324">
        <v>0</v>
      </c>
      <c r="Y222" s="324">
        <v>0</v>
      </c>
      <c r="Z222" s="324">
        <v>0</v>
      </c>
      <c r="AA222" s="324">
        <v>0</v>
      </c>
      <c r="AB222" s="324">
        <v>0</v>
      </c>
      <c r="AC222" s="324">
        <v>0</v>
      </c>
      <c r="AD222" s="324">
        <v>0</v>
      </c>
      <c r="AE222" s="324">
        <v>0</v>
      </c>
      <c r="AF222" s="324">
        <v>0</v>
      </c>
      <c r="AG222" s="140">
        <f t="shared" si="117"/>
        <v>0</v>
      </c>
      <c r="AH222" s="324">
        <v>0</v>
      </c>
      <c r="AI222" s="324">
        <v>0</v>
      </c>
      <c r="AJ222" s="324">
        <v>0</v>
      </c>
      <c r="AK222" s="324">
        <v>0</v>
      </c>
      <c r="AL222" s="324">
        <v>0</v>
      </c>
      <c r="AM222" s="324">
        <v>0</v>
      </c>
      <c r="AN222" s="324">
        <v>0</v>
      </c>
      <c r="AO222" s="324">
        <v>0</v>
      </c>
      <c r="AP222" s="324">
        <v>0</v>
      </c>
      <c r="AQ222" s="324">
        <v>0</v>
      </c>
      <c r="AR222" s="324">
        <v>0</v>
      </c>
      <c r="AS222" s="324">
        <v>0</v>
      </c>
      <c r="AT222" s="140">
        <f t="shared" si="118"/>
        <v>0</v>
      </c>
      <c r="AU222" s="324">
        <v>0</v>
      </c>
      <c r="AV222" s="324">
        <v>0</v>
      </c>
      <c r="AW222" s="324">
        <v>0</v>
      </c>
      <c r="AX222" s="324">
        <v>0</v>
      </c>
      <c r="AY222" s="324">
        <v>0</v>
      </c>
      <c r="AZ222" s="324">
        <v>750</v>
      </c>
      <c r="BA222" s="324">
        <v>0</v>
      </c>
      <c r="BB222" s="324">
        <v>0</v>
      </c>
      <c r="BC222" s="324">
        <v>0</v>
      </c>
      <c r="BD222" s="324">
        <v>0</v>
      </c>
      <c r="BE222" s="324">
        <v>0</v>
      </c>
      <c r="BF222" s="324">
        <v>0</v>
      </c>
      <c r="BG222" s="140">
        <f t="shared" si="119"/>
        <v>750</v>
      </c>
      <c r="BH222" s="324">
        <v>0</v>
      </c>
      <c r="BI222" s="324">
        <v>0</v>
      </c>
      <c r="BJ222" s="324">
        <v>0</v>
      </c>
      <c r="BK222" s="324">
        <v>0</v>
      </c>
      <c r="BL222" s="324">
        <v>0</v>
      </c>
      <c r="BM222" s="324">
        <v>750</v>
      </c>
      <c r="BN222" s="324">
        <v>0</v>
      </c>
      <c r="BO222" s="324">
        <v>0</v>
      </c>
      <c r="BP222" s="324">
        <v>0</v>
      </c>
      <c r="BQ222" s="324">
        <v>0</v>
      </c>
      <c r="BR222" s="324">
        <v>0</v>
      </c>
      <c r="BS222" s="324">
        <v>0</v>
      </c>
      <c r="BT222" s="140">
        <f t="shared" si="120"/>
        <v>750</v>
      </c>
      <c r="BU222" s="114">
        <f t="shared" si="121"/>
        <v>1500</v>
      </c>
      <c r="BV222" s="432"/>
      <c r="BW222" s="432"/>
      <c r="BX222" s="432"/>
      <c r="BY222" s="432"/>
      <c r="BZ222" s="433"/>
      <c r="CA222" s="434"/>
      <c r="CB222" s="7" t="s">
        <v>1702</v>
      </c>
      <c r="CC222" s="3">
        <v>0</v>
      </c>
      <c r="CD222" s="3">
        <v>0</v>
      </c>
      <c r="CE222" s="3">
        <v>0</v>
      </c>
      <c r="CF222" s="3">
        <v>0</v>
      </c>
      <c r="CG222" s="3">
        <v>0</v>
      </c>
      <c r="CH222" s="3">
        <v>0</v>
      </c>
      <c r="CI222" s="3">
        <v>0</v>
      </c>
      <c r="CJ222" s="3">
        <v>0</v>
      </c>
      <c r="CK222" s="3">
        <v>0</v>
      </c>
      <c r="CL222" s="3">
        <v>0</v>
      </c>
      <c r="CM222" s="3">
        <v>0</v>
      </c>
      <c r="CN222" s="3">
        <v>0</v>
      </c>
      <c r="CO222" s="4">
        <f t="shared" si="109"/>
        <v>0</v>
      </c>
      <c r="CP222" s="3">
        <v>0</v>
      </c>
      <c r="CQ222" s="3">
        <v>0</v>
      </c>
      <c r="CR222" s="3">
        <v>20</v>
      </c>
      <c r="CS222" s="3">
        <v>0</v>
      </c>
      <c r="CT222" s="3">
        <v>0</v>
      </c>
      <c r="CU222" s="3">
        <v>0</v>
      </c>
      <c r="CV222" s="3">
        <v>0</v>
      </c>
      <c r="CW222" s="3">
        <v>0</v>
      </c>
      <c r="CX222" s="3">
        <v>0</v>
      </c>
      <c r="CY222" s="3">
        <v>0</v>
      </c>
      <c r="CZ222" s="3">
        <v>0</v>
      </c>
      <c r="DA222" s="3">
        <v>0</v>
      </c>
      <c r="DB222" s="4">
        <f t="shared" si="110"/>
        <v>20</v>
      </c>
      <c r="DC222" s="3">
        <v>0</v>
      </c>
      <c r="DD222" s="3">
        <v>0</v>
      </c>
      <c r="DE222" s="3">
        <v>0</v>
      </c>
      <c r="DF222" s="3">
        <v>0</v>
      </c>
      <c r="DG222" s="3">
        <v>0</v>
      </c>
      <c r="DH222" s="3">
        <v>0</v>
      </c>
      <c r="DI222" s="3">
        <v>0</v>
      </c>
      <c r="DJ222" s="3">
        <v>0</v>
      </c>
      <c r="DK222" s="3">
        <v>0</v>
      </c>
      <c r="DL222" s="3">
        <v>0</v>
      </c>
      <c r="DM222" s="3">
        <v>0</v>
      </c>
      <c r="DN222" s="3">
        <v>0</v>
      </c>
      <c r="DO222" s="4">
        <f t="shared" si="111"/>
        <v>0</v>
      </c>
      <c r="DP222" s="3">
        <v>0</v>
      </c>
      <c r="DQ222" s="3">
        <v>0</v>
      </c>
      <c r="DR222" s="3">
        <v>0</v>
      </c>
      <c r="DS222" s="3">
        <v>0</v>
      </c>
      <c r="DT222" s="3">
        <v>0</v>
      </c>
      <c r="DU222" s="3">
        <v>0</v>
      </c>
      <c r="DV222" s="3">
        <v>0</v>
      </c>
      <c r="DW222" s="3">
        <v>0</v>
      </c>
      <c r="DX222" s="3">
        <v>0</v>
      </c>
      <c r="DY222" s="3">
        <v>0</v>
      </c>
      <c r="DZ222" s="3">
        <v>0</v>
      </c>
      <c r="EA222" s="3">
        <v>0</v>
      </c>
      <c r="EB222" s="4">
        <f t="shared" si="112"/>
        <v>0</v>
      </c>
      <c r="EC222" s="3">
        <v>0</v>
      </c>
      <c r="ED222" s="3">
        <v>0</v>
      </c>
      <c r="EE222" s="3">
        <v>0</v>
      </c>
      <c r="EF222" s="3">
        <v>0</v>
      </c>
      <c r="EG222" s="3">
        <v>0</v>
      </c>
      <c r="EH222" s="3">
        <v>0</v>
      </c>
      <c r="EI222" s="3">
        <v>0</v>
      </c>
      <c r="EJ222" s="3">
        <v>0</v>
      </c>
      <c r="EK222" s="3">
        <v>0</v>
      </c>
      <c r="EL222" s="3">
        <v>0</v>
      </c>
      <c r="EM222" s="3">
        <v>0</v>
      </c>
      <c r="EN222" s="3">
        <v>0</v>
      </c>
      <c r="EO222" s="4">
        <f t="shared" si="113"/>
        <v>0</v>
      </c>
      <c r="EP222" s="8">
        <f t="shared" si="114"/>
        <v>20</v>
      </c>
      <c r="EQ222" s="181">
        <f>IFERROR(VLOOKUP(I222,CEI_012018!$A$1:$U$509,9,FALSE),0)</f>
        <v>0</v>
      </c>
      <c r="ER222" s="181">
        <f>IFERROR(VLOOKUP(I222,CEI_022018!$A$1:$U$509,9,FALSE),0)</f>
        <v>0</v>
      </c>
      <c r="ES222" s="181">
        <f>IFERROR(VLOOKUP(I222,CEI_032018!$A$1:$U$509,9,FALSE),0)</f>
        <v>0</v>
      </c>
      <c r="ET222" s="181">
        <f>IFERROR(VLOOKUP(I222,CEI_042018!$A$1:$U$491,9,FALSE),0)</f>
        <v>0</v>
      </c>
      <c r="EU222" s="181">
        <f>IFERROR(VLOOKUP(I222,CEI_052018!$A$1:$U$489,9,FALSE),0)</f>
        <v>0</v>
      </c>
      <c r="EV222" s="181">
        <f>IFERROR(VLOOKUP(I222,CEI_062018!$A$1:$U$489,9,FALSE),0)</f>
        <v>0</v>
      </c>
      <c r="EW222" s="181">
        <f>IFERROR(VLOOKUP(I222,CEI_072018!$A$1:$U$489,9,FALSE),0)</f>
        <v>0</v>
      </c>
      <c r="EX222" s="181">
        <f>IFERROR(VLOOKUP(I222,CEI_082018!$A$1:$U$489,9,FALSE),0)</f>
        <v>0</v>
      </c>
      <c r="EY222" s="181">
        <f>IFERROR(VLOOKUP(I222,CEI_092018!$A$1:$U$489,9,FALSE),0)</f>
        <v>0</v>
      </c>
      <c r="EZ222" s="181"/>
      <c r="FA222" s="181"/>
      <c r="FB222" s="181"/>
      <c r="FC222" s="181">
        <f>IFERROR(VLOOKUP(I222,CEI_092018!$A$1:$U$489,12,FALSE),0)</f>
        <v>0</v>
      </c>
      <c r="FD222" s="181">
        <f t="shared" si="123"/>
        <v>0</v>
      </c>
      <c r="FE222" s="181">
        <f t="shared" si="124"/>
        <v>0</v>
      </c>
      <c r="FF222"/>
      <c r="FG222"/>
      <c r="FH222"/>
      <c r="FI222"/>
      <c r="FJ222"/>
      <c r="FK222"/>
      <c r="FL222"/>
      <c r="FM222"/>
      <c r="FN222"/>
      <c r="FO222"/>
      <c r="FP222"/>
      <c r="FQ222"/>
      <c r="FR222"/>
      <c r="FS222"/>
      <c r="FT222"/>
      <c r="FU222"/>
      <c r="FV222"/>
      <c r="FW222"/>
      <c r="FX222"/>
      <c r="FY222"/>
      <c r="FZ222"/>
      <c r="GA222"/>
      <c r="GB222"/>
      <c r="GC222"/>
    </row>
    <row r="223" spans="1:185" ht="12.75" customHeight="1" x14ac:dyDescent="0.25">
      <c r="A223" s="202"/>
      <c r="B223" s="22" t="s">
        <v>57</v>
      </c>
      <c r="C223" s="34" t="s">
        <v>44</v>
      </c>
      <c r="D223" s="22" t="s">
        <v>318</v>
      </c>
      <c r="E223" s="25" t="s">
        <v>1066</v>
      </c>
      <c r="F223" s="25" t="s">
        <v>318</v>
      </c>
      <c r="G223" s="25" t="s">
        <v>1066</v>
      </c>
      <c r="H223" s="22" t="s">
        <v>56</v>
      </c>
      <c r="I223" s="483" t="s">
        <v>565</v>
      </c>
      <c r="J223" s="255" t="s">
        <v>59</v>
      </c>
      <c r="K223" s="23" t="s">
        <v>365</v>
      </c>
      <c r="L223" s="23" t="s">
        <v>366</v>
      </c>
      <c r="M223" s="23" t="s">
        <v>1002</v>
      </c>
      <c r="N223" s="23" t="s">
        <v>59</v>
      </c>
      <c r="O223" s="2">
        <v>0</v>
      </c>
      <c r="P223" s="2">
        <v>0</v>
      </c>
      <c r="Q223" s="2">
        <v>0</v>
      </c>
      <c r="R223" s="2">
        <v>0</v>
      </c>
      <c r="S223" s="2">
        <v>0</v>
      </c>
      <c r="T223" s="116">
        <f t="shared" si="116"/>
        <v>0</v>
      </c>
      <c r="U223" s="324">
        <v>0</v>
      </c>
      <c r="V223" s="324">
        <v>0</v>
      </c>
      <c r="W223" s="324">
        <v>0</v>
      </c>
      <c r="X223" s="324">
        <v>0</v>
      </c>
      <c r="Y223" s="324">
        <v>0</v>
      </c>
      <c r="Z223" s="324">
        <v>0</v>
      </c>
      <c r="AA223" s="324">
        <v>0</v>
      </c>
      <c r="AB223" s="324">
        <v>0</v>
      </c>
      <c r="AC223" s="324">
        <v>0</v>
      </c>
      <c r="AD223" s="324">
        <v>0</v>
      </c>
      <c r="AE223" s="324">
        <v>0</v>
      </c>
      <c r="AF223" s="324">
        <v>0</v>
      </c>
      <c r="AG223" s="140">
        <f t="shared" si="117"/>
        <v>0</v>
      </c>
      <c r="AH223" s="324">
        <v>0</v>
      </c>
      <c r="AI223" s="324">
        <v>0</v>
      </c>
      <c r="AJ223" s="324">
        <v>1500</v>
      </c>
      <c r="AK223" s="324">
        <v>0</v>
      </c>
      <c r="AL223" s="324">
        <v>0</v>
      </c>
      <c r="AM223" s="324">
        <v>0</v>
      </c>
      <c r="AN223" s="324">
        <v>0</v>
      </c>
      <c r="AO223" s="324">
        <v>0</v>
      </c>
      <c r="AP223" s="324">
        <v>0</v>
      </c>
      <c r="AQ223" s="324">
        <v>0</v>
      </c>
      <c r="AR223" s="324">
        <v>0</v>
      </c>
      <c r="AS223" s="324">
        <v>0</v>
      </c>
      <c r="AT223" s="140">
        <f t="shared" si="118"/>
        <v>1500</v>
      </c>
      <c r="AU223" s="324">
        <v>0</v>
      </c>
      <c r="AV223" s="324">
        <v>0</v>
      </c>
      <c r="AW223" s="324">
        <v>0</v>
      </c>
      <c r="AX223" s="324">
        <v>0</v>
      </c>
      <c r="AY223" s="324">
        <v>0</v>
      </c>
      <c r="AZ223" s="324">
        <v>0</v>
      </c>
      <c r="BA223" s="324">
        <v>0</v>
      </c>
      <c r="BB223" s="324">
        <v>0</v>
      </c>
      <c r="BC223" s="324">
        <v>0</v>
      </c>
      <c r="BD223" s="324">
        <v>0</v>
      </c>
      <c r="BE223" s="324">
        <v>0</v>
      </c>
      <c r="BF223" s="324">
        <v>0</v>
      </c>
      <c r="BG223" s="140">
        <f t="shared" si="119"/>
        <v>0</v>
      </c>
      <c r="BH223" s="324">
        <v>0</v>
      </c>
      <c r="BI223" s="324">
        <v>0</v>
      </c>
      <c r="BJ223" s="324">
        <v>0</v>
      </c>
      <c r="BK223" s="324">
        <v>0</v>
      </c>
      <c r="BL223" s="324">
        <v>0</v>
      </c>
      <c r="BM223" s="324">
        <v>0</v>
      </c>
      <c r="BN223" s="324">
        <v>0</v>
      </c>
      <c r="BO223" s="324">
        <v>0</v>
      </c>
      <c r="BP223" s="324">
        <v>0</v>
      </c>
      <c r="BQ223" s="324">
        <v>0</v>
      </c>
      <c r="BR223" s="324">
        <v>0</v>
      </c>
      <c r="BS223" s="324">
        <v>0</v>
      </c>
      <c r="BT223" s="140">
        <f t="shared" si="120"/>
        <v>0</v>
      </c>
      <c r="BU223" s="114">
        <f t="shared" si="121"/>
        <v>1500</v>
      </c>
      <c r="BV223" s="432"/>
      <c r="BW223" s="432"/>
      <c r="BX223" s="432"/>
      <c r="BY223" s="432"/>
      <c r="BZ223" s="433"/>
      <c r="CA223" s="434"/>
      <c r="CB223" s="7" t="s">
        <v>1681</v>
      </c>
      <c r="CC223" s="3">
        <v>0</v>
      </c>
      <c r="CD223" s="3">
        <v>0</v>
      </c>
      <c r="CE223" s="3">
        <v>0</v>
      </c>
      <c r="CF223" s="3">
        <v>0</v>
      </c>
      <c r="CG223" s="3">
        <v>0</v>
      </c>
      <c r="CH223" s="3">
        <v>0</v>
      </c>
      <c r="CI223" s="3">
        <v>0</v>
      </c>
      <c r="CJ223" s="3">
        <v>0</v>
      </c>
      <c r="CK223" s="3">
        <v>0</v>
      </c>
      <c r="CL223" s="3">
        <v>0</v>
      </c>
      <c r="CM223" s="3">
        <v>0</v>
      </c>
      <c r="CN223" s="3">
        <v>0</v>
      </c>
      <c r="CO223" s="4">
        <f t="shared" si="109"/>
        <v>0</v>
      </c>
      <c r="CP223" s="3">
        <v>0</v>
      </c>
      <c r="CQ223" s="3">
        <v>0</v>
      </c>
      <c r="CR223" s="3">
        <v>0</v>
      </c>
      <c r="CS223" s="3">
        <v>0</v>
      </c>
      <c r="CT223" s="3">
        <v>0</v>
      </c>
      <c r="CU223" s="3">
        <v>0</v>
      </c>
      <c r="CV223" s="3">
        <v>0</v>
      </c>
      <c r="CW223" s="3">
        <v>0</v>
      </c>
      <c r="CX223" s="3">
        <v>0</v>
      </c>
      <c r="CY223" s="3">
        <v>0</v>
      </c>
      <c r="CZ223" s="3">
        <v>0</v>
      </c>
      <c r="DA223" s="3">
        <v>0</v>
      </c>
      <c r="DB223" s="4">
        <f t="shared" si="110"/>
        <v>0</v>
      </c>
      <c r="DC223" s="3">
        <v>0</v>
      </c>
      <c r="DD223" s="3">
        <v>0</v>
      </c>
      <c r="DE223" s="3">
        <v>2</v>
      </c>
      <c r="DF223" s="3">
        <v>0</v>
      </c>
      <c r="DG223" s="3">
        <v>0</v>
      </c>
      <c r="DH223" s="3">
        <v>0</v>
      </c>
      <c r="DI223" s="3">
        <v>0</v>
      </c>
      <c r="DJ223" s="3">
        <v>0</v>
      </c>
      <c r="DK223" s="3">
        <v>0</v>
      </c>
      <c r="DL223" s="3">
        <v>0</v>
      </c>
      <c r="DM223" s="3">
        <v>0</v>
      </c>
      <c r="DN223" s="3">
        <v>0</v>
      </c>
      <c r="DO223" s="4">
        <f t="shared" si="111"/>
        <v>2</v>
      </c>
      <c r="DP223" s="3">
        <v>0</v>
      </c>
      <c r="DQ223" s="3">
        <v>0</v>
      </c>
      <c r="DR223" s="3">
        <v>0</v>
      </c>
      <c r="DS223" s="3">
        <v>0</v>
      </c>
      <c r="DT223" s="3">
        <v>0</v>
      </c>
      <c r="DU223" s="3">
        <v>0</v>
      </c>
      <c r="DV223" s="3">
        <v>0</v>
      </c>
      <c r="DW223" s="3">
        <v>0</v>
      </c>
      <c r="DX223" s="3">
        <v>0</v>
      </c>
      <c r="DY223" s="3">
        <v>0</v>
      </c>
      <c r="DZ223" s="3">
        <v>0</v>
      </c>
      <c r="EA223" s="3">
        <v>0</v>
      </c>
      <c r="EB223" s="4">
        <f t="shared" si="112"/>
        <v>0</v>
      </c>
      <c r="EC223" s="3">
        <v>0</v>
      </c>
      <c r="ED223" s="3">
        <v>0</v>
      </c>
      <c r="EE223" s="3">
        <v>0</v>
      </c>
      <c r="EF223" s="3">
        <v>0</v>
      </c>
      <c r="EG223" s="3">
        <v>0</v>
      </c>
      <c r="EH223" s="3">
        <v>0</v>
      </c>
      <c r="EI223" s="3">
        <v>0</v>
      </c>
      <c r="EJ223" s="3">
        <v>0</v>
      </c>
      <c r="EK223" s="3">
        <v>0</v>
      </c>
      <c r="EL223" s="3">
        <v>0</v>
      </c>
      <c r="EM223" s="3">
        <v>0</v>
      </c>
      <c r="EN223" s="3">
        <v>0</v>
      </c>
      <c r="EO223" s="4">
        <f t="shared" si="113"/>
        <v>0</v>
      </c>
      <c r="EP223" s="8">
        <f t="shared" si="114"/>
        <v>2</v>
      </c>
      <c r="EQ223" s="181">
        <f>IFERROR(VLOOKUP(I223,CEI_012018!$A$1:$U$509,9,FALSE),0)</f>
        <v>0</v>
      </c>
      <c r="ER223" s="181">
        <f>IFERROR(VLOOKUP(I223,CEI_022018!$A$1:$U$509,9,FALSE),0)</f>
        <v>0</v>
      </c>
      <c r="ES223" s="181">
        <f>IFERROR(VLOOKUP(I223,CEI_032018!$A$1:$U$509,9,FALSE),0)</f>
        <v>0</v>
      </c>
      <c r="ET223" s="181">
        <f>IFERROR(VLOOKUP(I223,CEI_042018!$A$1:$U$491,9,FALSE),0)</f>
        <v>0</v>
      </c>
      <c r="EU223" s="181">
        <f>IFERROR(VLOOKUP(I223,CEI_052018!$A$1:$U$489,9,FALSE),0)</f>
        <v>0</v>
      </c>
      <c r="EV223" s="181">
        <f>IFERROR(VLOOKUP(I223,CEI_062018!$A$1:$U$489,9,FALSE),0)</f>
        <v>0</v>
      </c>
      <c r="EW223" s="181">
        <f>IFERROR(VLOOKUP(I223,CEI_072018!$A$1:$U$489,9,FALSE),0)</f>
        <v>0</v>
      </c>
      <c r="EX223" s="181">
        <f>IFERROR(VLOOKUP(I223,CEI_082018!$A$1:$U$489,9,FALSE),0)</f>
        <v>0</v>
      </c>
      <c r="EY223" s="181">
        <f>IFERROR(VLOOKUP(I223,CEI_092018!$A$1:$U$489,9,FALSE),0)</f>
        <v>0</v>
      </c>
      <c r="EZ223" s="181"/>
      <c r="FA223" s="181"/>
      <c r="FB223" s="181"/>
      <c r="FC223" s="181">
        <f>IFERROR(VLOOKUP(I223,CEI_092018!$A$1:$U$489,12,FALSE),0)</f>
        <v>0</v>
      </c>
      <c r="FD223" s="181">
        <f t="shared" si="123"/>
        <v>0</v>
      </c>
      <c r="FE223" s="181">
        <f t="shared" si="124"/>
        <v>0</v>
      </c>
      <c r="FF223"/>
      <c r="FG223"/>
      <c r="FH223"/>
      <c r="FI223"/>
      <c r="FJ223"/>
      <c r="FK223"/>
      <c r="FL223"/>
      <c r="FM223"/>
      <c r="FN223"/>
      <c r="FO223"/>
      <c r="FP223"/>
      <c r="FQ223"/>
      <c r="FR223"/>
      <c r="FS223"/>
      <c r="FT223"/>
      <c r="FU223"/>
      <c r="FV223"/>
      <c r="FW223"/>
      <c r="FX223"/>
      <c r="FY223"/>
      <c r="FZ223"/>
      <c r="GA223"/>
      <c r="GB223"/>
      <c r="GC223"/>
    </row>
    <row r="224" spans="1:185" ht="12.75" customHeight="1" x14ac:dyDescent="0.25">
      <c r="A224" s="202"/>
      <c r="B224" s="22" t="s">
        <v>57</v>
      </c>
      <c r="C224" s="34" t="s">
        <v>44</v>
      </c>
      <c r="D224" s="22" t="s">
        <v>1058</v>
      </c>
      <c r="E224" s="25" t="s">
        <v>1062</v>
      </c>
      <c r="F224" s="25" t="s">
        <v>1058</v>
      </c>
      <c r="G224" s="25" t="s">
        <v>1062</v>
      </c>
      <c r="H224" s="22" t="s">
        <v>56</v>
      </c>
      <c r="I224" s="423" t="s">
        <v>565</v>
      </c>
      <c r="J224" s="37" t="s">
        <v>59</v>
      </c>
      <c r="K224" s="23" t="s">
        <v>356</v>
      </c>
      <c r="L224" s="23" t="s">
        <v>357</v>
      </c>
      <c r="M224" s="23" t="s">
        <v>59</v>
      </c>
      <c r="N224" s="23" t="s">
        <v>59</v>
      </c>
      <c r="O224" s="2">
        <v>0</v>
      </c>
      <c r="P224" s="2">
        <v>0</v>
      </c>
      <c r="Q224" s="2">
        <v>0</v>
      </c>
      <c r="R224" s="2">
        <v>0</v>
      </c>
      <c r="S224" s="2">
        <v>0</v>
      </c>
      <c r="T224" s="116">
        <f t="shared" si="116"/>
        <v>0</v>
      </c>
      <c r="U224" s="324">
        <v>0</v>
      </c>
      <c r="V224" s="324">
        <v>0</v>
      </c>
      <c r="W224" s="324">
        <v>0</v>
      </c>
      <c r="X224" s="324">
        <v>0</v>
      </c>
      <c r="Y224" s="324">
        <v>0</v>
      </c>
      <c r="Z224" s="324">
        <v>0</v>
      </c>
      <c r="AA224" s="324">
        <v>0</v>
      </c>
      <c r="AB224" s="324">
        <v>0</v>
      </c>
      <c r="AC224" s="324">
        <v>0</v>
      </c>
      <c r="AD224" s="324">
        <v>0</v>
      </c>
      <c r="AE224" s="324">
        <v>0</v>
      </c>
      <c r="AF224" s="324">
        <v>0</v>
      </c>
      <c r="AG224" s="140">
        <f t="shared" si="117"/>
        <v>0</v>
      </c>
      <c r="AH224" s="324">
        <v>0</v>
      </c>
      <c r="AI224" s="324">
        <v>0</v>
      </c>
      <c r="AJ224" s="324">
        <v>0</v>
      </c>
      <c r="AK224" s="324">
        <v>0</v>
      </c>
      <c r="AL224" s="324">
        <v>0</v>
      </c>
      <c r="AM224" s="324">
        <v>0</v>
      </c>
      <c r="AN224" s="324">
        <v>0</v>
      </c>
      <c r="AO224" s="324">
        <v>0</v>
      </c>
      <c r="AP224" s="324">
        <v>0</v>
      </c>
      <c r="AQ224" s="324">
        <v>1500</v>
      </c>
      <c r="AR224" s="324">
        <v>0</v>
      </c>
      <c r="AS224" s="324">
        <v>0</v>
      </c>
      <c r="AT224" s="140">
        <f t="shared" si="118"/>
        <v>1500</v>
      </c>
      <c r="AU224" s="324">
        <v>0</v>
      </c>
      <c r="AV224" s="324">
        <v>0</v>
      </c>
      <c r="AW224" s="324">
        <v>0</v>
      </c>
      <c r="AX224" s="324">
        <v>0</v>
      </c>
      <c r="AY224" s="324">
        <v>0</v>
      </c>
      <c r="AZ224" s="324">
        <v>0</v>
      </c>
      <c r="BA224" s="324">
        <v>0</v>
      </c>
      <c r="BB224" s="324">
        <v>0</v>
      </c>
      <c r="BC224" s="324">
        <v>0</v>
      </c>
      <c r="BD224" s="324">
        <v>0</v>
      </c>
      <c r="BE224" s="324">
        <v>0</v>
      </c>
      <c r="BF224" s="324">
        <v>0</v>
      </c>
      <c r="BG224" s="140">
        <f t="shared" si="119"/>
        <v>0</v>
      </c>
      <c r="BH224" s="324">
        <v>0</v>
      </c>
      <c r="BI224" s="324">
        <v>0</v>
      </c>
      <c r="BJ224" s="324">
        <v>0</v>
      </c>
      <c r="BK224" s="324">
        <v>0</v>
      </c>
      <c r="BL224" s="324">
        <v>0</v>
      </c>
      <c r="BM224" s="324">
        <v>0</v>
      </c>
      <c r="BN224" s="324">
        <v>0</v>
      </c>
      <c r="BO224" s="324">
        <v>0</v>
      </c>
      <c r="BP224" s="324">
        <v>0</v>
      </c>
      <c r="BQ224" s="324">
        <v>0</v>
      </c>
      <c r="BR224" s="324">
        <v>0</v>
      </c>
      <c r="BS224" s="324">
        <v>0</v>
      </c>
      <c r="BT224" s="140">
        <f t="shared" si="120"/>
        <v>0</v>
      </c>
      <c r="BU224" s="114">
        <f t="shared" si="121"/>
        <v>1500</v>
      </c>
      <c r="BV224" s="432"/>
      <c r="BW224" s="432"/>
      <c r="BX224" s="432"/>
      <c r="BY224" s="432"/>
      <c r="BZ224" s="433"/>
      <c r="CA224" s="434"/>
      <c r="CB224" s="7" t="s">
        <v>1681</v>
      </c>
      <c r="CC224" s="3">
        <v>0</v>
      </c>
      <c r="CD224" s="3">
        <v>0</v>
      </c>
      <c r="CE224" s="3">
        <v>0</v>
      </c>
      <c r="CF224" s="3">
        <v>0</v>
      </c>
      <c r="CG224" s="3">
        <v>0</v>
      </c>
      <c r="CH224" s="3">
        <v>0</v>
      </c>
      <c r="CI224" s="3">
        <v>0</v>
      </c>
      <c r="CJ224" s="3">
        <v>0</v>
      </c>
      <c r="CK224" s="3">
        <v>0</v>
      </c>
      <c r="CL224" s="3">
        <v>0</v>
      </c>
      <c r="CM224" s="3">
        <v>0</v>
      </c>
      <c r="CN224" s="3">
        <v>0</v>
      </c>
      <c r="CO224" s="4">
        <f t="shared" si="109"/>
        <v>0</v>
      </c>
      <c r="CP224" s="3">
        <v>0</v>
      </c>
      <c r="CQ224" s="3">
        <v>0</v>
      </c>
      <c r="CR224" s="3">
        <v>0</v>
      </c>
      <c r="CS224" s="3">
        <v>0</v>
      </c>
      <c r="CT224" s="3">
        <v>0</v>
      </c>
      <c r="CU224" s="3">
        <v>0</v>
      </c>
      <c r="CV224" s="3">
        <v>0</v>
      </c>
      <c r="CW224" s="3">
        <v>0</v>
      </c>
      <c r="CX224" s="3">
        <v>0</v>
      </c>
      <c r="CY224" s="3">
        <v>0</v>
      </c>
      <c r="CZ224" s="3">
        <v>0</v>
      </c>
      <c r="DA224" s="3">
        <v>0</v>
      </c>
      <c r="DB224" s="4">
        <f t="shared" si="110"/>
        <v>0</v>
      </c>
      <c r="DC224" s="3">
        <v>0</v>
      </c>
      <c r="DD224" s="3">
        <v>0</v>
      </c>
      <c r="DE224" s="3">
        <v>0</v>
      </c>
      <c r="DF224" s="3">
        <v>0</v>
      </c>
      <c r="DG224" s="3">
        <v>0</v>
      </c>
      <c r="DH224" s="3">
        <v>0</v>
      </c>
      <c r="DI224" s="3">
        <v>0</v>
      </c>
      <c r="DJ224" s="3">
        <v>0</v>
      </c>
      <c r="DK224" s="3">
        <v>0</v>
      </c>
      <c r="DL224" s="3">
        <v>15</v>
      </c>
      <c r="DM224" s="3">
        <v>0</v>
      </c>
      <c r="DN224" s="3">
        <v>0</v>
      </c>
      <c r="DO224" s="4">
        <f t="shared" si="111"/>
        <v>15</v>
      </c>
      <c r="DP224" s="3">
        <v>0</v>
      </c>
      <c r="DQ224" s="3">
        <v>0</v>
      </c>
      <c r="DR224" s="3">
        <v>0</v>
      </c>
      <c r="DS224" s="3">
        <v>0</v>
      </c>
      <c r="DT224" s="3">
        <v>0</v>
      </c>
      <c r="DU224" s="3">
        <v>0</v>
      </c>
      <c r="DV224" s="3">
        <v>0</v>
      </c>
      <c r="DW224" s="3">
        <v>0</v>
      </c>
      <c r="DX224" s="3">
        <v>0</v>
      </c>
      <c r="DY224" s="3">
        <v>0</v>
      </c>
      <c r="DZ224" s="3">
        <v>0</v>
      </c>
      <c r="EA224" s="3">
        <v>0</v>
      </c>
      <c r="EB224" s="4">
        <f t="shared" si="112"/>
        <v>0</v>
      </c>
      <c r="EC224" s="3">
        <v>0</v>
      </c>
      <c r="ED224" s="3">
        <v>0</v>
      </c>
      <c r="EE224" s="3">
        <v>0</v>
      </c>
      <c r="EF224" s="3">
        <v>0</v>
      </c>
      <c r="EG224" s="3">
        <v>0</v>
      </c>
      <c r="EH224" s="3">
        <v>0</v>
      </c>
      <c r="EI224" s="3">
        <v>0</v>
      </c>
      <c r="EJ224" s="3">
        <v>0</v>
      </c>
      <c r="EK224" s="3">
        <v>0</v>
      </c>
      <c r="EL224" s="3">
        <v>0</v>
      </c>
      <c r="EM224" s="3">
        <v>0</v>
      </c>
      <c r="EN224" s="3">
        <v>0</v>
      </c>
      <c r="EO224" s="4">
        <f t="shared" si="113"/>
        <v>0</v>
      </c>
      <c r="EP224" s="8">
        <f t="shared" si="114"/>
        <v>15</v>
      </c>
      <c r="EQ224" s="181">
        <f>IFERROR(VLOOKUP(I224,CEI_012018!$A$1:$U$509,9,FALSE),0)</f>
        <v>0</v>
      </c>
      <c r="ER224" s="181">
        <f>IFERROR(VLOOKUP(I224,CEI_022018!$A$1:$U$509,9,FALSE),0)</f>
        <v>0</v>
      </c>
      <c r="ES224" s="181">
        <f>IFERROR(VLOOKUP(I224,CEI_032018!$A$1:$U$509,9,FALSE),0)</f>
        <v>0</v>
      </c>
      <c r="ET224" s="181">
        <f>IFERROR(VLOOKUP(I224,CEI_042018!$A$1:$U$491,9,FALSE),0)</f>
        <v>0</v>
      </c>
      <c r="EU224" s="181">
        <f>IFERROR(VLOOKUP(I224,CEI_052018!$A$1:$U$489,9,FALSE),0)</f>
        <v>0</v>
      </c>
      <c r="EV224" s="181">
        <f>IFERROR(VLOOKUP(I224,CEI_062018!$A$1:$U$489,9,FALSE),0)</f>
        <v>0</v>
      </c>
      <c r="EW224" s="181">
        <f>IFERROR(VLOOKUP(I224,CEI_072018!$A$1:$U$489,9,FALSE),0)</f>
        <v>0</v>
      </c>
      <c r="EX224" s="181">
        <f>IFERROR(VLOOKUP(I224,CEI_082018!$A$1:$U$489,9,FALSE),0)</f>
        <v>0</v>
      </c>
      <c r="EY224" s="181">
        <f>IFERROR(VLOOKUP(I224,CEI_092018!$A$1:$U$489,9,FALSE),0)</f>
        <v>0</v>
      </c>
      <c r="EZ224" s="181"/>
      <c r="FA224" s="181"/>
      <c r="FB224" s="181"/>
      <c r="FC224" s="181">
        <f>IFERROR(VLOOKUP(I224,CEI_092018!$A$1:$U$489,12,FALSE),0)</f>
        <v>0</v>
      </c>
      <c r="FD224" s="181">
        <f t="shared" si="123"/>
        <v>0</v>
      </c>
      <c r="FE224" s="181">
        <f t="shared" si="124"/>
        <v>0</v>
      </c>
      <c r="FF224"/>
      <c r="FG224"/>
      <c r="FH224"/>
      <c r="FI224"/>
      <c r="FJ224"/>
      <c r="FK224"/>
      <c r="FL224"/>
      <c r="FM224"/>
      <c r="FN224"/>
      <c r="FO224"/>
      <c r="FP224"/>
      <c r="FQ224"/>
      <c r="FR224"/>
      <c r="FS224"/>
      <c r="FT224"/>
      <c r="FU224"/>
      <c r="FV224"/>
      <c r="FW224"/>
      <c r="FX224"/>
      <c r="FY224"/>
      <c r="FZ224"/>
      <c r="GA224"/>
      <c r="GB224"/>
      <c r="GC224"/>
    </row>
    <row r="225" spans="1:185" ht="12.75" customHeight="1" x14ac:dyDescent="0.25">
      <c r="A225" s="202"/>
      <c r="B225" s="22" t="s">
        <v>57</v>
      </c>
      <c r="C225" s="34" t="s">
        <v>44</v>
      </c>
      <c r="D225" s="22" t="s">
        <v>1059</v>
      </c>
      <c r="E225" s="25" t="s">
        <v>1063</v>
      </c>
      <c r="F225" s="25" t="s">
        <v>1059</v>
      </c>
      <c r="G225" s="25" t="s">
        <v>1063</v>
      </c>
      <c r="H225" s="22" t="s">
        <v>56</v>
      </c>
      <c r="I225" s="423" t="s">
        <v>1587</v>
      </c>
      <c r="J225" s="37" t="s">
        <v>1589</v>
      </c>
      <c r="K225" s="23" t="s">
        <v>388</v>
      </c>
      <c r="L225" s="23" t="s">
        <v>389</v>
      </c>
      <c r="M225" s="23" t="s">
        <v>390</v>
      </c>
      <c r="N225" s="23" t="s">
        <v>1869</v>
      </c>
      <c r="O225" s="2">
        <v>0</v>
      </c>
      <c r="P225" s="2">
        <v>0</v>
      </c>
      <c r="Q225" s="2">
        <v>420.45</v>
      </c>
      <c r="R225" s="2">
        <v>0</v>
      </c>
      <c r="S225" s="2">
        <v>0</v>
      </c>
      <c r="T225" s="116">
        <f t="shared" si="116"/>
        <v>420.45</v>
      </c>
      <c r="U225" s="324">
        <v>0</v>
      </c>
      <c r="V225" s="324">
        <v>0</v>
      </c>
      <c r="W225" s="324">
        <v>0</v>
      </c>
      <c r="X225" s="324">
        <v>0</v>
      </c>
      <c r="Y225" s="324">
        <v>0</v>
      </c>
      <c r="Z225" s="324">
        <v>0</v>
      </c>
      <c r="AA225" s="324">
        <v>0</v>
      </c>
      <c r="AB225" s="324">
        <v>0</v>
      </c>
      <c r="AC225" s="324">
        <v>0</v>
      </c>
      <c r="AD225" s="324">
        <v>0</v>
      </c>
      <c r="AE225" s="324">
        <v>0</v>
      </c>
      <c r="AF225" s="324">
        <v>0</v>
      </c>
      <c r="AG225" s="140">
        <f t="shared" si="117"/>
        <v>0</v>
      </c>
      <c r="AH225" s="324">
        <v>0</v>
      </c>
      <c r="AI225" s="324">
        <v>0</v>
      </c>
      <c r="AJ225" s="324">
        <v>0</v>
      </c>
      <c r="AK225" s="324">
        <v>0</v>
      </c>
      <c r="AL225" s="324">
        <v>0</v>
      </c>
      <c r="AM225" s="324">
        <v>0</v>
      </c>
      <c r="AN225" s="324">
        <v>0</v>
      </c>
      <c r="AO225" s="324">
        <v>0</v>
      </c>
      <c r="AP225" s="324">
        <v>0</v>
      </c>
      <c r="AQ225" s="324">
        <v>517</v>
      </c>
      <c r="AR225" s="324">
        <v>0</v>
      </c>
      <c r="AS225" s="324">
        <v>0</v>
      </c>
      <c r="AT225" s="140">
        <f t="shared" si="118"/>
        <v>517</v>
      </c>
      <c r="AU225" s="324">
        <v>0</v>
      </c>
      <c r="AV225" s="324">
        <v>0</v>
      </c>
      <c r="AW225" s="324">
        <v>0</v>
      </c>
      <c r="AX225" s="324">
        <v>0</v>
      </c>
      <c r="AY225" s="324">
        <v>0</v>
      </c>
      <c r="AZ225" s="324">
        <v>0</v>
      </c>
      <c r="BA225" s="324">
        <v>0</v>
      </c>
      <c r="BB225" s="324">
        <v>0</v>
      </c>
      <c r="BC225" s="324">
        <v>0</v>
      </c>
      <c r="BD225" s="324">
        <v>0</v>
      </c>
      <c r="BE225" s="324">
        <v>0</v>
      </c>
      <c r="BF225" s="324">
        <v>0</v>
      </c>
      <c r="BG225" s="140">
        <f t="shared" si="119"/>
        <v>0</v>
      </c>
      <c r="BH225" s="324">
        <v>0</v>
      </c>
      <c r="BI225" s="324">
        <v>0</v>
      </c>
      <c r="BJ225" s="324">
        <v>0</v>
      </c>
      <c r="BK225" s="324">
        <v>0</v>
      </c>
      <c r="BL225" s="324">
        <v>0</v>
      </c>
      <c r="BM225" s="324">
        <v>0</v>
      </c>
      <c r="BN225" s="324">
        <v>0</v>
      </c>
      <c r="BO225" s="324">
        <v>0</v>
      </c>
      <c r="BP225" s="324">
        <v>0</v>
      </c>
      <c r="BQ225" s="324">
        <v>0</v>
      </c>
      <c r="BR225" s="324">
        <v>500</v>
      </c>
      <c r="BS225" s="324">
        <v>0</v>
      </c>
      <c r="BT225" s="140">
        <f t="shared" si="120"/>
        <v>500</v>
      </c>
      <c r="BU225" s="114">
        <f t="shared" si="121"/>
        <v>1437.45</v>
      </c>
      <c r="BV225" s="372">
        <v>1</v>
      </c>
      <c r="BW225" s="372">
        <v>1</v>
      </c>
      <c r="BX225" s="372">
        <v>1</v>
      </c>
      <c r="BY225" s="372">
        <v>1</v>
      </c>
      <c r="BZ225" s="436">
        <f>IFERROR((EX225/T225%),0)</f>
        <v>0</v>
      </c>
      <c r="CA225" s="428">
        <f>IFERROR((FD225/T225%),0)</f>
        <v>99.99961821272224</v>
      </c>
      <c r="CB225" s="7" t="s">
        <v>1701</v>
      </c>
      <c r="CC225" s="3">
        <v>0</v>
      </c>
      <c r="CD225" s="3">
        <v>0</v>
      </c>
      <c r="CE225" s="3">
        <v>0</v>
      </c>
      <c r="CF225" s="3">
        <v>0</v>
      </c>
      <c r="CG225" s="3">
        <v>0</v>
      </c>
      <c r="CH225" s="3">
        <v>0</v>
      </c>
      <c r="CI225" s="3">
        <v>0</v>
      </c>
      <c r="CJ225" s="3">
        <v>0</v>
      </c>
      <c r="CK225" s="3">
        <v>0</v>
      </c>
      <c r="CL225" s="3">
        <v>1</v>
      </c>
      <c r="CM225" s="3">
        <v>0</v>
      </c>
      <c r="CN225" s="3">
        <v>0</v>
      </c>
      <c r="CO225" s="4">
        <f t="shared" ref="CO225:CO256" si="126">SUM(CC225:CN225)</f>
        <v>1</v>
      </c>
      <c r="CP225" s="3">
        <v>0</v>
      </c>
      <c r="CQ225" s="3">
        <v>0</v>
      </c>
      <c r="CR225" s="3">
        <v>0</v>
      </c>
      <c r="CS225" s="3">
        <v>0</v>
      </c>
      <c r="CT225" s="3">
        <v>0</v>
      </c>
      <c r="CU225" s="3">
        <v>0</v>
      </c>
      <c r="CV225" s="3">
        <v>0</v>
      </c>
      <c r="CW225" s="3">
        <v>0</v>
      </c>
      <c r="CX225" s="3">
        <v>0</v>
      </c>
      <c r="CY225" s="3">
        <v>0</v>
      </c>
      <c r="CZ225" s="3">
        <v>0</v>
      </c>
      <c r="DA225" s="3">
        <v>0</v>
      </c>
      <c r="DB225" s="4">
        <f t="shared" ref="DB225:DB256" si="127">SUM(CP225:DA225)</f>
        <v>0</v>
      </c>
      <c r="DC225" s="3">
        <v>0</v>
      </c>
      <c r="DD225" s="3">
        <v>0</v>
      </c>
      <c r="DE225" s="3">
        <v>0</v>
      </c>
      <c r="DF225" s="3">
        <v>0</v>
      </c>
      <c r="DG225" s="3">
        <v>0</v>
      </c>
      <c r="DH225" s="3">
        <v>0</v>
      </c>
      <c r="DI225" s="3">
        <v>0</v>
      </c>
      <c r="DJ225" s="3">
        <v>0</v>
      </c>
      <c r="DK225" s="3">
        <v>0</v>
      </c>
      <c r="DL225" s="3">
        <v>1</v>
      </c>
      <c r="DM225" s="3">
        <v>0</v>
      </c>
      <c r="DN225" s="3">
        <v>0</v>
      </c>
      <c r="DO225" s="4">
        <f t="shared" ref="DO225:DO256" si="128">SUM(DC225:DN225)</f>
        <v>1</v>
      </c>
      <c r="DP225" s="3">
        <v>0</v>
      </c>
      <c r="DQ225" s="3">
        <v>0</v>
      </c>
      <c r="DR225" s="3">
        <v>0</v>
      </c>
      <c r="DS225" s="3">
        <v>0</v>
      </c>
      <c r="DT225" s="3">
        <v>0</v>
      </c>
      <c r="DU225" s="3">
        <v>0</v>
      </c>
      <c r="DV225" s="3">
        <v>0</v>
      </c>
      <c r="DW225" s="3">
        <v>0</v>
      </c>
      <c r="DX225" s="3">
        <v>0</v>
      </c>
      <c r="DY225" s="3">
        <v>0</v>
      </c>
      <c r="DZ225" s="3">
        <v>0</v>
      </c>
      <c r="EA225" s="3">
        <v>0</v>
      </c>
      <c r="EB225" s="4">
        <f t="shared" ref="EB225:EB256" si="129">SUM(DP225:EA225)</f>
        <v>0</v>
      </c>
      <c r="EC225" s="3">
        <v>0</v>
      </c>
      <c r="ED225" s="3">
        <v>0</v>
      </c>
      <c r="EE225" s="3">
        <v>0</v>
      </c>
      <c r="EF225" s="3">
        <v>0</v>
      </c>
      <c r="EG225" s="3">
        <v>0</v>
      </c>
      <c r="EH225" s="3">
        <v>0</v>
      </c>
      <c r="EI225" s="3">
        <v>0</v>
      </c>
      <c r="EJ225" s="3">
        <v>0</v>
      </c>
      <c r="EK225" s="3">
        <v>0</v>
      </c>
      <c r="EL225" s="3">
        <v>1</v>
      </c>
      <c r="EM225" s="3">
        <v>0</v>
      </c>
      <c r="EN225" s="3">
        <v>0</v>
      </c>
      <c r="EO225" s="4">
        <f t="shared" ref="EO225:EO256" si="130">SUM(EC225:EN225)</f>
        <v>1</v>
      </c>
      <c r="EP225" s="8">
        <f t="shared" ref="EP225:EP256" si="131">SUM(EO225,EB225,DO225,DB225,CO225)</f>
        <v>3</v>
      </c>
      <c r="EQ225" s="181">
        <f>IFERROR(VLOOKUP(I225,CEI_012018!$A$1:$U$509,9,FALSE),0)</f>
        <v>0</v>
      </c>
      <c r="ER225" s="181">
        <f>IFERROR(VLOOKUP(I225,CEI_022018!$A$1:$U$509,9,FALSE),0)</f>
        <v>0</v>
      </c>
      <c r="ES225" s="181">
        <f>IFERROR(VLOOKUP(I225,CEI_032018!$A$1:$U$509,9,FALSE),0)</f>
        <v>0</v>
      </c>
      <c r="ET225" s="181">
        <f>IFERROR(VLOOKUP(I225,CEI_042018!$A$1:$U$491,9,FALSE),0)</f>
        <v>0</v>
      </c>
      <c r="EU225" s="181">
        <f>IFERROR(VLOOKUP(I225,CEI_052018!$A$1:$U$489,9,FALSE),0)</f>
        <v>0</v>
      </c>
      <c r="EV225" s="181">
        <f>IFERROR(VLOOKUP(I225,CEI_062018!$A$1:$U$489,9,FALSE),0)</f>
        <v>0</v>
      </c>
      <c r="EW225" s="181">
        <f>IFERROR(VLOOKUP(I225,CEI_072018!$A$1:$U$489,9,FALSE),0)</f>
        <v>0</v>
      </c>
      <c r="EX225" s="181">
        <f>IFERROR(VLOOKUP(I225,CEI_082018!$A$1:$U$489,9,FALSE),0)</f>
        <v>0</v>
      </c>
      <c r="EY225" s="181">
        <f>IFERROR(VLOOKUP(I225,CEI_092018!$A$1:$U$489,9,FALSE),0)</f>
        <v>0</v>
      </c>
      <c r="EZ225" s="181"/>
      <c r="FA225" s="181"/>
      <c r="FB225" s="181"/>
      <c r="FC225" s="181">
        <f>IFERROR(VLOOKUP(I225,CEI_092018!$A$1:$U$489,12,FALSE),0)</f>
        <v>420.44839477539062</v>
      </c>
      <c r="FD225" s="181">
        <f t="shared" si="123"/>
        <v>420.44839477539062</v>
      </c>
      <c r="FE225" s="181">
        <f t="shared" si="124"/>
        <v>1.6052246093636313E-3</v>
      </c>
      <c r="FF225"/>
      <c r="FG225"/>
      <c r="FH225"/>
      <c r="FI225"/>
      <c r="FJ225"/>
      <c r="FK225"/>
      <c r="FL225"/>
      <c r="FM225"/>
      <c r="FN225"/>
      <c r="FO225"/>
      <c r="FP225"/>
      <c r="FQ225"/>
      <c r="FR225"/>
      <c r="FS225"/>
      <c r="FT225"/>
      <c r="FU225"/>
      <c r="FV225"/>
      <c r="FW225"/>
      <c r="FX225"/>
      <c r="FY225"/>
      <c r="FZ225"/>
      <c r="GA225"/>
      <c r="GB225"/>
      <c r="GC225"/>
    </row>
    <row r="226" spans="1:185" ht="12.75" customHeight="1" x14ac:dyDescent="0.25">
      <c r="A226" s="202"/>
      <c r="B226" s="22" t="s">
        <v>57</v>
      </c>
      <c r="C226" s="34" t="s">
        <v>44</v>
      </c>
      <c r="D226" s="22" t="s">
        <v>318</v>
      </c>
      <c r="E226" s="25" t="s">
        <v>1066</v>
      </c>
      <c r="F226" s="25" t="s">
        <v>318</v>
      </c>
      <c r="G226" s="25" t="s">
        <v>1066</v>
      </c>
      <c r="H226" s="22" t="s">
        <v>56</v>
      </c>
      <c r="I226" s="423" t="s">
        <v>565</v>
      </c>
      <c r="J226" s="37" t="s">
        <v>59</v>
      </c>
      <c r="K226" s="23" t="s">
        <v>1686</v>
      </c>
      <c r="L226" s="23"/>
      <c r="M226" s="23"/>
      <c r="N226" s="23" t="s">
        <v>59</v>
      </c>
      <c r="O226" s="2">
        <v>0</v>
      </c>
      <c r="P226" s="2">
        <v>0</v>
      </c>
      <c r="Q226" s="2">
        <v>0</v>
      </c>
      <c r="R226" s="2">
        <v>0</v>
      </c>
      <c r="S226" s="2">
        <v>0</v>
      </c>
      <c r="T226" s="116">
        <f t="shared" si="116"/>
        <v>0</v>
      </c>
      <c r="U226" s="324">
        <v>0</v>
      </c>
      <c r="V226" s="324">
        <v>0</v>
      </c>
      <c r="W226" s="324">
        <v>0</v>
      </c>
      <c r="X226" s="324">
        <v>0</v>
      </c>
      <c r="Y226" s="324">
        <v>0</v>
      </c>
      <c r="Z226" s="324">
        <v>0</v>
      </c>
      <c r="AA226" s="324">
        <v>0</v>
      </c>
      <c r="AB226" s="324">
        <v>1400</v>
      </c>
      <c r="AC226" s="324">
        <v>0</v>
      </c>
      <c r="AD226" s="324">
        <v>0</v>
      </c>
      <c r="AE226" s="324">
        <v>0</v>
      </c>
      <c r="AF226" s="324">
        <v>0</v>
      </c>
      <c r="AG226" s="140">
        <f t="shared" si="117"/>
        <v>1400</v>
      </c>
      <c r="AH226" s="324">
        <v>0</v>
      </c>
      <c r="AI226" s="324">
        <v>0</v>
      </c>
      <c r="AJ226" s="324">
        <v>0</v>
      </c>
      <c r="AK226" s="324">
        <v>0</v>
      </c>
      <c r="AL226" s="324">
        <v>0</v>
      </c>
      <c r="AM226" s="324">
        <v>0</v>
      </c>
      <c r="AN226" s="324">
        <v>0</v>
      </c>
      <c r="AO226" s="324">
        <v>0</v>
      </c>
      <c r="AP226" s="324">
        <v>0</v>
      </c>
      <c r="AQ226" s="324">
        <v>0</v>
      </c>
      <c r="AR226" s="324">
        <v>0</v>
      </c>
      <c r="AS226" s="324">
        <v>0</v>
      </c>
      <c r="AT226" s="140">
        <f t="shared" si="118"/>
        <v>0</v>
      </c>
      <c r="AU226" s="324">
        <v>0</v>
      </c>
      <c r="AV226" s="324">
        <v>0</v>
      </c>
      <c r="AW226" s="324">
        <v>0</v>
      </c>
      <c r="AX226" s="324">
        <v>0</v>
      </c>
      <c r="AY226" s="324">
        <v>0</v>
      </c>
      <c r="AZ226" s="324">
        <v>0</v>
      </c>
      <c r="BA226" s="324">
        <v>0</v>
      </c>
      <c r="BB226" s="324">
        <v>0</v>
      </c>
      <c r="BC226" s="324">
        <v>0</v>
      </c>
      <c r="BD226" s="324">
        <v>0</v>
      </c>
      <c r="BE226" s="324">
        <v>0</v>
      </c>
      <c r="BF226" s="324">
        <v>0</v>
      </c>
      <c r="BG226" s="140">
        <f t="shared" si="119"/>
        <v>0</v>
      </c>
      <c r="BH226" s="324">
        <v>0</v>
      </c>
      <c r="BI226" s="324">
        <v>0</v>
      </c>
      <c r="BJ226" s="324">
        <v>0</v>
      </c>
      <c r="BK226" s="324">
        <v>0</v>
      </c>
      <c r="BL226" s="324">
        <v>0</v>
      </c>
      <c r="BM226" s="324">
        <v>0</v>
      </c>
      <c r="BN226" s="324">
        <v>0</v>
      </c>
      <c r="BO226" s="324">
        <v>0</v>
      </c>
      <c r="BP226" s="324">
        <v>0</v>
      </c>
      <c r="BQ226" s="324">
        <v>0</v>
      </c>
      <c r="BR226" s="324">
        <v>0</v>
      </c>
      <c r="BS226" s="324">
        <v>0</v>
      </c>
      <c r="BT226" s="140">
        <f t="shared" si="120"/>
        <v>0</v>
      </c>
      <c r="BU226" s="114">
        <f t="shared" si="121"/>
        <v>1400</v>
      </c>
      <c r="BV226" s="432"/>
      <c r="BW226" s="432"/>
      <c r="BX226" s="432"/>
      <c r="BY226" s="432"/>
      <c r="BZ226" s="433"/>
      <c r="CA226" s="434"/>
      <c r="CB226" s="7" t="s">
        <v>1681</v>
      </c>
      <c r="CC226" s="3">
        <v>0</v>
      </c>
      <c r="CD226" s="3">
        <v>0</v>
      </c>
      <c r="CE226" s="3">
        <v>0</v>
      </c>
      <c r="CF226" s="3">
        <v>0</v>
      </c>
      <c r="CG226" s="3">
        <v>0</v>
      </c>
      <c r="CH226" s="3">
        <v>0</v>
      </c>
      <c r="CI226" s="3">
        <v>0</v>
      </c>
      <c r="CJ226" s="3">
        <v>0</v>
      </c>
      <c r="CK226" s="3">
        <v>0</v>
      </c>
      <c r="CL226" s="3">
        <v>0</v>
      </c>
      <c r="CM226" s="3">
        <v>0</v>
      </c>
      <c r="CN226" s="3">
        <v>0</v>
      </c>
      <c r="CO226" s="4">
        <f t="shared" si="126"/>
        <v>0</v>
      </c>
      <c r="CP226" s="3">
        <v>0</v>
      </c>
      <c r="CQ226" s="3">
        <v>0</v>
      </c>
      <c r="CR226" s="3">
        <v>0</v>
      </c>
      <c r="CS226" s="3">
        <v>0</v>
      </c>
      <c r="CT226" s="3">
        <v>0</v>
      </c>
      <c r="CU226" s="3">
        <v>0</v>
      </c>
      <c r="CV226" s="3">
        <v>0</v>
      </c>
      <c r="CW226" s="3">
        <v>10</v>
      </c>
      <c r="CX226" s="3">
        <v>0</v>
      </c>
      <c r="CY226" s="3">
        <v>0</v>
      </c>
      <c r="CZ226" s="3">
        <v>0</v>
      </c>
      <c r="DA226" s="3">
        <v>0</v>
      </c>
      <c r="DB226" s="4">
        <f t="shared" si="127"/>
        <v>10</v>
      </c>
      <c r="DC226" s="3">
        <v>0</v>
      </c>
      <c r="DD226" s="3">
        <v>0</v>
      </c>
      <c r="DE226" s="3">
        <v>0</v>
      </c>
      <c r="DF226" s="3">
        <v>0</v>
      </c>
      <c r="DG226" s="3">
        <v>0</v>
      </c>
      <c r="DH226" s="3">
        <v>0</v>
      </c>
      <c r="DI226" s="3">
        <v>0</v>
      </c>
      <c r="DJ226" s="3">
        <v>0</v>
      </c>
      <c r="DK226" s="3">
        <v>0</v>
      </c>
      <c r="DL226" s="3">
        <v>0</v>
      </c>
      <c r="DM226" s="3">
        <v>0</v>
      </c>
      <c r="DN226" s="3">
        <v>0</v>
      </c>
      <c r="DO226" s="4">
        <f t="shared" si="128"/>
        <v>0</v>
      </c>
      <c r="DP226" s="3">
        <v>0</v>
      </c>
      <c r="DQ226" s="3">
        <v>0</v>
      </c>
      <c r="DR226" s="3">
        <v>0</v>
      </c>
      <c r="DS226" s="3">
        <v>0</v>
      </c>
      <c r="DT226" s="3">
        <v>0</v>
      </c>
      <c r="DU226" s="3">
        <v>0</v>
      </c>
      <c r="DV226" s="3">
        <v>0</v>
      </c>
      <c r="DW226" s="3">
        <v>0</v>
      </c>
      <c r="DX226" s="3">
        <v>0</v>
      </c>
      <c r="DY226" s="3">
        <v>0</v>
      </c>
      <c r="DZ226" s="3">
        <v>0</v>
      </c>
      <c r="EA226" s="3">
        <v>0</v>
      </c>
      <c r="EB226" s="4">
        <f t="shared" si="129"/>
        <v>0</v>
      </c>
      <c r="EC226" s="3">
        <v>0</v>
      </c>
      <c r="ED226" s="3">
        <v>0</v>
      </c>
      <c r="EE226" s="3">
        <v>0</v>
      </c>
      <c r="EF226" s="3">
        <v>0</v>
      </c>
      <c r="EG226" s="3">
        <v>0</v>
      </c>
      <c r="EH226" s="3">
        <v>0</v>
      </c>
      <c r="EI226" s="3">
        <v>0</v>
      </c>
      <c r="EJ226" s="3">
        <v>0</v>
      </c>
      <c r="EK226" s="3">
        <v>0</v>
      </c>
      <c r="EL226" s="3">
        <v>0</v>
      </c>
      <c r="EM226" s="3">
        <v>0</v>
      </c>
      <c r="EN226" s="3">
        <v>0</v>
      </c>
      <c r="EO226" s="4">
        <f t="shared" si="130"/>
        <v>0</v>
      </c>
      <c r="EP226" s="8">
        <f t="shared" si="131"/>
        <v>10</v>
      </c>
      <c r="EQ226" s="181">
        <f>IFERROR(VLOOKUP(I226,CEI_012018!$A$1:$U$509,9,FALSE),0)</f>
        <v>0</v>
      </c>
      <c r="ER226" s="181">
        <f>IFERROR(VLOOKUP(I226,CEI_022018!$A$1:$U$509,9,FALSE),0)</f>
        <v>0</v>
      </c>
      <c r="ES226" s="181">
        <f>IFERROR(VLOOKUP(I226,CEI_032018!$A$1:$U$509,9,FALSE),0)</f>
        <v>0</v>
      </c>
      <c r="ET226" s="181">
        <f>IFERROR(VLOOKUP(I226,CEI_042018!$A$1:$U$491,9,FALSE),0)</f>
        <v>0</v>
      </c>
      <c r="EU226" s="181">
        <f>IFERROR(VLOOKUP(I226,CEI_052018!$A$1:$U$489,9,FALSE),0)</f>
        <v>0</v>
      </c>
      <c r="EV226" s="181">
        <f>IFERROR(VLOOKUP(I226,CEI_062018!$A$1:$U$489,9,FALSE),0)</f>
        <v>0</v>
      </c>
      <c r="EW226" s="181">
        <f>IFERROR(VLOOKUP(I226,CEI_072018!$A$1:$U$489,9,FALSE),0)</f>
        <v>0</v>
      </c>
      <c r="EX226" s="181">
        <f>IFERROR(VLOOKUP(I226,CEI_082018!$A$1:$U$489,9,FALSE),0)</f>
        <v>0</v>
      </c>
      <c r="EY226" s="181">
        <f>IFERROR(VLOOKUP(I226,CEI_092018!$A$1:$U$489,9,FALSE),0)</f>
        <v>0</v>
      </c>
      <c r="EZ226" s="181"/>
      <c r="FA226" s="181"/>
      <c r="FB226" s="181"/>
      <c r="FC226" s="181">
        <f>IFERROR(VLOOKUP(I226,CEI_092018!$A$1:$U$489,12,FALSE),0)</f>
        <v>0</v>
      </c>
      <c r="FD226" s="181">
        <f t="shared" si="123"/>
        <v>0</v>
      </c>
      <c r="FE226" s="181">
        <f t="shared" si="124"/>
        <v>0</v>
      </c>
      <c r="FF226"/>
      <c r="FG226"/>
      <c r="FH226"/>
      <c r="FI226"/>
      <c r="FJ226"/>
      <c r="FK226"/>
      <c r="FL226"/>
      <c r="FM226"/>
      <c r="FN226"/>
      <c r="FO226"/>
      <c r="FP226"/>
      <c r="FQ226"/>
      <c r="FR226"/>
      <c r="FS226"/>
      <c r="FT226"/>
      <c r="FU226"/>
      <c r="FV226"/>
      <c r="FW226"/>
      <c r="FX226"/>
      <c r="FY226"/>
      <c r="FZ226"/>
      <c r="GA226"/>
      <c r="GB226"/>
      <c r="GC226"/>
    </row>
    <row r="227" spans="1:185" ht="12.75" customHeight="1" x14ac:dyDescent="0.25">
      <c r="A227" s="202"/>
      <c r="B227" s="22" t="s">
        <v>57</v>
      </c>
      <c r="C227" s="34" t="s">
        <v>44</v>
      </c>
      <c r="D227" s="22" t="s">
        <v>1059</v>
      </c>
      <c r="E227" s="25" t="s">
        <v>1063</v>
      </c>
      <c r="F227" s="25" t="s">
        <v>1059</v>
      </c>
      <c r="G227" s="25" t="s">
        <v>1063</v>
      </c>
      <c r="H227" s="22" t="s">
        <v>56</v>
      </c>
      <c r="I227" s="423" t="s">
        <v>565</v>
      </c>
      <c r="J227" s="37" t="s">
        <v>59</v>
      </c>
      <c r="K227" s="23" t="s">
        <v>387</v>
      </c>
      <c r="L227" s="23" t="s">
        <v>774</v>
      </c>
      <c r="M227" s="23" t="s">
        <v>775</v>
      </c>
      <c r="N227" s="23" t="s">
        <v>1872</v>
      </c>
      <c r="O227" s="2">
        <v>0</v>
      </c>
      <c r="P227" s="2">
        <v>0</v>
      </c>
      <c r="Q227" s="2">
        <v>0</v>
      </c>
      <c r="R227" s="2">
        <v>0</v>
      </c>
      <c r="S227" s="2">
        <v>0</v>
      </c>
      <c r="T227" s="116">
        <f t="shared" si="116"/>
        <v>0</v>
      </c>
      <c r="U227" s="324">
        <v>0</v>
      </c>
      <c r="V227" s="324">
        <v>0</v>
      </c>
      <c r="W227" s="324">
        <v>0</v>
      </c>
      <c r="X227" s="324">
        <v>0</v>
      </c>
      <c r="Y227" s="324">
        <v>10</v>
      </c>
      <c r="Z227" s="324">
        <v>20</v>
      </c>
      <c r="AA227" s="324">
        <v>20</v>
      </c>
      <c r="AB227" s="324">
        <v>20</v>
      </c>
      <c r="AC227" s="324">
        <v>20</v>
      </c>
      <c r="AD227" s="324">
        <v>20</v>
      </c>
      <c r="AE227" s="324">
        <v>20</v>
      </c>
      <c r="AF227" s="324">
        <v>20</v>
      </c>
      <c r="AG227" s="140">
        <f t="shared" si="117"/>
        <v>150</v>
      </c>
      <c r="AH227" s="324">
        <v>0</v>
      </c>
      <c r="AI227" s="324">
        <v>0</v>
      </c>
      <c r="AJ227" s="324">
        <v>0</v>
      </c>
      <c r="AK227" s="324">
        <v>0</v>
      </c>
      <c r="AL227" s="324">
        <v>0</v>
      </c>
      <c r="AM227" s="324">
        <v>20</v>
      </c>
      <c r="AN227" s="324">
        <v>35</v>
      </c>
      <c r="AO227" s="324">
        <v>40</v>
      </c>
      <c r="AP227" s="324">
        <v>40</v>
      </c>
      <c r="AQ227" s="324">
        <v>40</v>
      </c>
      <c r="AR227" s="324">
        <v>40</v>
      </c>
      <c r="AS227" s="324">
        <v>100</v>
      </c>
      <c r="AT227" s="140">
        <f t="shared" si="118"/>
        <v>315</v>
      </c>
      <c r="AU227" s="324">
        <v>0</v>
      </c>
      <c r="AV227" s="324">
        <v>0</v>
      </c>
      <c r="AW227" s="324">
        <v>0</v>
      </c>
      <c r="AX227" s="324">
        <v>50</v>
      </c>
      <c r="AY227" s="324">
        <v>50</v>
      </c>
      <c r="AZ227" s="324">
        <v>80</v>
      </c>
      <c r="BA227" s="324">
        <v>40</v>
      </c>
      <c r="BB227" s="324">
        <v>40</v>
      </c>
      <c r="BC227" s="324">
        <v>40</v>
      </c>
      <c r="BD227" s="324">
        <v>80</v>
      </c>
      <c r="BE227" s="324">
        <v>40</v>
      </c>
      <c r="BF227" s="324">
        <v>40</v>
      </c>
      <c r="BG227" s="140">
        <f t="shared" si="119"/>
        <v>460</v>
      </c>
      <c r="BH227" s="324">
        <v>0</v>
      </c>
      <c r="BI227" s="324">
        <v>0</v>
      </c>
      <c r="BJ227" s="324">
        <v>0</v>
      </c>
      <c r="BK227" s="324">
        <v>50</v>
      </c>
      <c r="BL227" s="324">
        <v>40</v>
      </c>
      <c r="BM227" s="324">
        <v>80</v>
      </c>
      <c r="BN227" s="324">
        <v>40</v>
      </c>
      <c r="BO227" s="324">
        <v>80</v>
      </c>
      <c r="BP227" s="324">
        <v>40</v>
      </c>
      <c r="BQ227" s="324">
        <v>40</v>
      </c>
      <c r="BR227" s="324">
        <v>50</v>
      </c>
      <c r="BS227" s="324">
        <v>40</v>
      </c>
      <c r="BT227" s="140">
        <f t="shared" si="120"/>
        <v>460</v>
      </c>
      <c r="BU227" s="114">
        <f t="shared" si="121"/>
        <v>1385</v>
      </c>
      <c r="BV227" s="432"/>
      <c r="BW227" s="432"/>
      <c r="BX227" s="432"/>
      <c r="BY227" s="432"/>
      <c r="BZ227" s="433"/>
      <c r="CA227" s="434"/>
      <c r="CB227" s="7" t="s">
        <v>1700</v>
      </c>
      <c r="CC227" s="3">
        <v>0</v>
      </c>
      <c r="CD227" s="3">
        <v>0</v>
      </c>
      <c r="CE227" s="3">
        <v>0</v>
      </c>
      <c r="CF227" s="3">
        <v>0</v>
      </c>
      <c r="CG227" s="3">
        <v>0</v>
      </c>
      <c r="CH227" s="3">
        <v>0</v>
      </c>
      <c r="CI227" s="3">
        <v>0</v>
      </c>
      <c r="CJ227" s="3">
        <v>0</v>
      </c>
      <c r="CK227" s="3">
        <v>0</v>
      </c>
      <c r="CL227" s="3">
        <v>0</v>
      </c>
      <c r="CM227" s="3">
        <v>0</v>
      </c>
      <c r="CN227" s="3">
        <v>0</v>
      </c>
      <c r="CO227" s="4">
        <f t="shared" si="126"/>
        <v>0</v>
      </c>
      <c r="CP227" s="3">
        <v>0</v>
      </c>
      <c r="CQ227" s="3">
        <v>0</v>
      </c>
      <c r="CR227" s="3">
        <v>0</v>
      </c>
      <c r="CS227" s="3">
        <v>0</v>
      </c>
      <c r="CT227" s="3">
        <v>40</v>
      </c>
      <c r="CU227" s="3">
        <v>80</v>
      </c>
      <c r="CV227" s="3">
        <v>80</v>
      </c>
      <c r="CW227" s="3">
        <v>80</v>
      </c>
      <c r="CX227" s="3">
        <v>80</v>
      </c>
      <c r="CY227" s="3">
        <v>80</v>
      </c>
      <c r="CZ227" s="3">
        <v>80</v>
      </c>
      <c r="DA227" s="3">
        <v>80</v>
      </c>
      <c r="DB227" s="4">
        <f t="shared" si="127"/>
        <v>600</v>
      </c>
      <c r="DC227" s="3">
        <v>0</v>
      </c>
      <c r="DD227" s="3">
        <v>0</v>
      </c>
      <c r="DE227" s="3">
        <v>0</v>
      </c>
      <c r="DF227" s="3">
        <v>0</v>
      </c>
      <c r="DG227" s="3">
        <v>0</v>
      </c>
      <c r="DH227" s="3">
        <v>80</v>
      </c>
      <c r="DI227" s="3">
        <v>80</v>
      </c>
      <c r="DJ227" s="3">
        <v>80</v>
      </c>
      <c r="DK227" s="3">
        <v>80</v>
      </c>
      <c r="DL227" s="3">
        <v>80</v>
      </c>
      <c r="DM227" s="3">
        <v>200</v>
      </c>
      <c r="DN227" s="3">
        <v>260</v>
      </c>
      <c r="DO227" s="4">
        <f t="shared" si="128"/>
        <v>860</v>
      </c>
      <c r="DP227" s="3">
        <v>0</v>
      </c>
      <c r="DQ227" s="3">
        <v>0</v>
      </c>
      <c r="DR227" s="3">
        <v>0</v>
      </c>
      <c r="DS227" s="3">
        <v>100</v>
      </c>
      <c r="DT227" s="3">
        <v>100</v>
      </c>
      <c r="DU227" s="3">
        <v>160</v>
      </c>
      <c r="DV227" s="3">
        <v>80</v>
      </c>
      <c r="DW227" s="3">
        <v>80</v>
      </c>
      <c r="DX227" s="3">
        <v>80</v>
      </c>
      <c r="DY227" s="3">
        <v>160</v>
      </c>
      <c r="DZ227" s="3">
        <v>80</v>
      </c>
      <c r="EA227" s="3">
        <v>80</v>
      </c>
      <c r="EB227" s="4">
        <f t="shared" si="129"/>
        <v>920</v>
      </c>
      <c r="EC227" s="3">
        <v>0</v>
      </c>
      <c r="ED227" s="3">
        <v>0</v>
      </c>
      <c r="EE227" s="3">
        <v>0</v>
      </c>
      <c r="EF227" s="3">
        <v>100</v>
      </c>
      <c r="EG227" s="3">
        <v>80</v>
      </c>
      <c r="EH227" s="3">
        <v>160</v>
      </c>
      <c r="EI227" s="3">
        <v>80</v>
      </c>
      <c r="EJ227" s="3">
        <v>160</v>
      </c>
      <c r="EK227" s="3">
        <v>80</v>
      </c>
      <c r="EL227" s="3">
        <v>80</v>
      </c>
      <c r="EM227" s="3">
        <v>100</v>
      </c>
      <c r="EN227" s="3">
        <v>80</v>
      </c>
      <c r="EO227" s="4">
        <f t="shared" si="130"/>
        <v>920</v>
      </c>
      <c r="EP227" s="8">
        <f t="shared" si="131"/>
        <v>3300</v>
      </c>
      <c r="EQ227" s="181">
        <f>IFERROR(VLOOKUP(I227,CEI_012018!$A$1:$U$509,9,FALSE),0)</f>
        <v>0</v>
      </c>
      <c r="ER227" s="181">
        <f>IFERROR(VLOOKUP(I227,CEI_022018!$A$1:$U$509,9,FALSE),0)</f>
        <v>0</v>
      </c>
      <c r="ES227" s="181">
        <f>IFERROR(VLOOKUP(I227,CEI_032018!$A$1:$U$509,9,FALSE),0)</f>
        <v>0</v>
      </c>
      <c r="ET227" s="181">
        <f>IFERROR(VLOOKUP(I227,CEI_042018!$A$1:$U$491,9,FALSE),0)</f>
        <v>0</v>
      </c>
      <c r="EU227" s="181">
        <f>IFERROR(VLOOKUP(I227,CEI_052018!$A$1:$U$489,9,FALSE),0)</f>
        <v>0</v>
      </c>
      <c r="EV227" s="181">
        <f>IFERROR(VLOOKUP(I227,CEI_062018!$A$1:$U$489,9,FALSE),0)</f>
        <v>0</v>
      </c>
      <c r="EW227" s="181">
        <f>IFERROR(VLOOKUP(I227,CEI_072018!$A$1:$U$489,9,FALSE),0)</f>
        <v>0</v>
      </c>
      <c r="EX227" s="181">
        <f>IFERROR(VLOOKUP(I227,CEI_082018!$A$1:$U$489,9,FALSE),0)</f>
        <v>0</v>
      </c>
      <c r="EY227" s="181">
        <f>IFERROR(VLOOKUP(I227,CEI_092018!$A$1:$U$489,9,FALSE),0)</f>
        <v>0</v>
      </c>
      <c r="EZ227" s="181"/>
      <c r="FA227" s="181"/>
      <c r="FB227" s="181"/>
      <c r="FC227" s="181">
        <f>IFERROR(VLOOKUP(I227,CEI_092018!$A$1:$U$489,12,FALSE),0)</f>
        <v>0</v>
      </c>
      <c r="FD227" s="181">
        <f t="shared" si="123"/>
        <v>0</v>
      </c>
      <c r="FE227" s="181">
        <f t="shared" si="124"/>
        <v>0</v>
      </c>
      <c r="FF227"/>
      <c r="FG227"/>
      <c r="FH227"/>
      <c r="FI227"/>
      <c r="FJ227"/>
      <c r="FK227"/>
      <c r="FL227"/>
      <c r="FM227"/>
      <c r="FN227"/>
      <c r="FO227"/>
      <c r="FP227"/>
      <c r="FQ227"/>
      <c r="FR227"/>
      <c r="FS227"/>
      <c r="FT227"/>
      <c r="FU227"/>
      <c r="FV227"/>
      <c r="FW227"/>
      <c r="FX227"/>
      <c r="FY227"/>
      <c r="FZ227"/>
      <c r="GA227"/>
      <c r="GB227"/>
      <c r="GC227"/>
    </row>
    <row r="228" spans="1:185" ht="12.75" customHeight="1" x14ac:dyDescent="0.25">
      <c r="A228" s="202"/>
      <c r="B228" s="22" t="s">
        <v>57</v>
      </c>
      <c r="C228" s="34" t="s">
        <v>44</v>
      </c>
      <c r="D228" s="22" t="s">
        <v>1059</v>
      </c>
      <c r="E228" s="25" t="s">
        <v>1063</v>
      </c>
      <c r="F228" s="25" t="s">
        <v>1059</v>
      </c>
      <c r="G228" s="25" t="s">
        <v>1063</v>
      </c>
      <c r="H228" s="22" t="s">
        <v>56</v>
      </c>
      <c r="I228" s="423" t="s">
        <v>755</v>
      </c>
      <c r="J228" s="37" t="s">
        <v>1332</v>
      </c>
      <c r="K228" s="23" t="s">
        <v>338</v>
      </c>
      <c r="L228" s="23" t="s">
        <v>339</v>
      </c>
      <c r="M228" s="23" t="s">
        <v>340</v>
      </c>
      <c r="N228" s="23" t="s">
        <v>1883</v>
      </c>
      <c r="O228" s="2">
        <v>275.21786499023437</v>
      </c>
      <c r="P228" s="2">
        <v>52.07</v>
      </c>
      <c r="Q228" s="2">
        <v>32.200000000000003</v>
      </c>
      <c r="R228" s="2">
        <v>53.510840000000002</v>
      </c>
      <c r="S228" s="2">
        <v>25.198661804199219</v>
      </c>
      <c r="T228" s="116">
        <f t="shared" si="116"/>
        <v>438.19736679443361</v>
      </c>
      <c r="U228" s="324">
        <v>15</v>
      </c>
      <c r="V228" s="324">
        <v>20</v>
      </c>
      <c r="W228" s="324">
        <v>15</v>
      </c>
      <c r="X228" s="324">
        <v>12</v>
      </c>
      <c r="Y228" s="324">
        <v>15</v>
      </c>
      <c r="Z228" s="324">
        <v>15</v>
      </c>
      <c r="AA228" s="324">
        <v>30</v>
      </c>
      <c r="AB228" s="324">
        <v>30</v>
      </c>
      <c r="AC228" s="324">
        <v>20</v>
      </c>
      <c r="AD228" s="324">
        <v>20</v>
      </c>
      <c r="AE228" s="324">
        <v>25</v>
      </c>
      <c r="AF228" s="324">
        <v>40</v>
      </c>
      <c r="AG228" s="140">
        <f t="shared" si="117"/>
        <v>257</v>
      </c>
      <c r="AH228" s="324">
        <v>0</v>
      </c>
      <c r="AI228" s="324">
        <v>25</v>
      </c>
      <c r="AJ228" s="324">
        <v>20</v>
      </c>
      <c r="AK228" s="324">
        <v>40</v>
      </c>
      <c r="AL228" s="324">
        <v>25</v>
      </c>
      <c r="AM228" s="324">
        <v>25</v>
      </c>
      <c r="AN228" s="324">
        <v>10</v>
      </c>
      <c r="AO228" s="324">
        <v>10</v>
      </c>
      <c r="AP228" s="324">
        <v>10</v>
      </c>
      <c r="AQ228" s="324">
        <v>10</v>
      </c>
      <c r="AR228" s="324">
        <v>20</v>
      </c>
      <c r="AS228" s="324">
        <v>20</v>
      </c>
      <c r="AT228" s="140">
        <f t="shared" si="118"/>
        <v>215</v>
      </c>
      <c r="AU228" s="324">
        <v>75</v>
      </c>
      <c r="AV228" s="324">
        <v>75</v>
      </c>
      <c r="AW228" s="324">
        <v>10</v>
      </c>
      <c r="AX228" s="324">
        <v>10</v>
      </c>
      <c r="AY228" s="324">
        <v>10</v>
      </c>
      <c r="AZ228" s="324">
        <v>10</v>
      </c>
      <c r="BA228" s="324">
        <v>10</v>
      </c>
      <c r="BB228" s="324">
        <v>10</v>
      </c>
      <c r="BC228" s="324">
        <v>10</v>
      </c>
      <c r="BD228" s="324">
        <v>10</v>
      </c>
      <c r="BE228" s="324">
        <v>10</v>
      </c>
      <c r="BF228" s="324">
        <v>10</v>
      </c>
      <c r="BG228" s="140">
        <f t="shared" si="119"/>
        <v>250</v>
      </c>
      <c r="BH228" s="324">
        <v>0</v>
      </c>
      <c r="BI228" s="324">
        <v>0</v>
      </c>
      <c r="BJ228" s="324">
        <v>20</v>
      </c>
      <c r="BK228" s="324">
        <v>0</v>
      </c>
      <c r="BL228" s="324">
        <v>0</v>
      </c>
      <c r="BM228" s="324">
        <v>20</v>
      </c>
      <c r="BN228" s="324">
        <v>0</v>
      </c>
      <c r="BO228" s="324">
        <v>0</v>
      </c>
      <c r="BP228" s="324">
        <v>20</v>
      </c>
      <c r="BQ228" s="324">
        <v>0</v>
      </c>
      <c r="BR228" s="324">
        <v>0</v>
      </c>
      <c r="BS228" s="324">
        <v>40</v>
      </c>
      <c r="BT228" s="140">
        <f t="shared" si="120"/>
        <v>100</v>
      </c>
      <c r="BU228" s="114">
        <f t="shared" si="121"/>
        <v>1260.1973667944335</v>
      </c>
      <c r="BV228" s="372">
        <v>1</v>
      </c>
      <c r="BW228" s="372">
        <v>1</v>
      </c>
      <c r="BX228" s="372">
        <v>1</v>
      </c>
      <c r="BY228" s="372">
        <v>1</v>
      </c>
      <c r="BZ228" s="436">
        <f>IFERROR((EX228/T228%),0)</f>
        <v>62.806827663878714</v>
      </c>
      <c r="CA228" s="428">
        <f>IFERROR((FD228/T228%),0)</f>
        <v>83.834333163713794</v>
      </c>
      <c r="CB228" s="7" t="s">
        <v>1700</v>
      </c>
      <c r="CC228" s="3">
        <v>0</v>
      </c>
      <c r="CD228" s="3">
        <v>135.16138000000001</v>
      </c>
      <c r="CE228" s="3">
        <v>0</v>
      </c>
      <c r="CF228" s="3">
        <v>60.693359999999998</v>
      </c>
      <c r="CG228" s="3">
        <v>123.00543999999999</v>
      </c>
      <c r="CH228" s="3">
        <v>48.738</v>
      </c>
      <c r="CI228" s="3">
        <v>50</v>
      </c>
      <c r="CJ228" s="3">
        <v>40</v>
      </c>
      <c r="CK228" s="3">
        <v>104.14</v>
      </c>
      <c r="CL228" s="3">
        <v>64.400000000000006</v>
      </c>
      <c r="CM228" s="3">
        <v>98.256560000000007</v>
      </c>
      <c r="CN228" s="3">
        <v>150</v>
      </c>
      <c r="CO228" s="4">
        <f t="shared" si="126"/>
        <v>874.39474000000007</v>
      </c>
      <c r="CP228" s="3">
        <v>30</v>
      </c>
      <c r="CQ228" s="3">
        <v>40</v>
      </c>
      <c r="CR228" s="3">
        <v>30</v>
      </c>
      <c r="CS228" s="3">
        <v>24</v>
      </c>
      <c r="CT228" s="3">
        <v>30</v>
      </c>
      <c r="CU228" s="3">
        <v>30</v>
      </c>
      <c r="CV228" s="3">
        <v>60</v>
      </c>
      <c r="CW228" s="3">
        <v>60</v>
      </c>
      <c r="CX228" s="3">
        <v>40</v>
      </c>
      <c r="CY228" s="3">
        <v>40</v>
      </c>
      <c r="CZ228" s="3">
        <v>50</v>
      </c>
      <c r="DA228" s="3">
        <v>80</v>
      </c>
      <c r="DB228" s="4">
        <f t="shared" si="127"/>
        <v>514</v>
      </c>
      <c r="DC228" s="3">
        <v>0</v>
      </c>
      <c r="DD228" s="3">
        <v>50</v>
      </c>
      <c r="DE228" s="3">
        <v>40</v>
      </c>
      <c r="DF228" s="3">
        <v>80</v>
      </c>
      <c r="DG228" s="3">
        <v>50</v>
      </c>
      <c r="DH228" s="3">
        <v>50</v>
      </c>
      <c r="DI228" s="3">
        <v>20</v>
      </c>
      <c r="DJ228" s="3">
        <v>20</v>
      </c>
      <c r="DK228" s="3">
        <v>20</v>
      </c>
      <c r="DL228" s="3">
        <v>20</v>
      </c>
      <c r="DM228" s="3">
        <v>40</v>
      </c>
      <c r="DN228" s="3">
        <v>40</v>
      </c>
      <c r="DO228" s="4">
        <f t="shared" si="128"/>
        <v>430</v>
      </c>
      <c r="DP228" s="3">
        <v>150</v>
      </c>
      <c r="DQ228" s="3">
        <v>150</v>
      </c>
      <c r="DR228" s="3">
        <v>20</v>
      </c>
      <c r="DS228" s="3">
        <v>20</v>
      </c>
      <c r="DT228" s="3">
        <v>20</v>
      </c>
      <c r="DU228" s="3">
        <v>20</v>
      </c>
      <c r="DV228" s="3">
        <v>20</v>
      </c>
      <c r="DW228" s="3">
        <v>20</v>
      </c>
      <c r="DX228" s="3">
        <v>20</v>
      </c>
      <c r="DY228" s="3">
        <v>20</v>
      </c>
      <c r="DZ228" s="3">
        <v>20</v>
      </c>
      <c r="EA228" s="3">
        <v>20</v>
      </c>
      <c r="EB228" s="4">
        <f t="shared" si="129"/>
        <v>500</v>
      </c>
      <c r="EC228" s="3">
        <v>0</v>
      </c>
      <c r="ED228" s="3">
        <v>0</v>
      </c>
      <c r="EE228" s="3">
        <v>40</v>
      </c>
      <c r="EF228" s="3">
        <v>0</v>
      </c>
      <c r="EG228" s="3">
        <v>0</v>
      </c>
      <c r="EH228" s="3">
        <v>40</v>
      </c>
      <c r="EI228" s="3">
        <v>0</v>
      </c>
      <c r="EJ228" s="3">
        <v>0</v>
      </c>
      <c r="EK228" s="3">
        <v>40</v>
      </c>
      <c r="EL228" s="3">
        <v>0</v>
      </c>
      <c r="EM228" s="3">
        <v>0</v>
      </c>
      <c r="EN228" s="3">
        <v>80</v>
      </c>
      <c r="EO228" s="4">
        <f t="shared" si="130"/>
        <v>200</v>
      </c>
      <c r="EP228" s="8">
        <f t="shared" si="131"/>
        <v>2518.3947400000002</v>
      </c>
      <c r="EQ228" s="181">
        <f>IFERROR(VLOOKUP(I228,CEI_012018!$A$1:$U$509,9,FALSE),0)</f>
        <v>0</v>
      </c>
      <c r="ER228" s="181">
        <f>IFERROR(VLOOKUP(I228,CEI_022018!$A$1:$U$509,9,FALSE),0)</f>
        <v>67.5806884765625</v>
      </c>
      <c r="ES228" s="181">
        <f>IFERROR(VLOOKUP(I228,CEI_032018!$A$1:$U$509,9,FALSE),0)</f>
        <v>67.5806884765625</v>
      </c>
      <c r="ET228" s="181">
        <f>IFERROR(VLOOKUP(I228,CEI_042018!$A$1:$U$491,9,FALSE),0)</f>
        <v>97.9273681640625</v>
      </c>
      <c r="EU228" s="181">
        <f>IFERROR(VLOOKUP(I228,CEI_052018!$A$1:$U$489,9,FALSE),0)</f>
        <v>159.43008804321289</v>
      </c>
      <c r="EV228" s="181">
        <f>IFERROR(VLOOKUP(I228,CEI_062018!$A$1:$U$489,9,FALSE),0)</f>
        <v>183.79908752441406</v>
      </c>
      <c r="EW228" s="181">
        <f>IFERROR(VLOOKUP(I228,CEI_072018!$A$1:$U$489,9,FALSE),0)</f>
        <v>204.41652679443359</v>
      </c>
      <c r="EX228" s="181">
        <f>IFERROR(VLOOKUP(I228,CEI_082018!$A$1:$U$489,9,FALSE),0)</f>
        <v>275.21786499023437</v>
      </c>
      <c r="EY228" s="181">
        <f>IFERROR(VLOOKUP(I228,CEI_092018!$A$1:$U$489,9,FALSE),0)</f>
        <v>275.21786499023437</v>
      </c>
      <c r="EZ228" s="181"/>
      <c r="FA228" s="181"/>
      <c r="FB228" s="181"/>
      <c r="FC228" s="181">
        <f>IFERROR(VLOOKUP(I228,CEI_092018!$A$1:$U$489,12,FALSE),0)</f>
        <v>162.94331359863281</v>
      </c>
      <c r="FD228" s="181">
        <f t="shared" si="123"/>
        <v>367.35984039306641</v>
      </c>
      <c r="FE228" s="181">
        <f t="shared" si="124"/>
        <v>70.837526401367199</v>
      </c>
      <c r="FF228"/>
      <c r="FG228"/>
      <c r="FH228"/>
      <c r="FI228"/>
      <c r="FJ228"/>
      <c r="FK228"/>
      <c r="FL228"/>
      <c r="FM228"/>
      <c r="FN228"/>
      <c r="FO228"/>
      <c r="FP228"/>
      <c r="FQ228"/>
      <c r="FR228"/>
      <c r="FS228"/>
      <c r="FT228"/>
      <c r="FU228"/>
      <c r="FV228"/>
      <c r="FW228"/>
      <c r="FX228"/>
      <c r="FY228"/>
      <c r="FZ228"/>
      <c r="GA228"/>
      <c r="GB228"/>
      <c r="GC228"/>
    </row>
    <row r="229" spans="1:185" ht="12.75" customHeight="1" x14ac:dyDescent="0.25">
      <c r="A229" s="202"/>
      <c r="B229" s="22" t="s">
        <v>57</v>
      </c>
      <c r="C229" s="34" t="s">
        <v>44</v>
      </c>
      <c r="D229" s="22" t="s">
        <v>1059</v>
      </c>
      <c r="E229" s="25" t="s">
        <v>1063</v>
      </c>
      <c r="F229" s="25" t="s">
        <v>1059</v>
      </c>
      <c r="G229" s="25" t="s">
        <v>1063</v>
      </c>
      <c r="H229" s="22" t="s">
        <v>56</v>
      </c>
      <c r="I229" s="423" t="s">
        <v>565</v>
      </c>
      <c r="J229" s="37" t="s">
        <v>59</v>
      </c>
      <c r="K229" s="23" t="s">
        <v>1138</v>
      </c>
      <c r="L229" s="23" t="s">
        <v>790</v>
      </c>
      <c r="M229" s="23" t="s">
        <v>791</v>
      </c>
      <c r="N229" s="23" t="s">
        <v>1872</v>
      </c>
      <c r="O229" s="2">
        <v>0</v>
      </c>
      <c r="P229" s="2">
        <v>0</v>
      </c>
      <c r="Q229" s="2">
        <v>0</v>
      </c>
      <c r="R229" s="2">
        <v>0</v>
      </c>
      <c r="S229" s="2">
        <v>0</v>
      </c>
      <c r="T229" s="116">
        <f t="shared" si="116"/>
        <v>0</v>
      </c>
      <c r="U229" s="324">
        <v>0</v>
      </c>
      <c r="V229" s="324">
        <v>0</v>
      </c>
      <c r="W229" s="324">
        <v>0</v>
      </c>
      <c r="X229" s="324">
        <v>0</v>
      </c>
      <c r="Y229" s="324">
        <v>0</v>
      </c>
      <c r="Z229" s="324">
        <v>0</v>
      </c>
      <c r="AA229" s="324">
        <v>0</v>
      </c>
      <c r="AB229" s="324">
        <v>0</v>
      </c>
      <c r="AC229" s="324">
        <v>0</v>
      </c>
      <c r="AD229" s="324">
        <v>50</v>
      </c>
      <c r="AE229" s="324">
        <v>79</v>
      </c>
      <c r="AF229" s="324">
        <v>150</v>
      </c>
      <c r="AG229" s="140">
        <f t="shared" si="117"/>
        <v>279</v>
      </c>
      <c r="AH229" s="324">
        <v>0</v>
      </c>
      <c r="AI229" s="324">
        <v>0</v>
      </c>
      <c r="AJ229" s="324">
        <v>20</v>
      </c>
      <c r="AK229" s="324">
        <v>0</v>
      </c>
      <c r="AL229" s="324">
        <v>50</v>
      </c>
      <c r="AM229" s="324">
        <v>0</v>
      </c>
      <c r="AN229" s="324">
        <v>50</v>
      </c>
      <c r="AO229" s="324">
        <v>0</v>
      </c>
      <c r="AP229" s="324">
        <v>50</v>
      </c>
      <c r="AQ229" s="324">
        <v>50</v>
      </c>
      <c r="AR229" s="324">
        <v>50</v>
      </c>
      <c r="AS229" s="324">
        <v>50</v>
      </c>
      <c r="AT229" s="140">
        <f t="shared" si="118"/>
        <v>320</v>
      </c>
      <c r="AU229" s="324">
        <v>20</v>
      </c>
      <c r="AV229" s="324">
        <v>20</v>
      </c>
      <c r="AW229" s="324">
        <v>20</v>
      </c>
      <c r="AX229" s="324">
        <v>20</v>
      </c>
      <c r="AY229" s="324">
        <v>20</v>
      </c>
      <c r="AZ229" s="324">
        <v>20</v>
      </c>
      <c r="BA229" s="324">
        <v>20</v>
      </c>
      <c r="BB229" s="324">
        <v>20</v>
      </c>
      <c r="BC229" s="324">
        <v>20</v>
      </c>
      <c r="BD229" s="324">
        <v>20</v>
      </c>
      <c r="BE229" s="324">
        <v>20</v>
      </c>
      <c r="BF229" s="324">
        <v>60</v>
      </c>
      <c r="BG229" s="140">
        <f t="shared" si="119"/>
        <v>280</v>
      </c>
      <c r="BH229" s="324">
        <v>25</v>
      </c>
      <c r="BI229" s="324">
        <v>25</v>
      </c>
      <c r="BJ229" s="324">
        <v>25</v>
      </c>
      <c r="BK229" s="324">
        <v>25</v>
      </c>
      <c r="BL229" s="324">
        <v>25</v>
      </c>
      <c r="BM229" s="324">
        <v>25</v>
      </c>
      <c r="BN229" s="324">
        <v>25</v>
      </c>
      <c r="BO229" s="324">
        <v>25</v>
      </c>
      <c r="BP229" s="324">
        <v>25</v>
      </c>
      <c r="BQ229" s="324">
        <v>25</v>
      </c>
      <c r="BR229" s="324">
        <v>50</v>
      </c>
      <c r="BS229" s="324">
        <v>50</v>
      </c>
      <c r="BT229" s="140">
        <f t="shared" si="120"/>
        <v>350</v>
      </c>
      <c r="BU229" s="114">
        <f t="shared" si="121"/>
        <v>1229</v>
      </c>
      <c r="BV229" s="432"/>
      <c r="BW229" s="432"/>
      <c r="BX229" s="432"/>
      <c r="BY229" s="432"/>
      <c r="BZ229" s="433"/>
      <c r="CA229" s="434"/>
      <c r="CB229" s="7" t="s">
        <v>1699</v>
      </c>
      <c r="CC229" s="3">
        <v>0</v>
      </c>
      <c r="CD229" s="3">
        <v>0</v>
      </c>
      <c r="CE229" s="3">
        <v>0</v>
      </c>
      <c r="CF229" s="3">
        <v>0</v>
      </c>
      <c r="CG229" s="3">
        <v>0</v>
      </c>
      <c r="CH229" s="3">
        <v>0</v>
      </c>
      <c r="CI229" s="3">
        <v>0</v>
      </c>
      <c r="CJ229" s="3">
        <v>0</v>
      </c>
      <c r="CK229" s="3">
        <v>0</v>
      </c>
      <c r="CL229" s="3">
        <v>0</v>
      </c>
      <c r="CM229" s="3">
        <v>0</v>
      </c>
      <c r="CN229" s="3">
        <v>0</v>
      </c>
      <c r="CO229" s="4">
        <f t="shared" si="126"/>
        <v>0</v>
      </c>
      <c r="CP229" s="3">
        <v>0</v>
      </c>
      <c r="CQ229" s="3">
        <v>0</v>
      </c>
      <c r="CR229" s="3">
        <v>0</v>
      </c>
      <c r="CS229" s="3">
        <v>0</v>
      </c>
      <c r="CT229" s="3">
        <v>0</v>
      </c>
      <c r="CU229" s="3">
        <v>0</v>
      </c>
      <c r="CV229" s="3">
        <v>0</v>
      </c>
      <c r="CW229" s="3">
        <v>0</v>
      </c>
      <c r="CX229" s="3">
        <v>0</v>
      </c>
      <c r="CY229" s="3">
        <v>0</v>
      </c>
      <c r="CZ229" s="3">
        <v>0</v>
      </c>
      <c r="DA229" s="3">
        <v>1</v>
      </c>
      <c r="DB229" s="4">
        <f t="shared" si="127"/>
        <v>1</v>
      </c>
      <c r="DC229" s="3">
        <v>0</v>
      </c>
      <c r="DD229" s="3">
        <v>0</v>
      </c>
      <c r="DE229" s="3">
        <v>0</v>
      </c>
      <c r="DF229" s="3">
        <v>0</v>
      </c>
      <c r="DG229" s="3">
        <v>0</v>
      </c>
      <c r="DH229" s="3">
        <v>1</v>
      </c>
      <c r="DI229" s="3">
        <v>0</v>
      </c>
      <c r="DJ229" s="3">
        <v>0</v>
      </c>
      <c r="DK229" s="3">
        <v>0</v>
      </c>
      <c r="DL229" s="3">
        <v>0</v>
      </c>
      <c r="DM229" s="3">
        <v>0</v>
      </c>
      <c r="DN229" s="3">
        <v>0</v>
      </c>
      <c r="DO229" s="4">
        <f t="shared" si="128"/>
        <v>1</v>
      </c>
      <c r="DP229" s="3">
        <v>0</v>
      </c>
      <c r="DQ229" s="3">
        <v>0</v>
      </c>
      <c r="DR229" s="3">
        <v>0</v>
      </c>
      <c r="DS229" s="3">
        <v>0</v>
      </c>
      <c r="DT229" s="3">
        <v>0</v>
      </c>
      <c r="DU229" s="3">
        <v>0</v>
      </c>
      <c r="DV229" s="3">
        <v>0</v>
      </c>
      <c r="DW229" s="3">
        <v>0</v>
      </c>
      <c r="DX229" s="3">
        <v>0</v>
      </c>
      <c r="DY229" s="3">
        <v>0</v>
      </c>
      <c r="DZ229" s="3">
        <v>0</v>
      </c>
      <c r="EA229" s="3">
        <v>0</v>
      </c>
      <c r="EB229" s="4">
        <f t="shared" si="129"/>
        <v>0</v>
      </c>
      <c r="EC229" s="3">
        <v>0</v>
      </c>
      <c r="ED229" s="3">
        <v>0</v>
      </c>
      <c r="EE229" s="3">
        <v>0</v>
      </c>
      <c r="EF229" s="3">
        <v>0</v>
      </c>
      <c r="EG229" s="3">
        <v>0</v>
      </c>
      <c r="EH229" s="3">
        <v>0</v>
      </c>
      <c r="EI229" s="3">
        <v>0</v>
      </c>
      <c r="EJ229" s="3">
        <v>0</v>
      </c>
      <c r="EK229" s="3">
        <v>0</v>
      </c>
      <c r="EL229" s="3">
        <v>0</v>
      </c>
      <c r="EM229" s="3">
        <v>0</v>
      </c>
      <c r="EN229" s="3">
        <v>0</v>
      </c>
      <c r="EO229" s="4">
        <f t="shared" si="130"/>
        <v>0</v>
      </c>
      <c r="EP229" s="8">
        <f t="shared" si="131"/>
        <v>2</v>
      </c>
      <c r="EQ229" s="181">
        <f>IFERROR(VLOOKUP(I229,CEI_012018!$A$1:$U$509,9,FALSE),0)</f>
        <v>0</v>
      </c>
      <c r="ER229" s="181">
        <f>IFERROR(VLOOKUP(I229,CEI_022018!$A$1:$U$509,9,FALSE),0)</f>
        <v>0</v>
      </c>
      <c r="ES229" s="181">
        <f>IFERROR(VLOOKUP(I229,CEI_032018!$A$1:$U$509,9,FALSE),0)</f>
        <v>0</v>
      </c>
      <c r="ET229" s="181">
        <f>IFERROR(VLOOKUP(I229,CEI_042018!$A$1:$U$491,9,FALSE),0)</f>
        <v>0</v>
      </c>
      <c r="EU229" s="181">
        <f>IFERROR(VLOOKUP(I229,CEI_052018!$A$1:$U$489,9,FALSE),0)</f>
        <v>0</v>
      </c>
      <c r="EV229" s="181">
        <f>IFERROR(VLOOKUP(I229,CEI_062018!$A$1:$U$489,9,FALSE),0)</f>
        <v>0</v>
      </c>
      <c r="EW229" s="181">
        <f>IFERROR(VLOOKUP(I229,CEI_072018!$A$1:$U$489,9,FALSE),0)</f>
        <v>0</v>
      </c>
      <c r="EX229" s="181">
        <f>IFERROR(VLOOKUP(I229,CEI_082018!$A$1:$U$489,9,FALSE),0)</f>
        <v>0</v>
      </c>
      <c r="EY229" s="181">
        <f>IFERROR(VLOOKUP(I229,CEI_092018!$A$1:$U$489,9,FALSE),0)</f>
        <v>0</v>
      </c>
      <c r="EZ229" s="181"/>
      <c r="FA229" s="181"/>
      <c r="FB229" s="181"/>
      <c r="FC229" s="181">
        <f>IFERROR(VLOOKUP(I229,CEI_092018!$A$1:$U$489,12,FALSE),0)</f>
        <v>0</v>
      </c>
      <c r="FD229" s="181">
        <f t="shared" si="123"/>
        <v>0</v>
      </c>
      <c r="FE229" s="181">
        <f t="shared" si="124"/>
        <v>0</v>
      </c>
      <c r="FF229"/>
      <c r="FG229"/>
      <c r="FH229"/>
      <c r="FI229"/>
      <c r="FJ229"/>
      <c r="FK229"/>
      <c r="FL229"/>
      <c r="FM229"/>
      <c r="FN229"/>
      <c r="FO229"/>
      <c r="FP229"/>
      <c r="FQ229"/>
      <c r="FR229"/>
      <c r="FS229"/>
      <c r="FT229"/>
      <c r="FU229"/>
      <c r="FV229"/>
      <c r="FW229"/>
      <c r="FX229"/>
      <c r="FY229"/>
      <c r="FZ229"/>
      <c r="GA229"/>
      <c r="GB229"/>
      <c r="GC229"/>
    </row>
    <row r="230" spans="1:185" ht="12.75" customHeight="1" x14ac:dyDescent="0.25">
      <c r="A230" s="202"/>
      <c r="B230" s="22" t="s">
        <v>57</v>
      </c>
      <c r="C230" s="34" t="s">
        <v>44</v>
      </c>
      <c r="D230" s="22" t="s">
        <v>1059</v>
      </c>
      <c r="E230" s="25" t="s">
        <v>1063</v>
      </c>
      <c r="F230" s="25" t="s">
        <v>1059</v>
      </c>
      <c r="G230" s="25" t="s">
        <v>1063</v>
      </c>
      <c r="H230" s="22" t="s">
        <v>56</v>
      </c>
      <c r="I230" s="423" t="s">
        <v>565</v>
      </c>
      <c r="J230" s="37" t="s">
        <v>59</v>
      </c>
      <c r="K230" s="23" t="s">
        <v>1137</v>
      </c>
      <c r="L230" s="23" t="s">
        <v>422</v>
      </c>
      <c r="M230" s="23" t="s">
        <v>798</v>
      </c>
      <c r="N230" s="23" t="s">
        <v>1872</v>
      </c>
      <c r="O230" s="2">
        <v>0</v>
      </c>
      <c r="P230" s="2">
        <v>0</v>
      </c>
      <c r="Q230" s="2">
        <v>0</v>
      </c>
      <c r="R230" s="2">
        <v>0</v>
      </c>
      <c r="S230" s="2">
        <v>0</v>
      </c>
      <c r="T230" s="116">
        <f t="shared" si="116"/>
        <v>0</v>
      </c>
      <c r="U230" s="324">
        <v>0</v>
      </c>
      <c r="V230" s="324">
        <v>0</v>
      </c>
      <c r="W230" s="324">
        <v>0</v>
      </c>
      <c r="X230" s="324">
        <v>0</v>
      </c>
      <c r="Y230" s="324">
        <v>0</v>
      </c>
      <c r="Z230" s="324">
        <v>0</v>
      </c>
      <c r="AA230" s="324">
        <v>0</v>
      </c>
      <c r="AB230" s="324">
        <v>0</v>
      </c>
      <c r="AC230" s="324">
        <v>0</v>
      </c>
      <c r="AD230" s="324">
        <v>0</v>
      </c>
      <c r="AE230" s="324">
        <v>0</v>
      </c>
      <c r="AF230" s="324">
        <v>0</v>
      </c>
      <c r="AG230" s="140">
        <f t="shared" si="117"/>
        <v>0</v>
      </c>
      <c r="AH230" s="324">
        <v>0</v>
      </c>
      <c r="AI230" s="324">
        <v>40</v>
      </c>
      <c r="AJ230" s="324">
        <v>0</v>
      </c>
      <c r="AK230" s="324">
        <v>40</v>
      </c>
      <c r="AL230" s="324">
        <v>20</v>
      </c>
      <c r="AM230" s="324">
        <v>40</v>
      </c>
      <c r="AN230" s="324">
        <v>0</v>
      </c>
      <c r="AO230" s="324">
        <v>20</v>
      </c>
      <c r="AP230" s="324">
        <v>20</v>
      </c>
      <c r="AQ230" s="324">
        <v>40</v>
      </c>
      <c r="AR230" s="324">
        <v>40</v>
      </c>
      <c r="AS230" s="324">
        <v>40</v>
      </c>
      <c r="AT230" s="140">
        <f t="shared" si="118"/>
        <v>300</v>
      </c>
      <c r="AU230" s="324">
        <v>0</v>
      </c>
      <c r="AV230" s="324">
        <v>0</v>
      </c>
      <c r="AW230" s="324">
        <v>0</v>
      </c>
      <c r="AX230" s="324">
        <v>35</v>
      </c>
      <c r="AY230" s="324">
        <v>35</v>
      </c>
      <c r="AZ230" s="324">
        <v>70</v>
      </c>
      <c r="BA230" s="324">
        <v>30</v>
      </c>
      <c r="BB230" s="324">
        <v>30</v>
      </c>
      <c r="BC230" s="324">
        <v>40</v>
      </c>
      <c r="BD230" s="324">
        <v>60</v>
      </c>
      <c r="BE230" s="324">
        <v>60</v>
      </c>
      <c r="BF230" s="324">
        <v>80</v>
      </c>
      <c r="BG230" s="140">
        <f t="shared" si="119"/>
        <v>440</v>
      </c>
      <c r="BH230" s="324">
        <v>35</v>
      </c>
      <c r="BI230" s="324">
        <v>35</v>
      </c>
      <c r="BJ230" s="324">
        <v>35</v>
      </c>
      <c r="BK230" s="324">
        <v>35</v>
      </c>
      <c r="BL230" s="324">
        <v>20</v>
      </c>
      <c r="BM230" s="324">
        <v>30</v>
      </c>
      <c r="BN230" s="324">
        <v>30</v>
      </c>
      <c r="BO230" s="324">
        <v>30</v>
      </c>
      <c r="BP230" s="324">
        <v>40</v>
      </c>
      <c r="BQ230" s="324">
        <v>50</v>
      </c>
      <c r="BR230" s="324">
        <v>50</v>
      </c>
      <c r="BS230" s="324">
        <v>50</v>
      </c>
      <c r="BT230" s="140">
        <f t="shared" si="120"/>
        <v>440</v>
      </c>
      <c r="BU230" s="114">
        <f t="shared" si="121"/>
        <v>1180</v>
      </c>
      <c r="BV230" s="432"/>
      <c r="BW230" s="432"/>
      <c r="BX230" s="432"/>
      <c r="BY230" s="432"/>
      <c r="BZ230" s="433"/>
      <c r="CA230" s="434"/>
      <c r="CB230" s="7" t="s">
        <v>1700</v>
      </c>
      <c r="CC230" s="3">
        <v>0</v>
      </c>
      <c r="CD230" s="3">
        <v>0</v>
      </c>
      <c r="CE230" s="3">
        <v>0</v>
      </c>
      <c r="CF230" s="3">
        <v>0</v>
      </c>
      <c r="CG230" s="3">
        <v>0</v>
      </c>
      <c r="CH230" s="3">
        <v>0</v>
      </c>
      <c r="CI230" s="3">
        <v>0</v>
      </c>
      <c r="CJ230" s="3">
        <v>0</v>
      </c>
      <c r="CK230" s="3">
        <v>0</v>
      </c>
      <c r="CL230" s="3">
        <v>0</v>
      </c>
      <c r="CM230" s="3">
        <v>0</v>
      </c>
      <c r="CN230" s="3">
        <v>0</v>
      </c>
      <c r="CO230" s="4">
        <f t="shared" si="126"/>
        <v>0</v>
      </c>
      <c r="CP230" s="3">
        <v>0</v>
      </c>
      <c r="CQ230" s="3">
        <v>0</v>
      </c>
      <c r="CR230" s="3">
        <v>0</v>
      </c>
      <c r="CS230" s="3">
        <v>0</v>
      </c>
      <c r="CT230" s="3">
        <v>0</v>
      </c>
      <c r="CU230" s="3">
        <v>0</v>
      </c>
      <c r="CV230" s="3">
        <v>0</v>
      </c>
      <c r="CW230" s="3">
        <v>0</v>
      </c>
      <c r="CX230" s="3">
        <v>0</v>
      </c>
      <c r="CY230" s="3">
        <v>0</v>
      </c>
      <c r="CZ230" s="3">
        <v>0</v>
      </c>
      <c r="DA230" s="3">
        <v>0</v>
      </c>
      <c r="DB230" s="4">
        <f t="shared" si="127"/>
        <v>0</v>
      </c>
      <c r="DC230" s="3">
        <v>0</v>
      </c>
      <c r="DD230" s="3">
        <v>80</v>
      </c>
      <c r="DE230" s="3">
        <v>0</v>
      </c>
      <c r="DF230" s="3">
        <v>80</v>
      </c>
      <c r="DG230" s="3">
        <v>40</v>
      </c>
      <c r="DH230" s="3">
        <v>80</v>
      </c>
      <c r="DI230" s="3">
        <v>0</v>
      </c>
      <c r="DJ230" s="3">
        <v>40</v>
      </c>
      <c r="DK230" s="3">
        <v>40</v>
      </c>
      <c r="DL230" s="3">
        <v>80</v>
      </c>
      <c r="DM230" s="3">
        <v>80</v>
      </c>
      <c r="DN230" s="3">
        <v>80</v>
      </c>
      <c r="DO230" s="4">
        <f t="shared" si="128"/>
        <v>600</v>
      </c>
      <c r="DP230" s="3">
        <v>0</v>
      </c>
      <c r="DQ230" s="3">
        <v>0</v>
      </c>
      <c r="DR230" s="3">
        <v>0</v>
      </c>
      <c r="DS230" s="3">
        <v>0</v>
      </c>
      <c r="DT230" s="3">
        <v>0</v>
      </c>
      <c r="DU230" s="3">
        <v>0</v>
      </c>
      <c r="DV230" s="3">
        <v>60</v>
      </c>
      <c r="DW230" s="3">
        <v>60</v>
      </c>
      <c r="DX230" s="3">
        <v>80</v>
      </c>
      <c r="DY230" s="3">
        <v>120</v>
      </c>
      <c r="DZ230" s="3">
        <v>120</v>
      </c>
      <c r="EA230" s="3">
        <v>160</v>
      </c>
      <c r="EB230" s="4">
        <f t="shared" si="129"/>
        <v>600</v>
      </c>
      <c r="EC230" s="3">
        <v>0</v>
      </c>
      <c r="ED230" s="3">
        <v>0</v>
      </c>
      <c r="EE230" s="3">
        <v>0</v>
      </c>
      <c r="EF230" s="3">
        <v>0</v>
      </c>
      <c r="EG230" s="3">
        <v>40</v>
      </c>
      <c r="EH230" s="3">
        <v>60</v>
      </c>
      <c r="EI230" s="3">
        <v>60</v>
      </c>
      <c r="EJ230" s="3">
        <v>60</v>
      </c>
      <c r="EK230" s="3">
        <v>80</v>
      </c>
      <c r="EL230" s="3">
        <v>100</v>
      </c>
      <c r="EM230" s="3">
        <v>100</v>
      </c>
      <c r="EN230" s="3">
        <v>100</v>
      </c>
      <c r="EO230" s="4">
        <f t="shared" si="130"/>
        <v>600</v>
      </c>
      <c r="EP230" s="8">
        <f t="shared" si="131"/>
        <v>1800</v>
      </c>
      <c r="EQ230" s="181">
        <f>IFERROR(VLOOKUP(I230,CEI_012018!$A$1:$U$509,9,FALSE),0)</f>
        <v>0</v>
      </c>
      <c r="ER230" s="181">
        <f>IFERROR(VLOOKUP(I230,CEI_022018!$A$1:$U$509,9,FALSE),0)</f>
        <v>0</v>
      </c>
      <c r="ES230" s="181">
        <f>IFERROR(VLOOKUP(I230,CEI_032018!$A$1:$U$509,9,FALSE),0)</f>
        <v>0</v>
      </c>
      <c r="ET230" s="181">
        <f>IFERROR(VLOOKUP(I230,CEI_042018!$A$1:$U$491,9,FALSE),0)</f>
        <v>0</v>
      </c>
      <c r="EU230" s="181">
        <f>IFERROR(VLOOKUP(I230,CEI_052018!$A$1:$U$489,9,FALSE),0)</f>
        <v>0</v>
      </c>
      <c r="EV230" s="181">
        <f>IFERROR(VLOOKUP(I230,CEI_062018!$A$1:$U$489,9,FALSE),0)</f>
        <v>0</v>
      </c>
      <c r="EW230" s="181">
        <f>IFERROR(VLOOKUP(I230,CEI_072018!$A$1:$U$489,9,FALSE),0)</f>
        <v>0</v>
      </c>
      <c r="EX230" s="181">
        <f>IFERROR(VLOOKUP(I230,CEI_082018!$A$1:$U$489,9,FALSE),0)</f>
        <v>0</v>
      </c>
      <c r="EY230" s="181">
        <f>IFERROR(VLOOKUP(I230,CEI_092018!$A$1:$U$489,9,FALSE),0)</f>
        <v>0</v>
      </c>
      <c r="EZ230" s="181"/>
      <c r="FA230" s="181"/>
      <c r="FB230" s="181"/>
      <c r="FC230" s="181">
        <f>IFERROR(VLOOKUP(I230,CEI_092018!$A$1:$U$489,12,FALSE),0)</f>
        <v>0</v>
      </c>
      <c r="FD230" s="181">
        <f t="shared" si="123"/>
        <v>0</v>
      </c>
      <c r="FE230" s="181">
        <f t="shared" si="124"/>
        <v>0</v>
      </c>
      <c r="FF230"/>
      <c r="FG230"/>
      <c r="FH230"/>
      <c r="FI230"/>
      <c r="FJ230"/>
      <c r="FK230"/>
      <c r="FL230"/>
      <c r="FM230"/>
      <c r="FN230"/>
      <c r="FO230"/>
      <c r="FP230"/>
      <c r="FQ230"/>
      <c r="FR230"/>
      <c r="FS230"/>
      <c r="FT230"/>
      <c r="FU230"/>
      <c r="FV230"/>
      <c r="FW230"/>
      <c r="FX230"/>
      <c r="FY230"/>
      <c r="FZ230"/>
      <c r="GA230"/>
      <c r="GB230"/>
      <c r="GC230"/>
    </row>
    <row r="231" spans="1:185" ht="12.75" customHeight="1" x14ac:dyDescent="0.25">
      <c r="A231" s="202"/>
      <c r="B231" s="22" t="s">
        <v>57</v>
      </c>
      <c r="C231" s="34" t="s">
        <v>44</v>
      </c>
      <c r="D231" s="22" t="s">
        <v>1059</v>
      </c>
      <c r="E231" s="25" t="s">
        <v>1063</v>
      </c>
      <c r="F231" s="25" t="s">
        <v>1059</v>
      </c>
      <c r="G231" s="25" t="s">
        <v>1063</v>
      </c>
      <c r="H231" s="22" t="s">
        <v>56</v>
      </c>
      <c r="I231" s="423" t="s">
        <v>565</v>
      </c>
      <c r="J231" s="37" t="s">
        <v>59</v>
      </c>
      <c r="K231" s="23" t="s">
        <v>326</v>
      </c>
      <c r="L231" s="23" t="s">
        <v>327</v>
      </c>
      <c r="M231" s="23" t="s">
        <v>328</v>
      </c>
      <c r="N231" s="23" t="s">
        <v>1864</v>
      </c>
      <c r="O231" s="2">
        <v>0</v>
      </c>
      <c r="P231" s="2">
        <v>0</v>
      </c>
      <c r="Q231" s="2">
        <v>0</v>
      </c>
      <c r="R231" s="2">
        <v>0</v>
      </c>
      <c r="S231" s="2">
        <v>0</v>
      </c>
      <c r="T231" s="116">
        <f t="shared" si="116"/>
        <v>0</v>
      </c>
      <c r="U231" s="324">
        <v>0</v>
      </c>
      <c r="V231" s="324">
        <v>0</v>
      </c>
      <c r="W231" s="324">
        <v>0</v>
      </c>
      <c r="X231" s="324">
        <v>0</v>
      </c>
      <c r="Y231" s="324">
        <v>0</v>
      </c>
      <c r="Z231" s="324">
        <v>0</v>
      </c>
      <c r="AA231" s="324">
        <v>0</v>
      </c>
      <c r="AB231" s="324">
        <v>0</v>
      </c>
      <c r="AC231" s="324">
        <v>0</v>
      </c>
      <c r="AD231" s="324">
        <v>0</v>
      </c>
      <c r="AE231" s="324">
        <v>0</v>
      </c>
      <c r="AF231" s="324">
        <v>35</v>
      </c>
      <c r="AG231" s="140">
        <f t="shared" si="117"/>
        <v>35</v>
      </c>
      <c r="AH231" s="324">
        <v>0</v>
      </c>
      <c r="AI231" s="324">
        <v>0</v>
      </c>
      <c r="AJ231" s="324">
        <v>0</v>
      </c>
      <c r="AK231" s="324">
        <v>30</v>
      </c>
      <c r="AL231" s="324">
        <v>20</v>
      </c>
      <c r="AM231" s="324">
        <v>20</v>
      </c>
      <c r="AN231" s="324">
        <v>20</v>
      </c>
      <c r="AO231" s="324">
        <v>20</v>
      </c>
      <c r="AP231" s="324">
        <v>20</v>
      </c>
      <c r="AQ231" s="324">
        <v>20</v>
      </c>
      <c r="AR231" s="324">
        <v>20</v>
      </c>
      <c r="AS231" s="324">
        <v>30</v>
      </c>
      <c r="AT231" s="140">
        <f t="shared" si="118"/>
        <v>200</v>
      </c>
      <c r="AU231" s="324">
        <v>20</v>
      </c>
      <c r="AV231" s="324">
        <v>20</v>
      </c>
      <c r="AW231" s="324">
        <v>20</v>
      </c>
      <c r="AX231" s="324">
        <v>20</v>
      </c>
      <c r="AY231" s="324">
        <v>20</v>
      </c>
      <c r="AZ231" s="324">
        <v>20</v>
      </c>
      <c r="BA231" s="324">
        <v>20</v>
      </c>
      <c r="BB231" s="324">
        <v>20</v>
      </c>
      <c r="BC231" s="324">
        <v>20</v>
      </c>
      <c r="BD231" s="324">
        <v>20</v>
      </c>
      <c r="BE231" s="324">
        <v>20</v>
      </c>
      <c r="BF231" s="324">
        <v>180</v>
      </c>
      <c r="BG231" s="140">
        <f t="shared" si="119"/>
        <v>400</v>
      </c>
      <c r="BH231" s="324">
        <v>20</v>
      </c>
      <c r="BI231" s="324">
        <v>20</v>
      </c>
      <c r="BJ231" s="324">
        <v>20</v>
      </c>
      <c r="BK231" s="324">
        <v>20</v>
      </c>
      <c r="BL231" s="324">
        <v>20</v>
      </c>
      <c r="BM231" s="324">
        <v>20</v>
      </c>
      <c r="BN231" s="324">
        <v>20</v>
      </c>
      <c r="BO231" s="324">
        <v>20</v>
      </c>
      <c r="BP231" s="324">
        <v>20</v>
      </c>
      <c r="BQ231" s="324">
        <v>20</v>
      </c>
      <c r="BR231" s="324">
        <v>70</v>
      </c>
      <c r="BS231" s="324">
        <v>180</v>
      </c>
      <c r="BT231" s="140">
        <f t="shared" si="120"/>
        <v>450</v>
      </c>
      <c r="BU231" s="114">
        <f t="shared" si="121"/>
        <v>1085</v>
      </c>
      <c r="BV231" s="432"/>
      <c r="BW231" s="432"/>
      <c r="BX231" s="432"/>
      <c r="BY231" s="432"/>
      <c r="BZ231" s="433"/>
      <c r="CA231" s="434"/>
      <c r="CB231" s="7" t="s">
        <v>1700</v>
      </c>
      <c r="CC231" s="3">
        <v>0</v>
      </c>
      <c r="CD231" s="3">
        <v>0</v>
      </c>
      <c r="CE231" s="3">
        <v>0</v>
      </c>
      <c r="CF231" s="3">
        <v>0</v>
      </c>
      <c r="CG231" s="3">
        <v>0</v>
      </c>
      <c r="CH231" s="3">
        <v>0</v>
      </c>
      <c r="CI231" s="3">
        <v>0</v>
      </c>
      <c r="CJ231" s="3">
        <v>0</v>
      </c>
      <c r="CK231" s="3">
        <v>0</v>
      </c>
      <c r="CL231" s="3">
        <v>0</v>
      </c>
      <c r="CM231" s="3">
        <v>0</v>
      </c>
      <c r="CN231" s="3">
        <v>0</v>
      </c>
      <c r="CO231" s="4">
        <f t="shared" si="126"/>
        <v>0</v>
      </c>
      <c r="CP231" s="3">
        <v>0</v>
      </c>
      <c r="CQ231" s="3">
        <v>0</v>
      </c>
      <c r="CR231" s="3">
        <v>0</v>
      </c>
      <c r="CS231" s="3">
        <v>0</v>
      </c>
      <c r="CT231" s="3">
        <v>0</v>
      </c>
      <c r="CU231" s="3">
        <v>0</v>
      </c>
      <c r="CV231" s="3">
        <v>0</v>
      </c>
      <c r="CW231" s="3">
        <v>0</v>
      </c>
      <c r="CX231" s="3">
        <v>0</v>
      </c>
      <c r="CY231" s="3">
        <v>0</v>
      </c>
      <c r="CZ231" s="3">
        <v>0</v>
      </c>
      <c r="DA231" s="3">
        <v>70</v>
      </c>
      <c r="DB231" s="4">
        <f t="shared" si="127"/>
        <v>70</v>
      </c>
      <c r="DC231" s="3">
        <v>0</v>
      </c>
      <c r="DD231" s="3">
        <v>0</v>
      </c>
      <c r="DE231" s="3">
        <v>0</v>
      </c>
      <c r="DF231" s="3">
        <v>60</v>
      </c>
      <c r="DG231" s="3">
        <v>40</v>
      </c>
      <c r="DH231" s="3">
        <v>40</v>
      </c>
      <c r="DI231" s="3">
        <v>40</v>
      </c>
      <c r="DJ231" s="3">
        <v>40</v>
      </c>
      <c r="DK231" s="3">
        <v>40</v>
      </c>
      <c r="DL231" s="3">
        <v>40</v>
      </c>
      <c r="DM231" s="3">
        <v>40</v>
      </c>
      <c r="DN231" s="3">
        <v>60</v>
      </c>
      <c r="DO231" s="4">
        <f t="shared" si="128"/>
        <v>400</v>
      </c>
      <c r="DP231" s="3">
        <v>40</v>
      </c>
      <c r="DQ231" s="3">
        <v>40</v>
      </c>
      <c r="DR231" s="3">
        <v>40</v>
      </c>
      <c r="DS231" s="3">
        <v>40</v>
      </c>
      <c r="DT231" s="3">
        <v>40</v>
      </c>
      <c r="DU231" s="3">
        <v>40</v>
      </c>
      <c r="DV231" s="3">
        <v>40</v>
      </c>
      <c r="DW231" s="3">
        <v>40</v>
      </c>
      <c r="DX231" s="3">
        <v>40</v>
      </c>
      <c r="DY231" s="3">
        <v>40</v>
      </c>
      <c r="DZ231" s="3">
        <v>40</v>
      </c>
      <c r="EA231" s="3">
        <v>360</v>
      </c>
      <c r="EB231" s="4">
        <f t="shared" si="129"/>
        <v>800</v>
      </c>
      <c r="EC231" s="3">
        <v>40</v>
      </c>
      <c r="ED231" s="3">
        <v>40</v>
      </c>
      <c r="EE231" s="3">
        <v>40</v>
      </c>
      <c r="EF231" s="3">
        <v>40</v>
      </c>
      <c r="EG231" s="3">
        <v>40</v>
      </c>
      <c r="EH231" s="3">
        <v>40</v>
      </c>
      <c r="EI231" s="3">
        <v>40</v>
      </c>
      <c r="EJ231" s="3">
        <v>40</v>
      </c>
      <c r="EK231" s="3">
        <v>40</v>
      </c>
      <c r="EL231" s="3">
        <v>40</v>
      </c>
      <c r="EM231" s="3">
        <v>140</v>
      </c>
      <c r="EN231" s="3">
        <v>360</v>
      </c>
      <c r="EO231" s="4">
        <f t="shared" si="130"/>
        <v>900</v>
      </c>
      <c r="EP231" s="8">
        <f t="shared" si="131"/>
        <v>2170</v>
      </c>
      <c r="EQ231" s="181">
        <f>IFERROR(VLOOKUP(I231,CEI_012018!$A$1:$U$509,9,FALSE),0)</f>
        <v>0</v>
      </c>
      <c r="ER231" s="181">
        <f>IFERROR(VLOOKUP(I231,CEI_022018!$A$1:$U$509,9,FALSE),0)</f>
        <v>0</v>
      </c>
      <c r="ES231" s="181">
        <f>IFERROR(VLOOKUP(I231,CEI_032018!$A$1:$U$509,9,FALSE),0)</f>
        <v>0</v>
      </c>
      <c r="ET231" s="181">
        <f>IFERROR(VLOOKUP(I231,CEI_042018!$A$1:$U$491,9,FALSE),0)</f>
        <v>0</v>
      </c>
      <c r="EU231" s="181">
        <f>IFERROR(VLOOKUP(I231,CEI_052018!$A$1:$U$489,9,FALSE),0)</f>
        <v>0</v>
      </c>
      <c r="EV231" s="181">
        <f>IFERROR(VLOOKUP(I231,CEI_062018!$A$1:$U$489,9,FALSE),0)</f>
        <v>0</v>
      </c>
      <c r="EW231" s="181">
        <f>IFERROR(VLOOKUP(I231,CEI_072018!$A$1:$U$489,9,FALSE),0)</f>
        <v>0</v>
      </c>
      <c r="EX231" s="181">
        <f>IFERROR(VLOOKUP(I231,CEI_082018!$A$1:$U$489,9,FALSE),0)</f>
        <v>0</v>
      </c>
      <c r="EY231" s="181">
        <f>IFERROR(VLOOKUP(I231,CEI_092018!$A$1:$U$489,9,FALSE),0)</f>
        <v>0</v>
      </c>
      <c r="EZ231" s="181"/>
      <c r="FA231" s="181"/>
      <c r="FB231" s="181"/>
      <c r="FC231" s="181">
        <f>IFERROR(VLOOKUP(I231,CEI_092018!$A$1:$U$489,12,FALSE),0)</f>
        <v>0</v>
      </c>
      <c r="FD231" s="181">
        <f t="shared" si="123"/>
        <v>0</v>
      </c>
      <c r="FE231" s="181">
        <f t="shared" si="124"/>
        <v>0</v>
      </c>
      <c r="FF231"/>
      <c r="FG231"/>
      <c r="FH231"/>
      <c r="FI231"/>
      <c r="FJ231"/>
      <c r="FK231"/>
      <c r="FL231"/>
      <c r="FM231"/>
      <c r="FN231"/>
      <c r="FO231"/>
      <c r="FP231"/>
      <c r="FQ231"/>
      <c r="FR231"/>
      <c r="FS231"/>
      <c r="FT231"/>
      <c r="FU231"/>
      <c r="FV231"/>
      <c r="FW231"/>
      <c r="FX231"/>
      <c r="FY231"/>
      <c r="FZ231"/>
      <c r="GA231"/>
      <c r="GB231"/>
      <c r="GC231"/>
    </row>
    <row r="232" spans="1:185" ht="12.75" customHeight="1" x14ac:dyDescent="0.25">
      <c r="A232" s="202"/>
      <c r="B232" s="22" t="s">
        <v>57</v>
      </c>
      <c r="C232" s="34" t="s">
        <v>44</v>
      </c>
      <c r="D232" s="22" t="s">
        <v>1059</v>
      </c>
      <c r="E232" s="25" t="s">
        <v>1065</v>
      </c>
      <c r="F232" s="25" t="s">
        <v>1059</v>
      </c>
      <c r="G232" s="25" t="s">
        <v>1065</v>
      </c>
      <c r="H232" s="22" t="s">
        <v>56</v>
      </c>
      <c r="I232" s="423" t="s">
        <v>2018</v>
      </c>
      <c r="J232" s="37" t="s">
        <v>59</v>
      </c>
      <c r="K232" s="23" t="s">
        <v>819</v>
      </c>
      <c r="L232" s="23" t="s">
        <v>820</v>
      </c>
      <c r="M232" s="23" t="s">
        <v>818</v>
      </c>
      <c r="N232" s="23" t="s">
        <v>59</v>
      </c>
      <c r="O232" s="2">
        <v>0</v>
      </c>
      <c r="P232" s="2">
        <v>0</v>
      </c>
      <c r="Q232" s="2">
        <v>0</v>
      </c>
      <c r="R232" s="2">
        <v>0</v>
      </c>
      <c r="S232" s="2">
        <v>0</v>
      </c>
      <c r="T232" s="116">
        <f t="shared" si="116"/>
        <v>0</v>
      </c>
      <c r="U232" s="324">
        <v>0</v>
      </c>
      <c r="V232" s="324">
        <v>0</v>
      </c>
      <c r="W232" s="324">
        <v>0</v>
      </c>
      <c r="X232" s="324">
        <v>0</v>
      </c>
      <c r="Y232" s="324">
        <v>0</v>
      </c>
      <c r="Z232" s="324">
        <v>525</v>
      </c>
      <c r="AA232" s="324">
        <v>0</v>
      </c>
      <c r="AB232" s="324">
        <v>0</v>
      </c>
      <c r="AC232" s="324">
        <v>0</v>
      </c>
      <c r="AD232" s="324">
        <v>0</v>
      </c>
      <c r="AE232" s="324">
        <v>0</v>
      </c>
      <c r="AF232" s="324">
        <v>0</v>
      </c>
      <c r="AG232" s="140">
        <f t="shared" si="117"/>
        <v>525</v>
      </c>
      <c r="AH232" s="324">
        <v>0</v>
      </c>
      <c r="AI232" s="324">
        <v>525</v>
      </c>
      <c r="AJ232" s="324">
        <v>0</v>
      </c>
      <c r="AK232" s="324">
        <v>0</v>
      </c>
      <c r="AL232" s="324">
        <v>0</v>
      </c>
      <c r="AM232" s="324">
        <v>0</v>
      </c>
      <c r="AN232" s="324">
        <v>0</v>
      </c>
      <c r="AO232" s="324">
        <v>0</v>
      </c>
      <c r="AP232" s="324">
        <v>0</v>
      </c>
      <c r="AQ232" s="324">
        <v>0</v>
      </c>
      <c r="AR232" s="324">
        <v>0</v>
      </c>
      <c r="AS232" s="324">
        <v>0</v>
      </c>
      <c r="AT232" s="140">
        <f t="shared" si="118"/>
        <v>525</v>
      </c>
      <c r="AU232" s="324">
        <v>0</v>
      </c>
      <c r="AV232" s="324">
        <v>0</v>
      </c>
      <c r="AW232" s="324">
        <v>0</v>
      </c>
      <c r="AX232" s="324">
        <v>0</v>
      </c>
      <c r="AY232" s="324">
        <v>0</v>
      </c>
      <c r="AZ232" s="324">
        <v>0</v>
      </c>
      <c r="BA232" s="324">
        <v>0</v>
      </c>
      <c r="BB232" s="324">
        <v>0</v>
      </c>
      <c r="BC232" s="324">
        <v>0</v>
      </c>
      <c r="BD232" s="324">
        <v>0</v>
      </c>
      <c r="BE232" s="324">
        <v>0</v>
      </c>
      <c r="BF232" s="324">
        <v>0</v>
      </c>
      <c r="BG232" s="140">
        <f t="shared" si="119"/>
        <v>0</v>
      </c>
      <c r="BH232" s="324">
        <v>0</v>
      </c>
      <c r="BI232" s="324">
        <v>0</v>
      </c>
      <c r="BJ232" s="324">
        <v>0</v>
      </c>
      <c r="BK232" s="324">
        <v>0</v>
      </c>
      <c r="BL232" s="324">
        <v>0</v>
      </c>
      <c r="BM232" s="324">
        <v>0</v>
      </c>
      <c r="BN232" s="324">
        <v>0</v>
      </c>
      <c r="BO232" s="324">
        <v>0</v>
      </c>
      <c r="BP232" s="324">
        <v>0</v>
      </c>
      <c r="BQ232" s="324">
        <v>0</v>
      </c>
      <c r="BR232" s="324">
        <v>0</v>
      </c>
      <c r="BS232" s="324">
        <v>0</v>
      </c>
      <c r="BT232" s="140">
        <f t="shared" si="120"/>
        <v>0</v>
      </c>
      <c r="BU232" s="114">
        <f t="shared" si="121"/>
        <v>1050</v>
      </c>
      <c r="BV232" s="432"/>
      <c r="BW232" s="432"/>
      <c r="BX232" s="432"/>
      <c r="BY232" s="432"/>
      <c r="BZ232" s="433"/>
      <c r="CA232" s="434"/>
      <c r="CB232" s="7" t="s">
        <v>1681</v>
      </c>
      <c r="CC232" s="3">
        <v>0</v>
      </c>
      <c r="CD232" s="3">
        <v>0</v>
      </c>
      <c r="CE232" s="3">
        <v>0</v>
      </c>
      <c r="CF232" s="3">
        <v>0</v>
      </c>
      <c r="CG232" s="3">
        <v>0</v>
      </c>
      <c r="CH232" s="3">
        <v>0</v>
      </c>
      <c r="CI232" s="3">
        <v>0</v>
      </c>
      <c r="CJ232" s="3">
        <v>0</v>
      </c>
      <c r="CK232" s="3">
        <v>0</v>
      </c>
      <c r="CL232" s="3">
        <v>0</v>
      </c>
      <c r="CM232" s="3">
        <v>0</v>
      </c>
      <c r="CN232" s="3">
        <v>0</v>
      </c>
      <c r="CO232" s="4">
        <f t="shared" si="126"/>
        <v>0</v>
      </c>
      <c r="CP232" s="3">
        <v>0</v>
      </c>
      <c r="CQ232" s="3">
        <v>0</v>
      </c>
      <c r="CR232" s="3">
        <v>0</v>
      </c>
      <c r="CS232" s="3">
        <v>0</v>
      </c>
      <c r="CT232" s="3">
        <v>0</v>
      </c>
      <c r="CU232" s="3">
        <v>150</v>
      </c>
      <c r="CV232" s="3">
        <v>0</v>
      </c>
      <c r="CW232" s="3">
        <v>0</v>
      </c>
      <c r="CX232" s="3">
        <v>0</v>
      </c>
      <c r="CY232" s="3">
        <v>0</v>
      </c>
      <c r="CZ232" s="3">
        <v>0</v>
      </c>
      <c r="DA232" s="3">
        <v>0</v>
      </c>
      <c r="DB232" s="4">
        <f t="shared" si="127"/>
        <v>150</v>
      </c>
      <c r="DC232" s="3">
        <v>0</v>
      </c>
      <c r="DD232" s="3">
        <v>150</v>
      </c>
      <c r="DE232" s="3">
        <v>0</v>
      </c>
      <c r="DF232" s="3">
        <v>0</v>
      </c>
      <c r="DG232" s="3">
        <v>0</v>
      </c>
      <c r="DH232" s="3">
        <v>0</v>
      </c>
      <c r="DI232" s="3">
        <v>0</v>
      </c>
      <c r="DJ232" s="3">
        <v>0</v>
      </c>
      <c r="DK232" s="3">
        <v>0</v>
      </c>
      <c r="DL232" s="3">
        <v>0</v>
      </c>
      <c r="DM232" s="3">
        <v>0</v>
      </c>
      <c r="DN232" s="3">
        <v>0</v>
      </c>
      <c r="DO232" s="4">
        <f t="shared" si="128"/>
        <v>150</v>
      </c>
      <c r="DP232" s="3">
        <v>0</v>
      </c>
      <c r="DQ232" s="3">
        <v>0</v>
      </c>
      <c r="DR232" s="3">
        <v>0</v>
      </c>
      <c r="DS232" s="3">
        <v>0</v>
      </c>
      <c r="DT232" s="3">
        <v>0</v>
      </c>
      <c r="DU232" s="3">
        <v>0</v>
      </c>
      <c r="DV232" s="3">
        <v>0</v>
      </c>
      <c r="DW232" s="3">
        <v>0</v>
      </c>
      <c r="DX232" s="3">
        <v>0</v>
      </c>
      <c r="DY232" s="3">
        <v>0</v>
      </c>
      <c r="DZ232" s="3">
        <v>0</v>
      </c>
      <c r="EA232" s="3">
        <v>0</v>
      </c>
      <c r="EB232" s="4">
        <f t="shared" si="129"/>
        <v>0</v>
      </c>
      <c r="EC232" s="3">
        <v>0</v>
      </c>
      <c r="ED232" s="3">
        <v>0</v>
      </c>
      <c r="EE232" s="3">
        <v>0</v>
      </c>
      <c r="EF232" s="3">
        <v>0</v>
      </c>
      <c r="EG232" s="3">
        <v>0</v>
      </c>
      <c r="EH232" s="3">
        <v>0</v>
      </c>
      <c r="EI232" s="3">
        <v>0</v>
      </c>
      <c r="EJ232" s="3">
        <v>0</v>
      </c>
      <c r="EK232" s="3">
        <v>0</v>
      </c>
      <c r="EL232" s="3">
        <v>0</v>
      </c>
      <c r="EM232" s="3">
        <v>0</v>
      </c>
      <c r="EN232" s="3">
        <v>0</v>
      </c>
      <c r="EO232" s="4">
        <f t="shared" si="130"/>
        <v>0</v>
      </c>
      <c r="EP232" s="8">
        <f t="shared" si="131"/>
        <v>300</v>
      </c>
      <c r="EQ232" s="181">
        <f>IFERROR(VLOOKUP(I232,CEI_012018!$A$1:$U$509,9,FALSE),0)</f>
        <v>0</v>
      </c>
      <c r="ER232" s="181">
        <f>IFERROR(VLOOKUP(I232,CEI_022018!$A$1:$U$509,9,FALSE),0)</f>
        <v>0</v>
      </c>
      <c r="ES232" s="181">
        <f>IFERROR(VLOOKUP(I232,CEI_032018!$A$1:$U$509,9,FALSE),0)</f>
        <v>0</v>
      </c>
      <c r="ET232" s="181">
        <f>IFERROR(VLOOKUP(I232,CEI_042018!$A$1:$U$491,9,FALSE),0)</f>
        <v>0</v>
      </c>
      <c r="EU232" s="181">
        <f>IFERROR(VLOOKUP(I232,CEI_052018!$A$1:$U$489,9,FALSE),0)</f>
        <v>0</v>
      </c>
      <c r="EV232" s="181">
        <f>IFERROR(VLOOKUP(I232,CEI_062018!$A$1:$U$489,9,FALSE),0)</f>
        <v>0</v>
      </c>
      <c r="EW232" s="181">
        <f>IFERROR(VLOOKUP(I232,CEI_072018!$A$1:$U$489,9,FALSE),0)</f>
        <v>0</v>
      </c>
      <c r="EX232" s="181">
        <f>IFERROR(VLOOKUP(I232,CEI_082018!$A$1:$U$489,9,FALSE),0)</f>
        <v>0</v>
      </c>
      <c r="EY232" s="181">
        <f>IFERROR(VLOOKUP(I232,CEI_092018!$A$1:$U$489,9,FALSE),0)</f>
        <v>0</v>
      </c>
      <c r="EZ232" s="181"/>
      <c r="FA232" s="181"/>
      <c r="FB232" s="181"/>
      <c r="FC232" s="181">
        <f>IFERROR(VLOOKUP(I232,CEI_092018!$A$1:$U$489,12,FALSE),0)</f>
        <v>200.10000610351562</v>
      </c>
      <c r="FD232" s="181">
        <f t="shared" si="123"/>
        <v>200.10000610351562</v>
      </c>
      <c r="FE232" s="181">
        <f t="shared" si="124"/>
        <v>-200.10000610351562</v>
      </c>
      <c r="FF232"/>
      <c r="FG232"/>
      <c r="FH232"/>
      <c r="FI232"/>
      <c r="FJ232"/>
      <c r="FK232"/>
      <c r="FL232"/>
      <c r="FM232"/>
      <c r="FN232"/>
      <c r="FO232"/>
      <c r="FP232"/>
      <c r="FQ232"/>
      <c r="FR232"/>
      <c r="FS232"/>
      <c r="FT232"/>
      <c r="FU232"/>
      <c r="FV232"/>
      <c r="FW232"/>
      <c r="FX232"/>
      <c r="FY232"/>
      <c r="FZ232"/>
      <c r="GA232"/>
      <c r="GB232"/>
      <c r="GC232"/>
    </row>
    <row r="233" spans="1:185" ht="12.75" customHeight="1" x14ac:dyDescent="0.25">
      <c r="A233" s="202"/>
      <c r="B233" s="22" t="s">
        <v>57</v>
      </c>
      <c r="C233" s="34" t="s">
        <v>44</v>
      </c>
      <c r="D233" s="22" t="s">
        <v>1058</v>
      </c>
      <c r="E233" s="25" t="s">
        <v>1062</v>
      </c>
      <c r="F233" s="25" t="s">
        <v>1058</v>
      </c>
      <c r="G233" s="25" t="s">
        <v>1062</v>
      </c>
      <c r="H233" s="22" t="s">
        <v>56</v>
      </c>
      <c r="I233" s="423" t="s">
        <v>565</v>
      </c>
      <c r="J233" s="37" t="s">
        <v>59</v>
      </c>
      <c r="K233" s="23" t="s">
        <v>353</v>
      </c>
      <c r="L233" s="23" t="s">
        <v>354</v>
      </c>
      <c r="M233" s="23" t="s">
        <v>355</v>
      </c>
      <c r="N233" s="23" t="s">
        <v>59</v>
      </c>
      <c r="O233" s="2">
        <v>0</v>
      </c>
      <c r="P233" s="2">
        <v>0</v>
      </c>
      <c r="Q233" s="2">
        <v>0</v>
      </c>
      <c r="R233" s="2">
        <v>0</v>
      </c>
      <c r="S233" s="2">
        <v>0</v>
      </c>
      <c r="T233" s="116">
        <f t="shared" si="116"/>
        <v>0</v>
      </c>
      <c r="U233" s="324">
        <v>0</v>
      </c>
      <c r="V233" s="324">
        <v>0</v>
      </c>
      <c r="W233" s="324">
        <v>0</v>
      </c>
      <c r="X233" s="324">
        <v>0</v>
      </c>
      <c r="Y233" s="324">
        <v>0</v>
      </c>
      <c r="Z233" s="324">
        <v>0</v>
      </c>
      <c r="AA233" s="324">
        <v>0</v>
      </c>
      <c r="AB233" s="324">
        <v>500</v>
      </c>
      <c r="AC233" s="324">
        <v>0</v>
      </c>
      <c r="AD233" s="324">
        <v>0</v>
      </c>
      <c r="AE233" s="324">
        <v>0</v>
      </c>
      <c r="AF233" s="324">
        <v>0</v>
      </c>
      <c r="AG233" s="140">
        <f t="shared" si="117"/>
        <v>500</v>
      </c>
      <c r="AH233" s="324">
        <v>0</v>
      </c>
      <c r="AI233" s="324">
        <v>0</v>
      </c>
      <c r="AJ233" s="324">
        <v>0</v>
      </c>
      <c r="AK233" s="324">
        <v>0</v>
      </c>
      <c r="AL233" s="324">
        <v>0</v>
      </c>
      <c r="AM233" s="324">
        <v>0</v>
      </c>
      <c r="AN233" s="324">
        <v>0</v>
      </c>
      <c r="AO233" s="324">
        <v>0</v>
      </c>
      <c r="AP233" s="324">
        <v>0</v>
      </c>
      <c r="AQ233" s="324">
        <v>0</v>
      </c>
      <c r="AR233" s="324">
        <v>0</v>
      </c>
      <c r="AS233" s="324">
        <v>0</v>
      </c>
      <c r="AT233" s="140">
        <f t="shared" si="118"/>
        <v>0</v>
      </c>
      <c r="AU233" s="324">
        <v>0</v>
      </c>
      <c r="AV233" s="324">
        <v>0</v>
      </c>
      <c r="AW233" s="324">
        <v>0</v>
      </c>
      <c r="AX233" s="324">
        <v>0</v>
      </c>
      <c r="AY233" s="324">
        <v>0</v>
      </c>
      <c r="AZ233" s="324">
        <v>0</v>
      </c>
      <c r="BA233" s="324">
        <v>0</v>
      </c>
      <c r="BB233" s="324">
        <v>0</v>
      </c>
      <c r="BC233" s="324">
        <v>0</v>
      </c>
      <c r="BD233" s="324">
        <v>0</v>
      </c>
      <c r="BE233" s="324">
        <v>0</v>
      </c>
      <c r="BF233" s="324">
        <v>535</v>
      </c>
      <c r="BG233" s="140">
        <f t="shared" si="119"/>
        <v>535</v>
      </c>
      <c r="BH233" s="324">
        <v>0</v>
      </c>
      <c r="BI233" s="324">
        <v>0</v>
      </c>
      <c r="BJ233" s="324">
        <v>0</v>
      </c>
      <c r="BK233" s="324">
        <v>0</v>
      </c>
      <c r="BL233" s="324">
        <v>0</v>
      </c>
      <c r="BM233" s="324">
        <v>0</v>
      </c>
      <c r="BN233" s="324">
        <v>0</v>
      </c>
      <c r="BO233" s="324">
        <v>0</v>
      </c>
      <c r="BP233" s="324">
        <v>0</v>
      </c>
      <c r="BQ233" s="324">
        <v>0</v>
      </c>
      <c r="BR233" s="324">
        <v>0</v>
      </c>
      <c r="BS233" s="324">
        <v>0</v>
      </c>
      <c r="BT233" s="140">
        <f t="shared" si="120"/>
        <v>0</v>
      </c>
      <c r="BU233" s="114">
        <f t="shared" si="121"/>
        <v>1035</v>
      </c>
      <c r="BV233" s="432"/>
      <c r="BW233" s="432"/>
      <c r="BX233" s="432"/>
      <c r="BY233" s="432"/>
      <c r="BZ233" s="433"/>
      <c r="CA233" s="434"/>
      <c r="CB233" s="7" t="s">
        <v>1681</v>
      </c>
      <c r="CC233" s="3">
        <v>0</v>
      </c>
      <c r="CD233" s="3">
        <v>0</v>
      </c>
      <c r="CE233" s="3">
        <v>0</v>
      </c>
      <c r="CF233" s="3">
        <v>0</v>
      </c>
      <c r="CG233" s="3">
        <v>0</v>
      </c>
      <c r="CH233" s="3">
        <v>0</v>
      </c>
      <c r="CI233" s="3">
        <v>0</v>
      </c>
      <c r="CJ233" s="3">
        <v>0</v>
      </c>
      <c r="CK233" s="3">
        <v>0</v>
      </c>
      <c r="CL233" s="3">
        <v>0</v>
      </c>
      <c r="CM233" s="3">
        <v>0</v>
      </c>
      <c r="CN233" s="3">
        <v>0</v>
      </c>
      <c r="CO233" s="4">
        <f t="shared" si="126"/>
        <v>0</v>
      </c>
      <c r="CP233" s="3">
        <v>0</v>
      </c>
      <c r="CQ233" s="3">
        <v>0</v>
      </c>
      <c r="CR233" s="3">
        <v>0</v>
      </c>
      <c r="CS233" s="3">
        <v>0</v>
      </c>
      <c r="CT233" s="3">
        <v>0</v>
      </c>
      <c r="CU233" s="3">
        <v>0</v>
      </c>
      <c r="CV233" s="3">
        <v>0</v>
      </c>
      <c r="CW233" s="3">
        <v>25</v>
      </c>
      <c r="CX233" s="3">
        <v>0</v>
      </c>
      <c r="CY233" s="3">
        <v>0</v>
      </c>
      <c r="CZ233" s="3">
        <v>0</v>
      </c>
      <c r="DA233" s="3">
        <v>0</v>
      </c>
      <c r="DB233" s="4">
        <f t="shared" si="127"/>
        <v>25</v>
      </c>
      <c r="DC233" s="3">
        <v>0</v>
      </c>
      <c r="DD233" s="3">
        <v>0</v>
      </c>
      <c r="DE233" s="3">
        <v>0</v>
      </c>
      <c r="DF233" s="3">
        <v>0</v>
      </c>
      <c r="DG233" s="3">
        <v>0</v>
      </c>
      <c r="DH233" s="3">
        <v>0</v>
      </c>
      <c r="DI233" s="3">
        <v>0</v>
      </c>
      <c r="DJ233" s="3">
        <v>0</v>
      </c>
      <c r="DK233" s="3">
        <v>0</v>
      </c>
      <c r="DL233" s="3">
        <v>0</v>
      </c>
      <c r="DM233" s="3">
        <v>0</v>
      </c>
      <c r="DN233" s="3">
        <v>0</v>
      </c>
      <c r="DO233" s="4">
        <f t="shared" si="128"/>
        <v>0</v>
      </c>
      <c r="DP233" s="3">
        <v>0</v>
      </c>
      <c r="DQ233" s="3">
        <v>0</v>
      </c>
      <c r="DR233" s="3">
        <v>0</v>
      </c>
      <c r="DS233" s="3">
        <v>0</v>
      </c>
      <c r="DT233" s="3">
        <v>0</v>
      </c>
      <c r="DU233" s="3">
        <v>0</v>
      </c>
      <c r="DV233" s="3">
        <v>0</v>
      </c>
      <c r="DW233" s="3">
        <v>0</v>
      </c>
      <c r="DX233" s="3">
        <v>0</v>
      </c>
      <c r="DY233" s="3">
        <v>0</v>
      </c>
      <c r="DZ233" s="3">
        <v>0</v>
      </c>
      <c r="EA233" s="3">
        <v>26.75</v>
      </c>
      <c r="EB233" s="4">
        <f t="shared" si="129"/>
        <v>26.75</v>
      </c>
      <c r="EC233" s="3">
        <v>0</v>
      </c>
      <c r="ED233" s="3">
        <v>0</v>
      </c>
      <c r="EE233" s="3">
        <v>0</v>
      </c>
      <c r="EF233" s="3">
        <v>0</v>
      </c>
      <c r="EG233" s="3">
        <v>0</v>
      </c>
      <c r="EH233" s="3">
        <v>0</v>
      </c>
      <c r="EI233" s="3">
        <v>0</v>
      </c>
      <c r="EJ233" s="3">
        <v>0</v>
      </c>
      <c r="EK233" s="3">
        <v>0</v>
      </c>
      <c r="EL233" s="3">
        <v>0</v>
      </c>
      <c r="EM233" s="3">
        <v>0</v>
      </c>
      <c r="EN233" s="3">
        <v>0</v>
      </c>
      <c r="EO233" s="4">
        <f t="shared" si="130"/>
        <v>0</v>
      </c>
      <c r="EP233" s="8">
        <f t="shared" si="131"/>
        <v>51.75</v>
      </c>
      <c r="EQ233" s="181">
        <f>IFERROR(VLOOKUP(I233,CEI_012018!$A$1:$U$509,9,FALSE),0)</f>
        <v>0</v>
      </c>
      <c r="ER233" s="181">
        <f>IFERROR(VLOOKUP(I233,CEI_022018!$A$1:$U$509,9,FALSE),0)</f>
        <v>0</v>
      </c>
      <c r="ES233" s="181">
        <f>IFERROR(VLOOKUP(I233,CEI_032018!$A$1:$U$509,9,FALSE),0)</f>
        <v>0</v>
      </c>
      <c r="ET233" s="181">
        <f>IFERROR(VLOOKUP(I233,CEI_042018!$A$1:$U$491,9,FALSE),0)</f>
        <v>0</v>
      </c>
      <c r="EU233" s="181">
        <f>IFERROR(VLOOKUP(I233,CEI_052018!$A$1:$U$489,9,FALSE),0)</f>
        <v>0</v>
      </c>
      <c r="EV233" s="181">
        <f>IFERROR(VLOOKUP(I233,CEI_062018!$A$1:$U$489,9,FALSE),0)</f>
        <v>0</v>
      </c>
      <c r="EW233" s="181">
        <f>IFERROR(VLOOKUP(I233,CEI_072018!$A$1:$U$489,9,FALSE),0)</f>
        <v>0</v>
      </c>
      <c r="EX233" s="181">
        <f>IFERROR(VLOOKUP(I233,CEI_082018!$A$1:$U$489,9,FALSE),0)</f>
        <v>0</v>
      </c>
      <c r="EY233" s="181">
        <f>IFERROR(VLOOKUP(I233,CEI_092018!$A$1:$U$489,9,FALSE),0)</f>
        <v>0</v>
      </c>
      <c r="EZ233" s="181"/>
      <c r="FA233" s="181"/>
      <c r="FB233" s="181"/>
      <c r="FC233" s="181">
        <f>IFERROR(VLOOKUP(I233,CEI_092018!$A$1:$U$489,12,FALSE),0)</f>
        <v>0</v>
      </c>
      <c r="FD233" s="181">
        <f t="shared" si="123"/>
        <v>0</v>
      </c>
      <c r="FE233" s="181">
        <f t="shared" si="124"/>
        <v>0</v>
      </c>
      <c r="FF233"/>
      <c r="FG233"/>
      <c r="FH233"/>
      <c r="FI233"/>
      <c r="FJ233"/>
      <c r="FK233"/>
      <c r="FL233"/>
      <c r="FM233"/>
      <c r="FN233"/>
      <c r="FO233"/>
      <c r="FP233"/>
      <c r="FQ233"/>
      <c r="FR233"/>
      <c r="FS233"/>
      <c r="FT233"/>
      <c r="FU233"/>
      <c r="FV233"/>
      <c r="FW233"/>
      <c r="FX233"/>
      <c r="FY233"/>
      <c r="FZ233"/>
      <c r="GA233"/>
      <c r="GB233"/>
      <c r="GC233"/>
    </row>
    <row r="234" spans="1:185" ht="12.75" customHeight="1" x14ac:dyDescent="0.25">
      <c r="A234" s="202"/>
      <c r="B234" s="22" t="s">
        <v>57</v>
      </c>
      <c r="C234" s="34" t="s">
        <v>44</v>
      </c>
      <c r="D234" s="22" t="s">
        <v>1059</v>
      </c>
      <c r="E234" s="25" t="s">
        <v>1063</v>
      </c>
      <c r="F234" s="25" t="s">
        <v>1059</v>
      </c>
      <c r="G234" s="25" t="s">
        <v>1063</v>
      </c>
      <c r="H234" s="22" t="s">
        <v>56</v>
      </c>
      <c r="I234" s="423" t="s">
        <v>565</v>
      </c>
      <c r="J234" s="37" t="s">
        <v>59</v>
      </c>
      <c r="K234" s="23" t="s">
        <v>410</v>
      </c>
      <c r="L234" s="23" t="s">
        <v>781</v>
      </c>
      <c r="M234" s="23" t="s">
        <v>782</v>
      </c>
      <c r="N234" s="23" t="s">
        <v>1872</v>
      </c>
      <c r="O234" s="2">
        <v>0</v>
      </c>
      <c r="P234" s="2">
        <v>0</v>
      </c>
      <c r="Q234" s="2">
        <v>0</v>
      </c>
      <c r="R234" s="2">
        <v>0</v>
      </c>
      <c r="S234" s="2">
        <v>0</v>
      </c>
      <c r="T234" s="116">
        <f t="shared" si="116"/>
        <v>0</v>
      </c>
      <c r="U234" s="324">
        <v>0</v>
      </c>
      <c r="V234" s="324">
        <v>0</v>
      </c>
      <c r="W234" s="324">
        <v>0</v>
      </c>
      <c r="X234" s="324">
        <v>0</v>
      </c>
      <c r="Y234" s="324">
        <v>0</v>
      </c>
      <c r="Z234" s="324">
        <v>0</v>
      </c>
      <c r="AA234" s="324">
        <v>0</v>
      </c>
      <c r="AB234" s="324">
        <v>0</v>
      </c>
      <c r="AC234" s="324">
        <v>0</v>
      </c>
      <c r="AD234" s="324">
        <v>0</v>
      </c>
      <c r="AE234" s="324">
        <v>0</v>
      </c>
      <c r="AF234" s="324">
        <v>0</v>
      </c>
      <c r="AG234" s="140">
        <f t="shared" si="117"/>
        <v>0</v>
      </c>
      <c r="AH234" s="324">
        <v>0</v>
      </c>
      <c r="AI234" s="324">
        <v>20</v>
      </c>
      <c r="AJ234" s="324">
        <v>0</v>
      </c>
      <c r="AK234" s="324">
        <v>20</v>
      </c>
      <c r="AL234" s="324">
        <v>20</v>
      </c>
      <c r="AM234" s="324">
        <v>20</v>
      </c>
      <c r="AN234" s="324">
        <v>0</v>
      </c>
      <c r="AO234" s="324">
        <v>20</v>
      </c>
      <c r="AP234" s="324">
        <v>20</v>
      </c>
      <c r="AQ234" s="324">
        <v>25</v>
      </c>
      <c r="AR234" s="324">
        <v>40</v>
      </c>
      <c r="AS234" s="324">
        <v>40</v>
      </c>
      <c r="AT234" s="140">
        <f t="shared" si="118"/>
        <v>225</v>
      </c>
      <c r="AU234" s="324">
        <v>20</v>
      </c>
      <c r="AV234" s="324">
        <v>20</v>
      </c>
      <c r="AW234" s="324">
        <v>20</v>
      </c>
      <c r="AX234" s="324">
        <v>40</v>
      </c>
      <c r="AY234" s="324">
        <v>20</v>
      </c>
      <c r="AZ234" s="324">
        <v>40</v>
      </c>
      <c r="BA234" s="324">
        <v>20</v>
      </c>
      <c r="BB234" s="324">
        <v>40</v>
      </c>
      <c r="BC234" s="324">
        <v>20</v>
      </c>
      <c r="BD234" s="324">
        <v>40</v>
      </c>
      <c r="BE234" s="324">
        <v>40</v>
      </c>
      <c r="BF234" s="324">
        <v>60</v>
      </c>
      <c r="BG234" s="140">
        <f t="shared" si="119"/>
        <v>380</v>
      </c>
      <c r="BH234" s="324">
        <v>20</v>
      </c>
      <c r="BI234" s="324">
        <v>20</v>
      </c>
      <c r="BJ234" s="324">
        <v>20</v>
      </c>
      <c r="BK234" s="324">
        <v>50</v>
      </c>
      <c r="BL234" s="324">
        <v>20</v>
      </c>
      <c r="BM234" s="324">
        <v>80</v>
      </c>
      <c r="BN234" s="324">
        <v>20</v>
      </c>
      <c r="BO234" s="324">
        <v>20</v>
      </c>
      <c r="BP234" s="324">
        <v>20</v>
      </c>
      <c r="BQ234" s="324">
        <v>30</v>
      </c>
      <c r="BR234" s="324">
        <v>50</v>
      </c>
      <c r="BS234" s="324">
        <v>60</v>
      </c>
      <c r="BT234" s="140">
        <f t="shared" si="120"/>
        <v>410</v>
      </c>
      <c r="BU234" s="114">
        <f t="shared" si="121"/>
        <v>1015</v>
      </c>
      <c r="BV234" s="432"/>
      <c r="BW234" s="432"/>
      <c r="BX234" s="432"/>
      <c r="BY234" s="432"/>
      <c r="BZ234" s="433"/>
      <c r="CA234" s="434"/>
      <c r="CB234" s="7" t="s">
        <v>1700</v>
      </c>
      <c r="CC234" s="3">
        <v>0</v>
      </c>
      <c r="CD234" s="3">
        <v>0</v>
      </c>
      <c r="CE234" s="3">
        <v>0</v>
      </c>
      <c r="CF234" s="3">
        <v>0</v>
      </c>
      <c r="CG234" s="3">
        <v>0</v>
      </c>
      <c r="CH234" s="3">
        <v>0</v>
      </c>
      <c r="CI234" s="3">
        <v>0</v>
      </c>
      <c r="CJ234" s="3">
        <v>0</v>
      </c>
      <c r="CK234" s="3">
        <v>0</v>
      </c>
      <c r="CL234" s="3">
        <v>0</v>
      </c>
      <c r="CM234" s="3">
        <v>0</v>
      </c>
      <c r="CN234" s="3">
        <v>0</v>
      </c>
      <c r="CO234" s="4">
        <f t="shared" si="126"/>
        <v>0</v>
      </c>
      <c r="CP234" s="3">
        <v>0</v>
      </c>
      <c r="CQ234" s="3">
        <v>0</v>
      </c>
      <c r="CR234" s="3">
        <v>0</v>
      </c>
      <c r="CS234" s="3">
        <v>0</v>
      </c>
      <c r="CT234" s="3">
        <v>0</v>
      </c>
      <c r="CU234" s="3">
        <v>0</v>
      </c>
      <c r="CV234" s="3">
        <v>0</v>
      </c>
      <c r="CW234" s="3">
        <v>0</v>
      </c>
      <c r="CX234" s="3">
        <v>0</v>
      </c>
      <c r="CY234" s="3">
        <v>0</v>
      </c>
      <c r="CZ234" s="3">
        <v>0</v>
      </c>
      <c r="DA234" s="3">
        <v>0</v>
      </c>
      <c r="DB234" s="4">
        <f t="shared" si="127"/>
        <v>0</v>
      </c>
      <c r="DC234" s="3">
        <v>0</v>
      </c>
      <c r="DD234" s="3">
        <v>40</v>
      </c>
      <c r="DE234" s="3">
        <v>0</v>
      </c>
      <c r="DF234" s="3">
        <v>40</v>
      </c>
      <c r="DG234" s="3">
        <v>40</v>
      </c>
      <c r="DH234" s="3">
        <v>40</v>
      </c>
      <c r="DI234" s="3">
        <v>0</v>
      </c>
      <c r="DJ234" s="3">
        <v>40</v>
      </c>
      <c r="DK234" s="3">
        <v>40</v>
      </c>
      <c r="DL234" s="3">
        <v>50</v>
      </c>
      <c r="DM234" s="3">
        <v>80</v>
      </c>
      <c r="DN234" s="3">
        <v>80</v>
      </c>
      <c r="DO234" s="4">
        <f t="shared" si="128"/>
        <v>450</v>
      </c>
      <c r="DP234" s="3">
        <v>40</v>
      </c>
      <c r="DQ234" s="3">
        <v>40</v>
      </c>
      <c r="DR234" s="3">
        <v>40</v>
      </c>
      <c r="DS234" s="3">
        <v>80</v>
      </c>
      <c r="DT234" s="3">
        <v>40</v>
      </c>
      <c r="DU234" s="3">
        <v>80</v>
      </c>
      <c r="DV234" s="3">
        <v>40</v>
      </c>
      <c r="DW234" s="3">
        <v>80</v>
      </c>
      <c r="DX234" s="3">
        <v>40</v>
      </c>
      <c r="DY234" s="3">
        <v>80</v>
      </c>
      <c r="DZ234" s="3">
        <v>80</v>
      </c>
      <c r="EA234" s="3">
        <v>120</v>
      </c>
      <c r="EB234" s="4">
        <f t="shared" si="129"/>
        <v>760</v>
      </c>
      <c r="EC234" s="3">
        <v>40</v>
      </c>
      <c r="ED234" s="3">
        <v>40</v>
      </c>
      <c r="EE234" s="3">
        <v>40</v>
      </c>
      <c r="EF234" s="3">
        <v>100</v>
      </c>
      <c r="EG234" s="3">
        <v>40</v>
      </c>
      <c r="EH234" s="3">
        <v>160</v>
      </c>
      <c r="EI234" s="3">
        <v>40</v>
      </c>
      <c r="EJ234" s="3">
        <v>40</v>
      </c>
      <c r="EK234" s="3">
        <v>40</v>
      </c>
      <c r="EL234" s="3">
        <v>60</v>
      </c>
      <c r="EM234" s="3">
        <v>100</v>
      </c>
      <c r="EN234" s="3">
        <v>120</v>
      </c>
      <c r="EO234" s="4">
        <f t="shared" si="130"/>
        <v>820</v>
      </c>
      <c r="EP234" s="8">
        <f t="shared" si="131"/>
        <v>2030</v>
      </c>
      <c r="EQ234" s="181">
        <f>IFERROR(VLOOKUP(I234,CEI_012018!$A$1:$U$509,9,FALSE),0)</f>
        <v>0</v>
      </c>
      <c r="ER234" s="181">
        <f>IFERROR(VLOOKUP(I234,CEI_022018!$A$1:$U$509,9,FALSE),0)</f>
        <v>0</v>
      </c>
      <c r="ES234" s="181">
        <f>IFERROR(VLOOKUP(I234,CEI_032018!$A$1:$U$509,9,FALSE),0)</f>
        <v>0</v>
      </c>
      <c r="ET234" s="181">
        <f>IFERROR(VLOOKUP(I234,CEI_042018!$A$1:$U$491,9,FALSE),0)</f>
        <v>0</v>
      </c>
      <c r="EU234" s="181">
        <f>IFERROR(VLOOKUP(I234,CEI_052018!$A$1:$U$489,9,FALSE),0)</f>
        <v>0</v>
      </c>
      <c r="EV234" s="181">
        <f>IFERROR(VLOOKUP(I234,CEI_062018!$A$1:$U$489,9,FALSE),0)</f>
        <v>0</v>
      </c>
      <c r="EW234" s="181">
        <f>IFERROR(VLOOKUP(I234,CEI_072018!$A$1:$U$489,9,FALSE),0)</f>
        <v>0</v>
      </c>
      <c r="EX234" s="181">
        <f>IFERROR(VLOOKUP(I234,CEI_082018!$A$1:$U$489,9,FALSE),0)</f>
        <v>0</v>
      </c>
      <c r="EY234" s="181">
        <f>IFERROR(VLOOKUP(I234,CEI_092018!$A$1:$U$489,9,FALSE),0)</f>
        <v>0</v>
      </c>
      <c r="EZ234" s="181"/>
      <c r="FA234" s="181"/>
      <c r="FB234" s="181"/>
      <c r="FC234" s="181">
        <f>IFERROR(VLOOKUP(I234,CEI_092018!$A$1:$U$489,12,FALSE),0)</f>
        <v>0</v>
      </c>
      <c r="FD234" s="181">
        <f t="shared" si="123"/>
        <v>0</v>
      </c>
      <c r="FE234" s="181">
        <f t="shared" si="124"/>
        <v>0</v>
      </c>
      <c r="FF234"/>
      <c r="FG234"/>
      <c r="FH234"/>
      <c r="FI234"/>
      <c r="FJ234"/>
      <c r="FK234"/>
      <c r="FL234"/>
      <c r="FM234"/>
      <c r="FN234"/>
      <c r="FO234"/>
      <c r="FP234"/>
      <c r="FQ234"/>
      <c r="FR234"/>
      <c r="FS234"/>
      <c r="FT234"/>
      <c r="FU234"/>
      <c r="FV234"/>
      <c r="FW234"/>
      <c r="FX234"/>
      <c r="FY234"/>
      <c r="FZ234"/>
      <c r="GA234"/>
      <c r="GB234"/>
      <c r="GC234"/>
    </row>
    <row r="235" spans="1:185" ht="12.75" customHeight="1" x14ac:dyDescent="0.25">
      <c r="A235" s="202"/>
      <c r="B235" s="22" t="s">
        <v>57</v>
      </c>
      <c r="C235" s="34" t="s">
        <v>44</v>
      </c>
      <c r="D235" s="22" t="s">
        <v>318</v>
      </c>
      <c r="E235" s="25" t="s">
        <v>1066</v>
      </c>
      <c r="F235" s="25" t="s">
        <v>318</v>
      </c>
      <c r="G235" s="25" t="s">
        <v>1066</v>
      </c>
      <c r="H235" s="22" t="s">
        <v>56</v>
      </c>
      <c r="I235" s="423" t="s">
        <v>565</v>
      </c>
      <c r="J235" s="37" t="s">
        <v>59</v>
      </c>
      <c r="K235" s="23" t="s">
        <v>1014</v>
      </c>
      <c r="L235" s="23" t="s">
        <v>841</v>
      </c>
      <c r="M235" s="23" t="s">
        <v>842</v>
      </c>
      <c r="N235" s="23" t="s">
        <v>59</v>
      </c>
      <c r="O235" s="2">
        <v>0</v>
      </c>
      <c r="P235" s="2">
        <v>0</v>
      </c>
      <c r="Q235" s="2">
        <v>0</v>
      </c>
      <c r="R235" s="2">
        <v>0</v>
      </c>
      <c r="S235" s="2">
        <v>0</v>
      </c>
      <c r="T235" s="116">
        <f t="shared" si="116"/>
        <v>0</v>
      </c>
      <c r="U235" s="324">
        <v>0</v>
      </c>
      <c r="V235" s="324">
        <v>0</v>
      </c>
      <c r="W235" s="324">
        <v>0</v>
      </c>
      <c r="X235" s="324">
        <v>0</v>
      </c>
      <c r="Y235" s="324">
        <v>0</v>
      </c>
      <c r="Z235" s="324">
        <v>0</v>
      </c>
      <c r="AA235" s="324">
        <v>0</v>
      </c>
      <c r="AB235" s="324">
        <v>0</v>
      </c>
      <c r="AC235" s="324">
        <v>0</v>
      </c>
      <c r="AD235" s="324">
        <v>0</v>
      </c>
      <c r="AE235" s="324">
        <v>0</v>
      </c>
      <c r="AF235" s="324">
        <v>0</v>
      </c>
      <c r="AG235" s="140">
        <f t="shared" si="117"/>
        <v>0</v>
      </c>
      <c r="AH235" s="324">
        <v>0</v>
      </c>
      <c r="AI235" s="324">
        <v>0</v>
      </c>
      <c r="AJ235" s="324">
        <v>900</v>
      </c>
      <c r="AK235" s="324">
        <v>0</v>
      </c>
      <c r="AL235" s="324">
        <v>0</v>
      </c>
      <c r="AM235" s="324">
        <v>0</v>
      </c>
      <c r="AN235" s="324">
        <v>0</v>
      </c>
      <c r="AO235" s="324">
        <v>0</v>
      </c>
      <c r="AP235" s="324">
        <v>0</v>
      </c>
      <c r="AQ235" s="324">
        <v>0</v>
      </c>
      <c r="AR235" s="324">
        <v>0</v>
      </c>
      <c r="AS235" s="324">
        <v>0</v>
      </c>
      <c r="AT235" s="140">
        <f t="shared" si="118"/>
        <v>900</v>
      </c>
      <c r="AU235" s="324">
        <v>0</v>
      </c>
      <c r="AV235" s="324">
        <v>0</v>
      </c>
      <c r="AW235" s="324">
        <v>0</v>
      </c>
      <c r="AX235" s="324">
        <v>0</v>
      </c>
      <c r="AY235" s="324">
        <v>0</v>
      </c>
      <c r="AZ235" s="324">
        <v>0</v>
      </c>
      <c r="BA235" s="324">
        <v>0</v>
      </c>
      <c r="BB235" s="324">
        <v>0</v>
      </c>
      <c r="BC235" s="324">
        <v>0</v>
      </c>
      <c r="BD235" s="324">
        <v>0</v>
      </c>
      <c r="BE235" s="324">
        <v>0</v>
      </c>
      <c r="BF235" s="324">
        <v>0</v>
      </c>
      <c r="BG235" s="140">
        <f t="shared" si="119"/>
        <v>0</v>
      </c>
      <c r="BH235" s="324">
        <v>0</v>
      </c>
      <c r="BI235" s="324">
        <v>0</v>
      </c>
      <c r="BJ235" s="324">
        <v>0</v>
      </c>
      <c r="BK235" s="324">
        <v>0</v>
      </c>
      <c r="BL235" s="324">
        <v>0</v>
      </c>
      <c r="BM235" s="324">
        <v>0</v>
      </c>
      <c r="BN235" s="324">
        <v>0</v>
      </c>
      <c r="BO235" s="324">
        <v>0</v>
      </c>
      <c r="BP235" s="324">
        <v>0</v>
      </c>
      <c r="BQ235" s="324">
        <v>0</v>
      </c>
      <c r="BR235" s="324">
        <v>0</v>
      </c>
      <c r="BS235" s="324">
        <v>0</v>
      </c>
      <c r="BT235" s="140">
        <f t="shared" si="120"/>
        <v>0</v>
      </c>
      <c r="BU235" s="114">
        <f t="shared" si="121"/>
        <v>900</v>
      </c>
      <c r="BV235" s="432"/>
      <c r="BW235" s="432"/>
      <c r="BX235" s="432"/>
      <c r="BY235" s="432"/>
      <c r="BZ235" s="433"/>
      <c r="CA235" s="434"/>
      <c r="CB235" s="7" t="s">
        <v>1699</v>
      </c>
      <c r="CC235" s="3">
        <v>0</v>
      </c>
      <c r="CD235" s="3">
        <v>0</v>
      </c>
      <c r="CE235" s="3">
        <v>0</v>
      </c>
      <c r="CF235" s="3">
        <v>0</v>
      </c>
      <c r="CG235" s="3">
        <v>0</v>
      </c>
      <c r="CH235" s="3">
        <v>0</v>
      </c>
      <c r="CI235" s="3">
        <v>0</v>
      </c>
      <c r="CJ235" s="3">
        <v>0</v>
      </c>
      <c r="CK235" s="3">
        <v>0</v>
      </c>
      <c r="CL235" s="3">
        <v>0</v>
      </c>
      <c r="CM235" s="3">
        <v>0</v>
      </c>
      <c r="CN235" s="3">
        <v>0</v>
      </c>
      <c r="CO235" s="4">
        <f t="shared" si="126"/>
        <v>0</v>
      </c>
      <c r="CP235" s="3">
        <v>0</v>
      </c>
      <c r="CQ235" s="3">
        <v>0</v>
      </c>
      <c r="CR235" s="3">
        <v>0</v>
      </c>
      <c r="CS235" s="3">
        <v>0</v>
      </c>
      <c r="CT235" s="3">
        <v>0</v>
      </c>
      <c r="CU235" s="3">
        <v>0</v>
      </c>
      <c r="CV235" s="3">
        <v>0</v>
      </c>
      <c r="CW235" s="3">
        <v>0</v>
      </c>
      <c r="CX235" s="3">
        <v>0</v>
      </c>
      <c r="CY235" s="3">
        <v>0</v>
      </c>
      <c r="CZ235" s="3">
        <v>0</v>
      </c>
      <c r="DA235" s="3">
        <v>0</v>
      </c>
      <c r="DB235" s="4">
        <f t="shared" si="127"/>
        <v>0</v>
      </c>
      <c r="DC235" s="3">
        <v>0</v>
      </c>
      <c r="DD235" s="3">
        <v>0</v>
      </c>
      <c r="DE235" s="3">
        <v>1</v>
      </c>
      <c r="DF235" s="3">
        <v>0</v>
      </c>
      <c r="DG235" s="3">
        <v>0</v>
      </c>
      <c r="DH235" s="3">
        <v>0</v>
      </c>
      <c r="DI235" s="3">
        <v>0</v>
      </c>
      <c r="DJ235" s="3">
        <v>0</v>
      </c>
      <c r="DK235" s="3">
        <v>0</v>
      </c>
      <c r="DL235" s="3">
        <v>0</v>
      </c>
      <c r="DM235" s="3">
        <v>0</v>
      </c>
      <c r="DN235" s="3">
        <v>0</v>
      </c>
      <c r="DO235" s="4">
        <f t="shared" si="128"/>
        <v>1</v>
      </c>
      <c r="DP235" s="3">
        <v>0</v>
      </c>
      <c r="DQ235" s="3">
        <v>0</v>
      </c>
      <c r="DR235" s="3">
        <v>0</v>
      </c>
      <c r="DS235" s="3">
        <v>0</v>
      </c>
      <c r="DT235" s="3">
        <v>0</v>
      </c>
      <c r="DU235" s="3">
        <v>0</v>
      </c>
      <c r="DV235" s="3">
        <v>0</v>
      </c>
      <c r="DW235" s="3">
        <v>0</v>
      </c>
      <c r="DX235" s="3">
        <v>0</v>
      </c>
      <c r="DY235" s="3">
        <v>0</v>
      </c>
      <c r="DZ235" s="3">
        <v>0</v>
      </c>
      <c r="EA235" s="3">
        <v>0</v>
      </c>
      <c r="EB235" s="4">
        <f t="shared" si="129"/>
        <v>0</v>
      </c>
      <c r="EC235" s="3">
        <v>0</v>
      </c>
      <c r="ED235" s="3">
        <v>0</v>
      </c>
      <c r="EE235" s="3">
        <v>0</v>
      </c>
      <c r="EF235" s="3">
        <v>0</v>
      </c>
      <c r="EG235" s="3">
        <v>0</v>
      </c>
      <c r="EH235" s="3">
        <v>0</v>
      </c>
      <c r="EI235" s="3">
        <v>0</v>
      </c>
      <c r="EJ235" s="3">
        <v>0</v>
      </c>
      <c r="EK235" s="3">
        <v>0</v>
      </c>
      <c r="EL235" s="3">
        <v>0</v>
      </c>
      <c r="EM235" s="3">
        <v>0</v>
      </c>
      <c r="EN235" s="3">
        <v>0</v>
      </c>
      <c r="EO235" s="4">
        <f t="shared" si="130"/>
        <v>0</v>
      </c>
      <c r="EP235" s="8">
        <f t="shared" si="131"/>
        <v>1</v>
      </c>
      <c r="EQ235" s="181">
        <f>IFERROR(VLOOKUP(I235,CEI_012018!$A$1:$U$509,9,FALSE),0)</f>
        <v>0</v>
      </c>
      <c r="ER235" s="181">
        <f>IFERROR(VLOOKUP(I235,CEI_022018!$A$1:$U$509,9,FALSE),0)</f>
        <v>0</v>
      </c>
      <c r="ES235" s="181">
        <f>IFERROR(VLOOKUP(I235,CEI_032018!$A$1:$U$509,9,FALSE),0)</f>
        <v>0</v>
      </c>
      <c r="ET235" s="181">
        <f>IFERROR(VLOOKUP(I235,CEI_042018!$A$1:$U$491,9,FALSE),0)</f>
        <v>0</v>
      </c>
      <c r="EU235" s="181">
        <f>IFERROR(VLOOKUP(I235,CEI_052018!$A$1:$U$489,9,FALSE),0)</f>
        <v>0</v>
      </c>
      <c r="EV235" s="181">
        <f>IFERROR(VLOOKUP(I235,CEI_062018!$A$1:$U$489,9,FALSE),0)</f>
        <v>0</v>
      </c>
      <c r="EW235" s="181">
        <f>IFERROR(VLOOKUP(I235,CEI_072018!$A$1:$U$489,9,FALSE),0)</f>
        <v>0</v>
      </c>
      <c r="EX235" s="181">
        <f>IFERROR(VLOOKUP(I235,CEI_082018!$A$1:$U$489,9,FALSE),0)</f>
        <v>0</v>
      </c>
      <c r="EY235" s="181">
        <f>IFERROR(VLOOKUP(I235,CEI_092018!$A$1:$U$489,9,FALSE),0)</f>
        <v>0</v>
      </c>
      <c r="EZ235" s="181"/>
      <c r="FA235" s="181"/>
      <c r="FB235" s="181"/>
      <c r="FC235" s="181">
        <f>IFERROR(VLOOKUP(I235,CEI_092018!$A$1:$U$489,12,FALSE),0)</f>
        <v>0</v>
      </c>
      <c r="FD235" s="181">
        <f t="shared" si="123"/>
        <v>0</v>
      </c>
      <c r="FE235" s="181">
        <f t="shared" si="124"/>
        <v>0</v>
      </c>
      <c r="FF235"/>
      <c r="FG235"/>
      <c r="FH235"/>
      <c r="FI235"/>
      <c r="FJ235"/>
      <c r="FK235"/>
      <c r="FL235"/>
      <c r="FM235"/>
      <c r="FN235"/>
      <c r="FO235"/>
      <c r="FP235"/>
      <c r="FQ235"/>
      <c r="FR235"/>
      <c r="FS235"/>
      <c r="FT235"/>
      <c r="FU235"/>
      <c r="FV235"/>
      <c r="FW235"/>
      <c r="FX235"/>
      <c r="FY235"/>
      <c r="FZ235"/>
      <c r="GA235"/>
      <c r="GB235"/>
      <c r="GC235"/>
    </row>
    <row r="236" spans="1:185" ht="12.75" customHeight="1" x14ac:dyDescent="0.25">
      <c r="A236" s="202"/>
      <c r="B236" s="22" t="s">
        <v>57</v>
      </c>
      <c r="C236" s="34" t="s">
        <v>44</v>
      </c>
      <c r="D236" s="22" t="s">
        <v>1059</v>
      </c>
      <c r="E236" s="25" t="s">
        <v>1063</v>
      </c>
      <c r="F236" s="25" t="s">
        <v>1661</v>
      </c>
      <c r="G236" s="25" t="s">
        <v>503</v>
      </c>
      <c r="H236" s="22" t="s">
        <v>62</v>
      </c>
      <c r="I236" s="423" t="s">
        <v>565</v>
      </c>
      <c r="J236" s="37" t="s">
        <v>59</v>
      </c>
      <c r="K236" s="23" t="s">
        <v>548</v>
      </c>
      <c r="L236" s="23" t="s">
        <v>549</v>
      </c>
      <c r="M236" s="23" t="s">
        <v>550</v>
      </c>
      <c r="N236" s="23" t="s">
        <v>59</v>
      </c>
      <c r="O236" s="2">
        <v>0</v>
      </c>
      <c r="P236" s="2">
        <v>0</v>
      </c>
      <c r="Q236" s="2">
        <v>0</v>
      </c>
      <c r="R236" s="2">
        <v>0</v>
      </c>
      <c r="S236" s="2">
        <v>0</v>
      </c>
      <c r="T236" s="116">
        <f t="shared" si="116"/>
        <v>0</v>
      </c>
      <c r="U236" s="324">
        <v>0</v>
      </c>
      <c r="V236" s="324">
        <v>0</v>
      </c>
      <c r="W236" s="324">
        <v>0</v>
      </c>
      <c r="X236" s="324">
        <v>0</v>
      </c>
      <c r="Y236" s="324">
        <v>0</v>
      </c>
      <c r="Z236" s="324">
        <v>0</v>
      </c>
      <c r="AA236" s="324">
        <v>0</v>
      </c>
      <c r="AB236" s="324">
        <v>0</v>
      </c>
      <c r="AC236" s="324">
        <v>0</v>
      </c>
      <c r="AD236" s="324">
        <v>0</v>
      </c>
      <c r="AE236" s="324">
        <v>0</v>
      </c>
      <c r="AF236" s="324">
        <v>0</v>
      </c>
      <c r="AG236" s="140">
        <f t="shared" si="117"/>
        <v>0</v>
      </c>
      <c r="AH236" s="324">
        <v>0</v>
      </c>
      <c r="AI236" s="324">
        <v>0</v>
      </c>
      <c r="AJ236" s="324">
        <v>0</v>
      </c>
      <c r="AK236" s="324">
        <v>0</v>
      </c>
      <c r="AL236" s="324">
        <v>0</v>
      </c>
      <c r="AM236" s="324">
        <v>0</v>
      </c>
      <c r="AN236" s="324">
        <v>0</v>
      </c>
      <c r="AO236" s="324">
        <v>0</v>
      </c>
      <c r="AP236" s="324">
        <v>0</v>
      </c>
      <c r="AQ236" s="324">
        <v>0</v>
      </c>
      <c r="AR236" s="324">
        <v>0</v>
      </c>
      <c r="AS236" s="324">
        <v>0</v>
      </c>
      <c r="AT236" s="140">
        <f t="shared" si="118"/>
        <v>0</v>
      </c>
      <c r="AU236" s="324">
        <v>0</v>
      </c>
      <c r="AV236" s="324">
        <v>0</v>
      </c>
      <c r="AW236" s="324">
        <v>0</v>
      </c>
      <c r="AX236" s="324">
        <v>50</v>
      </c>
      <c r="AY236" s="324">
        <v>0</v>
      </c>
      <c r="AZ236" s="324">
        <v>100</v>
      </c>
      <c r="BA236" s="324">
        <v>0</v>
      </c>
      <c r="BB236" s="324">
        <v>0</v>
      </c>
      <c r="BC236" s="324">
        <v>100</v>
      </c>
      <c r="BD236" s="324">
        <v>0</v>
      </c>
      <c r="BE236" s="324">
        <v>0</v>
      </c>
      <c r="BF236" s="324">
        <v>200</v>
      </c>
      <c r="BG236" s="140">
        <f t="shared" si="119"/>
        <v>450</v>
      </c>
      <c r="BH236" s="324">
        <v>50</v>
      </c>
      <c r="BI236" s="324">
        <v>50</v>
      </c>
      <c r="BJ236" s="324">
        <v>50</v>
      </c>
      <c r="BK236" s="324">
        <v>100</v>
      </c>
      <c r="BL236" s="324">
        <v>100</v>
      </c>
      <c r="BM236" s="324">
        <v>100</v>
      </c>
      <c r="BN236" s="324">
        <v>0</v>
      </c>
      <c r="BO236" s="324">
        <v>0</v>
      </c>
      <c r="BP236" s="324">
        <v>0</v>
      </c>
      <c r="BQ236" s="324">
        <v>0</v>
      </c>
      <c r="BR236" s="324">
        <v>0</v>
      </c>
      <c r="BS236" s="324">
        <v>0</v>
      </c>
      <c r="BT236" s="140">
        <f t="shared" si="120"/>
        <v>450</v>
      </c>
      <c r="BU236" s="114">
        <f t="shared" si="121"/>
        <v>900</v>
      </c>
      <c r="BV236" s="432"/>
      <c r="BW236" s="432"/>
      <c r="BX236" s="432"/>
      <c r="BY236" s="432"/>
      <c r="BZ236" s="433"/>
      <c r="CA236" s="434"/>
      <c r="CB236" s="7" t="s">
        <v>1699</v>
      </c>
      <c r="CC236" s="3">
        <v>0</v>
      </c>
      <c r="CD236" s="3">
        <v>0</v>
      </c>
      <c r="CE236" s="3">
        <v>0</v>
      </c>
      <c r="CF236" s="3">
        <v>0</v>
      </c>
      <c r="CG236" s="3">
        <v>0</v>
      </c>
      <c r="CH236" s="3">
        <v>0</v>
      </c>
      <c r="CI236" s="3">
        <v>0</v>
      </c>
      <c r="CJ236" s="3">
        <v>0</v>
      </c>
      <c r="CK236" s="3">
        <v>0</v>
      </c>
      <c r="CL236" s="3">
        <v>0</v>
      </c>
      <c r="CM236" s="3">
        <v>0</v>
      </c>
      <c r="CN236" s="3">
        <v>0</v>
      </c>
      <c r="CO236" s="4">
        <f t="shared" si="126"/>
        <v>0</v>
      </c>
      <c r="CP236" s="3">
        <v>0</v>
      </c>
      <c r="CQ236" s="3">
        <v>0</v>
      </c>
      <c r="CR236" s="3">
        <v>0</v>
      </c>
      <c r="CS236" s="3">
        <v>0</v>
      </c>
      <c r="CT236" s="3">
        <v>0</v>
      </c>
      <c r="CU236" s="3">
        <v>0</v>
      </c>
      <c r="CV236" s="3">
        <v>0</v>
      </c>
      <c r="CW236" s="3">
        <v>0</v>
      </c>
      <c r="CX236" s="3">
        <v>0</v>
      </c>
      <c r="CY236" s="3">
        <v>0</v>
      </c>
      <c r="CZ236" s="3">
        <v>0</v>
      </c>
      <c r="DA236" s="3">
        <v>0</v>
      </c>
      <c r="DB236" s="4">
        <f t="shared" si="127"/>
        <v>0</v>
      </c>
      <c r="DC236" s="3">
        <v>0</v>
      </c>
      <c r="DD236" s="3">
        <v>0</v>
      </c>
      <c r="DE236" s="3">
        <v>0</v>
      </c>
      <c r="DF236" s="3">
        <v>0</v>
      </c>
      <c r="DG236" s="3">
        <v>0</v>
      </c>
      <c r="DH236" s="3">
        <v>0</v>
      </c>
      <c r="DI236" s="3">
        <v>0</v>
      </c>
      <c r="DJ236" s="3">
        <v>0</v>
      </c>
      <c r="DK236" s="3">
        <v>0</v>
      </c>
      <c r="DL236" s="3">
        <v>0</v>
      </c>
      <c r="DM236" s="3">
        <v>0</v>
      </c>
      <c r="DN236" s="3">
        <v>0</v>
      </c>
      <c r="DO236" s="4">
        <f t="shared" si="128"/>
        <v>0</v>
      </c>
      <c r="DP236" s="3">
        <v>0</v>
      </c>
      <c r="DQ236" s="3">
        <v>0</v>
      </c>
      <c r="DR236" s="3">
        <v>0</v>
      </c>
      <c r="DS236" s="3">
        <v>0</v>
      </c>
      <c r="DT236" s="3">
        <v>0</v>
      </c>
      <c r="DU236" s="3">
        <v>0</v>
      </c>
      <c r="DV236" s="3">
        <v>0</v>
      </c>
      <c r="DW236" s="3">
        <v>0</v>
      </c>
      <c r="DX236" s="3">
        <v>0</v>
      </c>
      <c r="DY236" s="3">
        <v>0</v>
      </c>
      <c r="DZ236" s="3">
        <v>0</v>
      </c>
      <c r="EA236" s="3">
        <v>1</v>
      </c>
      <c r="EB236" s="4">
        <f t="shared" si="129"/>
        <v>1</v>
      </c>
      <c r="EC236" s="3">
        <v>0</v>
      </c>
      <c r="ED236" s="3">
        <v>0</v>
      </c>
      <c r="EE236" s="3">
        <v>0</v>
      </c>
      <c r="EF236" s="3">
        <v>0</v>
      </c>
      <c r="EG236" s="3">
        <v>0</v>
      </c>
      <c r="EH236" s="3">
        <v>1</v>
      </c>
      <c r="EI236" s="3">
        <v>0</v>
      </c>
      <c r="EJ236" s="3">
        <v>0</v>
      </c>
      <c r="EK236" s="3">
        <v>0</v>
      </c>
      <c r="EL236" s="3">
        <v>0</v>
      </c>
      <c r="EM236" s="3">
        <v>0</v>
      </c>
      <c r="EN236" s="3">
        <v>0</v>
      </c>
      <c r="EO236" s="4">
        <f t="shared" si="130"/>
        <v>1</v>
      </c>
      <c r="EP236" s="8">
        <f t="shared" si="131"/>
        <v>2</v>
      </c>
      <c r="EQ236" s="181">
        <f>IFERROR(VLOOKUP(I236,CEI_012018!$A$1:$U$509,9,FALSE),0)</f>
        <v>0</v>
      </c>
      <c r="ER236" s="181">
        <f>IFERROR(VLOOKUP(I236,CEI_022018!$A$1:$U$509,9,FALSE),0)</f>
        <v>0</v>
      </c>
      <c r="ES236" s="181">
        <f>IFERROR(VLOOKUP(I236,CEI_032018!$A$1:$U$509,9,FALSE),0)</f>
        <v>0</v>
      </c>
      <c r="ET236" s="181">
        <f>IFERROR(VLOOKUP(I236,CEI_042018!$A$1:$U$491,9,FALSE),0)</f>
        <v>0</v>
      </c>
      <c r="EU236" s="181">
        <f>IFERROR(VLOOKUP(I236,CEI_052018!$A$1:$U$489,9,FALSE),0)</f>
        <v>0</v>
      </c>
      <c r="EV236" s="181">
        <f>IFERROR(VLOOKUP(I236,CEI_062018!$A$1:$U$489,9,FALSE),0)</f>
        <v>0</v>
      </c>
      <c r="EW236" s="181">
        <f>IFERROR(VLOOKUP(I236,CEI_072018!$A$1:$U$489,9,FALSE),0)</f>
        <v>0</v>
      </c>
      <c r="EX236" s="181">
        <f>IFERROR(VLOOKUP(I236,CEI_082018!$A$1:$U$489,9,FALSE),0)</f>
        <v>0</v>
      </c>
      <c r="EY236" s="181">
        <f>IFERROR(VLOOKUP(I236,CEI_092018!$A$1:$U$489,9,FALSE),0)</f>
        <v>0</v>
      </c>
      <c r="EZ236" s="181"/>
      <c r="FA236" s="181"/>
      <c r="FB236" s="181"/>
      <c r="FC236" s="181">
        <f>IFERROR(VLOOKUP(I236,CEI_092018!$A$1:$U$489,12,FALSE),0)</f>
        <v>0</v>
      </c>
      <c r="FD236" s="181">
        <f t="shared" si="123"/>
        <v>0</v>
      </c>
      <c r="FE236" s="181">
        <f t="shared" si="124"/>
        <v>0</v>
      </c>
      <c r="FF236"/>
      <c r="FG236"/>
      <c r="FH236"/>
      <c r="FI236"/>
      <c r="FJ236"/>
      <c r="FK236"/>
      <c r="FL236"/>
      <c r="FM236"/>
      <c r="FN236"/>
      <c r="FO236"/>
      <c r="FP236"/>
      <c r="FQ236"/>
      <c r="FR236"/>
      <c r="FS236"/>
      <c r="FT236"/>
      <c r="FU236"/>
      <c r="FV236"/>
      <c r="FW236"/>
      <c r="FX236"/>
      <c r="FY236"/>
      <c r="FZ236"/>
      <c r="GA236"/>
      <c r="GB236"/>
      <c r="GC236"/>
    </row>
    <row r="237" spans="1:185" ht="12.75" customHeight="1" x14ac:dyDescent="0.25">
      <c r="A237" s="202"/>
      <c r="B237" s="22" t="s">
        <v>57</v>
      </c>
      <c r="C237" s="34" t="s">
        <v>44</v>
      </c>
      <c r="D237" s="22" t="s">
        <v>1059</v>
      </c>
      <c r="E237" s="25" t="s">
        <v>1063</v>
      </c>
      <c r="F237" s="25" t="s">
        <v>1059</v>
      </c>
      <c r="G237" s="25" t="s">
        <v>1063</v>
      </c>
      <c r="H237" s="22" t="s">
        <v>56</v>
      </c>
      <c r="I237" s="423" t="s">
        <v>1140</v>
      </c>
      <c r="J237" s="37" t="s">
        <v>1387</v>
      </c>
      <c r="K237" s="23" t="s">
        <v>1009</v>
      </c>
      <c r="L237" s="23" t="s">
        <v>1141</v>
      </c>
      <c r="M237" s="23" t="s">
        <v>1142</v>
      </c>
      <c r="N237" s="23" t="s">
        <v>59</v>
      </c>
      <c r="O237" s="2">
        <v>899.99990081787109</v>
      </c>
      <c r="P237" s="2">
        <v>0</v>
      </c>
      <c r="Q237" s="2">
        <v>0</v>
      </c>
      <c r="R237" s="2">
        <v>0</v>
      </c>
      <c r="S237" s="2">
        <v>8.2521972672111588E-5</v>
      </c>
      <c r="T237" s="116">
        <f t="shared" si="116"/>
        <v>899.99998333984377</v>
      </c>
      <c r="U237" s="324">
        <v>0</v>
      </c>
      <c r="V237" s="324">
        <v>0</v>
      </c>
      <c r="W237" s="324">
        <v>0</v>
      </c>
      <c r="X237" s="324">
        <v>0</v>
      </c>
      <c r="Y237" s="324">
        <v>0</v>
      </c>
      <c r="Z237" s="324">
        <v>0</v>
      </c>
      <c r="AA237" s="324">
        <v>0</v>
      </c>
      <c r="AB237" s="324">
        <v>0</v>
      </c>
      <c r="AC237" s="324">
        <v>0</v>
      </c>
      <c r="AD237" s="324">
        <v>0</v>
      </c>
      <c r="AE237" s="324">
        <v>0</v>
      </c>
      <c r="AF237" s="324">
        <v>0</v>
      </c>
      <c r="AG237" s="140">
        <f t="shared" si="117"/>
        <v>0</v>
      </c>
      <c r="AH237" s="324">
        <v>0</v>
      </c>
      <c r="AI237" s="324">
        <v>0</v>
      </c>
      <c r="AJ237" s="324">
        <v>0</v>
      </c>
      <c r="AK237" s="324">
        <v>0</v>
      </c>
      <c r="AL237" s="324">
        <v>0</v>
      </c>
      <c r="AM237" s="324">
        <v>0</v>
      </c>
      <c r="AN237" s="324">
        <v>0</v>
      </c>
      <c r="AO237" s="324">
        <v>0</v>
      </c>
      <c r="AP237" s="324">
        <v>0</v>
      </c>
      <c r="AQ237" s="324">
        <v>0</v>
      </c>
      <c r="AR237" s="324">
        <v>0</v>
      </c>
      <c r="AS237" s="324">
        <v>0</v>
      </c>
      <c r="AT237" s="140">
        <f t="shared" si="118"/>
        <v>0</v>
      </c>
      <c r="AU237" s="324">
        <v>0</v>
      </c>
      <c r="AV237" s="324">
        <v>0</v>
      </c>
      <c r="AW237" s="324">
        <v>0</v>
      </c>
      <c r="AX237" s="324">
        <v>0</v>
      </c>
      <c r="AY237" s="324">
        <v>0</v>
      </c>
      <c r="AZ237" s="324">
        <v>0</v>
      </c>
      <c r="BA237" s="324">
        <v>0</v>
      </c>
      <c r="BB237" s="324">
        <v>0</v>
      </c>
      <c r="BC237" s="324">
        <v>0</v>
      </c>
      <c r="BD237" s="324">
        <v>0</v>
      </c>
      <c r="BE237" s="324">
        <v>0</v>
      </c>
      <c r="BF237" s="324">
        <v>0</v>
      </c>
      <c r="BG237" s="140">
        <f t="shared" si="119"/>
        <v>0</v>
      </c>
      <c r="BH237" s="324">
        <v>0</v>
      </c>
      <c r="BI237" s="324">
        <v>0</v>
      </c>
      <c r="BJ237" s="324">
        <v>0</v>
      </c>
      <c r="BK237" s="324">
        <v>0</v>
      </c>
      <c r="BL237" s="324">
        <v>0</v>
      </c>
      <c r="BM237" s="324">
        <v>0</v>
      </c>
      <c r="BN237" s="324">
        <v>0</v>
      </c>
      <c r="BO237" s="324">
        <v>0</v>
      </c>
      <c r="BP237" s="324">
        <v>0</v>
      </c>
      <c r="BQ237" s="324">
        <v>0</v>
      </c>
      <c r="BR237" s="324">
        <v>0</v>
      </c>
      <c r="BS237" s="324">
        <v>0</v>
      </c>
      <c r="BT237" s="140">
        <f t="shared" si="120"/>
        <v>0</v>
      </c>
      <c r="BU237" s="114">
        <f t="shared" si="121"/>
        <v>899.99998333984377</v>
      </c>
      <c r="BV237" s="372">
        <v>1</v>
      </c>
      <c r="BW237" s="372">
        <v>1</v>
      </c>
      <c r="BX237" s="372">
        <v>1</v>
      </c>
      <c r="BY237" s="372">
        <v>1</v>
      </c>
      <c r="BZ237" s="436">
        <f t="shared" ref="BZ237:BZ240" si="132">IFERROR((EX237/T237%),0)</f>
        <v>99.999990830891761</v>
      </c>
      <c r="CA237" s="428">
        <f>IFERROR((FD237/T237%),0)</f>
        <v>90.408632044673681</v>
      </c>
      <c r="CB237" s="7" t="s">
        <v>1699</v>
      </c>
      <c r="CC237" s="3">
        <v>0</v>
      </c>
      <c r="CD237" s="3">
        <v>0</v>
      </c>
      <c r="CE237" s="3">
        <v>1</v>
      </c>
      <c r="CF237" s="3">
        <v>0</v>
      </c>
      <c r="CG237" s="3">
        <v>0</v>
      </c>
      <c r="CH237" s="3">
        <v>0</v>
      </c>
      <c r="CI237" s="3">
        <v>1</v>
      </c>
      <c r="CJ237" s="3">
        <v>0</v>
      </c>
      <c r="CK237" s="3">
        <v>0</v>
      </c>
      <c r="CL237" s="3">
        <v>0</v>
      </c>
      <c r="CM237" s="3">
        <v>0</v>
      </c>
      <c r="CN237" s="3">
        <v>0</v>
      </c>
      <c r="CO237" s="4">
        <f t="shared" si="126"/>
        <v>2</v>
      </c>
      <c r="CP237" s="3">
        <v>0</v>
      </c>
      <c r="CQ237" s="3">
        <v>0</v>
      </c>
      <c r="CR237" s="3">
        <v>0</v>
      </c>
      <c r="CS237" s="3">
        <v>0</v>
      </c>
      <c r="CT237" s="3">
        <v>0</v>
      </c>
      <c r="CU237" s="3">
        <v>0</v>
      </c>
      <c r="CV237" s="3">
        <v>0</v>
      </c>
      <c r="CW237" s="3">
        <v>0</v>
      </c>
      <c r="CX237" s="3">
        <v>0</v>
      </c>
      <c r="CY237" s="3">
        <v>0</v>
      </c>
      <c r="CZ237" s="3">
        <v>0</v>
      </c>
      <c r="DA237" s="3">
        <v>0</v>
      </c>
      <c r="DB237" s="4">
        <f t="shared" si="127"/>
        <v>0</v>
      </c>
      <c r="DC237" s="3">
        <v>0</v>
      </c>
      <c r="DD237" s="3">
        <v>0</v>
      </c>
      <c r="DE237" s="3">
        <v>0</v>
      </c>
      <c r="DF237" s="3">
        <v>0</v>
      </c>
      <c r="DG237" s="3">
        <v>0</v>
      </c>
      <c r="DH237" s="3">
        <v>0</v>
      </c>
      <c r="DI237" s="3">
        <v>0</v>
      </c>
      <c r="DJ237" s="3">
        <v>0</v>
      </c>
      <c r="DK237" s="3">
        <v>0</v>
      </c>
      <c r="DL237" s="3">
        <v>0</v>
      </c>
      <c r="DM237" s="3">
        <v>0</v>
      </c>
      <c r="DN237" s="3">
        <v>0</v>
      </c>
      <c r="DO237" s="4">
        <f t="shared" si="128"/>
        <v>0</v>
      </c>
      <c r="DP237" s="3">
        <v>0</v>
      </c>
      <c r="DQ237" s="3">
        <v>0</v>
      </c>
      <c r="DR237" s="3">
        <v>0</v>
      </c>
      <c r="DS237" s="3">
        <v>0</v>
      </c>
      <c r="DT237" s="3">
        <v>0</v>
      </c>
      <c r="DU237" s="3">
        <v>0</v>
      </c>
      <c r="DV237" s="3">
        <v>0</v>
      </c>
      <c r="DW237" s="3">
        <v>0</v>
      </c>
      <c r="DX237" s="3">
        <v>0</v>
      </c>
      <c r="DY237" s="3">
        <v>0</v>
      </c>
      <c r="DZ237" s="3">
        <v>0</v>
      </c>
      <c r="EA237" s="3">
        <v>0</v>
      </c>
      <c r="EB237" s="4">
        <f t="shared" si="129"/>
        <v>0</v>
      </c>
      <c r="EC237" s="3">
        <v>0</v>
      </c>
      <c r="ED237" s="3">
        <v>0</v>
      </c>
      <c r="EE237" s="3">
        <v>0</v>
      </c>
      <c r="EF237" s="3">
        <v>0</v>
      </c>
      <c r="EG237" s="3">
        <v>0</v>
      </c>
      <c r="EH237" s="3">
        <v>0</v>
      </c>
      <c r="EI237" s="3">
        <v>0</v>
      </c>
      <c r="EJ237" s="3">
        <v>0</v>
      </c>
      <c r="EK237" s="3">
        <v>0</v>
      </c>
      <c r="EL237" s="3">
        <v>0</v>
      </c>
      <c r="EM237" s="3">
        <v>0</v>
      </c>
      <c r="EN237" s="3">
        <v>0</v>
      </c>
      <c r="EO237" s="4">
        <f t="shared" si="130"/>
        <v>0</v>
      </c>
      <c r="EP237" s="8">
        <f t="shared" si="131"/>
        <v>2</v>
      </c>
      <c r="EQ237" s="181">
        <f>IFERROR(VLOOKUP(I237,CEI_012018!$A$1:$U$509,9,FALSE),0)</f>
        <v>0</v>
      </c>
      <c r="ER237" s="181">
        <f>IFERROR(VLOOKUP(I237,CEI_022018!$A$1:$U$509,9,FALSE),0)</f>
        <v>0</v>
      </c>
      <c r="ES237" s="181">
        <f>IFERROR(VLOOKUP(I237,CEI_032018!$A$1:$U$509,9,FALSE),0)</f>
        <v>813.67767333984375</v>
      </c>
      <c r="ET237" s="181">
        <f>IFERROR(VLOOKUP(I237,CEI_042018!$A$1:$U$491,9,FALSE),0)</f>
        <v>813.67767333984375</v>
      </c>
      <c r="EU237" s="181">
        <f>IFERROR(VLOOKUP(I237,CEI_052018!$A$1:$U$489,9,FALSE),0)</f>
        <v>813.67767333984375</v>
      </c>
      <c r="EV237" s="181">
        <f>IFERROR(VLOOKUP(I237,CEI_062018!$A$1:$U$489,9,FALSE),0)</f>
        <v>813.67767333984375</v>
      </c>
      <c r="EW237" s="181">
        <f>IFERROR(VLOOKUP(I237,CEI_072018!$A$1:$U$489,9,FALSE),0)</f>
        <v>813.67767333984375</v>
      </c>
      <c r="EX237" s="181">
        <f>IFERROR(VLOOKUP(I237,CEI_082018!$A$1:$U$489,9,FALSE),0)</f>
        <v>899.99990081787109</v>
      </c>
      <c r="EY237" s="181">
        <f>IFERROR(VLOOKUP(I237,CEI_092018!$A$1:$U$489,9,FALSE),0)</f>
        <v>899.99990081787109</v>
      </c>
      <c r="EZ237" s="181"/>
      <c r="FA237" s="181"/>
      <c r="FB237" s="181"/>
      <c r="FC237" s="181">
        <f>IFERROR(VLOOKUP(I237,CEI_092018!$A$1:$U$489,12,FALSE),0)</f>
        <v>0</v>
      </c>
      <c r="FD237" s="181">
        <f t="shared" si="123"/>
        <v>813.67767333984375</v>
      </c>
      <c r="FE237" s="181">
        <f t="shared" si="124"/>
        <v>86.322310000000016</v>
      </c>
      <c r="FF237"/>
      <c r="FG237"/>
      <c r="FH237"/>
      <c r="FI237"/>
      <c r="FJ237"/>
      <c r="FK237"/>
      <c r="FL237"/>
      <c r="FM237"/>
      <c r="FN237"/>
      <c r="FO237"/>
      <c r="FP237"/>
      <c r="FQ237"/>
      <c r="FR237"/>
      <c r="FS237"/>
      <c r="FT237"/>
      <c r="FU237"/>
      <c r="FV237"/>
      <c r="FW237"/>
      <c r="FX237"/>
      <c r="FY237"/>
      <c r="FZ237"/>
      <c r="GA237"/>
      <c r="GB237"/>
      <c r="GC237"/>
    </row>
    <row r="238" spans="1:185" ht="12.75" customHeight="1" x14ac:dyDescent="0.25">
      <c r="A238" s="202"/>
      <c r="B238" s="22" t="s">
        <v>57</v>
      </c>
      <c r="C238" s="34" t="s">
        <v>44</v>
      </c>
      <c r="D238" s="22" t="s">
        <v>1059</v>
      </c>
      <c r="E238" s="25" t="s">
        <v>1065</v>
      </c>
      <c r="F238" s="25" t="s">
        <v>1059</v>
      </c>
      <c r="G238" s="25" t="s">
        <v>1065</v>
      </c>
      <c r="H238" s="22" t="s">
        <v>56</v>
      </c>
      <c r="I238" s="423" t="s">
        <v>1368</v>
      </c>
      <c r="J238" s="37" t="s">
        <v>1370</v>
      </c>
      <c r="K238" s="23" t="s">
        <v>522</v>
      </c>
      <c r="L238" s="23" t="s">
        <v>523</v>
      </c>
      <c r="M238" s="23" t="s">
        <v>524</v>
      </c>
      <c r="N238" s="23" t="s">
        <v>1872</v>
      </c>
      <c r="O238" s="2">
        <v>73.648349761962891</v>
      </c>
      <c r="P238" s="2">
        <v>0</v>
      </c>
      <c r="Q238" s="2">
        <v>0</v>
      </c>
      <c r="R238" s="2">
        <v>0</v>
      </c>
      <c r="S238" s="2">
        <v>45.861249923706055</v>
      </c>
      <c r="T238" s="116">
        <f t="shared" si="116"/>
        <v>119.50959968566895</v>
      </c>
      <c r="U238" s="324">
        <v>0</v>
      </c>
      <c r="V238" s="324">
        <v>0</v>
      </c>
      <c r="W238" s="324">
        <v>100</v>
      </c>
      <c r="X238" s="324">
        <v>0</v>
      </c>
      <c r="Y238" s="324">
        <v>0</v>
      </c>
      <c r="Z238" s="324">
        <v>100</v>
      </c>
      <c r="AA238" s="324">
        <v>0</v>
      </c>
      <c r="AB238" s="324">
        <v>0</v>
      </c>
      <c r="AC238" s="324">
        <v>0</v>
      </c>
      <c r="AD238" s="324">
        <v>130</v>
      </c>
      <c r="AE238" s="324">
        <v>0</v>
      </c>
      <c r="AF238" s="324">
        <v>350</v>
      </c>
      <c r="AG238" s="140">
        <f t="shared" si="117"/>
        <v>680</v>
      </c>
      <c r="AH238" s="324">
        <v>50</v>
      </c>
      <c r="AI238" s="324">
        <v>50</v>
      </c>
      <c r="AJ238" s="324">
        <v>0</v>
      </c>
      <c r="AK238" s="324">
        <v>0</v>
      </c>
      <c r="AL238" s="324">
        <v>0</v>
      </c>
      <c r="AM238" s="324">
        <v>0</v>
      </c>
      <c r="AN238" s="324">
        <v>0</v>
      </c>
      <c r="AO238" s="324">
        <v>0</v>
      </c>
      <c r="AP238" s="324">
        <v>0</v>
      </c>
      <c r="AQ238" s="324">
        <v>0</v>
      </c>
      <c r="AR238" s="324">
        <v>0</v>
      </c>
      <c r="AS238" s="324">
        <v>0</v>
      </c>
      <c r="AT238" s="140">
        <f t="shared" si="118"/>
        <v>100</v>
      </c>
      <c r="AU238" s="324">
        <v>0</v>
      </c>
      <c r="AV238" s="324">
        <v>0</v>
      </c>
      <c r="AW238" s="324">
        <v>0</v>
      </c>
      <c r="AX238" s="324">
        <v>0</v>
      </c>
      <c r="AY238" s="324">
        <v>0</v>
      </c>
      <c r="AZ238" s="324">
        <v>0</v>
      </c>
      <c r="BA238" s="324">
        <v>0</v>
      </c>
      <c r="BB238" s="324">
        <v>0</v>
      </c>
      <c r="BC238" s="324">
        <v>0</v>
      </c>
      <c r="BD238" s="324">
        <v>0</v>
      </c>
      <c r="BE238" s="324">
        <v>0</v>
      </c>
      <c r="BF238" s="324">
        <v>0</v>
      </c>
      <c r="BG238" s="140">
        <f t="shared" si="119"/>
        <v>0</v>
      </c>
      <c r="BH238" s="324">
        <v>0</v>
      </c>
      <c r="BI238" s="324">
        <v>0</v>
      </c>
      <c r="BJ238" s="324">
        <v>0</v>
      </c>
      <c r="BK238" s="324">
        <v>0</v>
      </c>
      <c r="BL238" s="324">
        <v>0</v>
      </c>
      <c r="BM238" s="324">
        <v>0</v>
      </c>
      <c r="BN238" s="324">
        <v>0</v>
      </c>
      <c r="BO238" s="324">
        <v>0</v>
      </c>
      <c r="BP238" s="324">
        <v>0</v>
      </c>
      <c r="BQ238" s="324">
        <v>0</v>
      </c>
      <c r="BR238" s="324">
        <v>0</v>
      </c>
      <c r="BS238" s="324">
        <v>0</v>
      </c>
      <c r="BT238" s="140">
        <f t="shared" si="120"/>
        <v>0</v>
      </c>
      <c r="BU238" s="114">
        <f t="shared" si="121"/>
        <v>899.50959968566895</v>
      </c>
      <c r="BV238" s="372">
        <v>1</v>
      </c>
      <c r="BW238" s="372">
        <v>1</v>
      </c>
      <c r="BX238" s="372">
        <v>1</v>
      </c>
      <c r="BY238" s="372">
        <v>1</v>
      </c>
      <c r="BZ238" s="436">
        <f t="shared" si="132"/>
        <v>61.625467707758098</v>
      </c>
      <c r="CA238" s="428">
        <f>IFERROR((FD238/T238%),0)</f>
        <v>205.77183887585338</v>
      </c>
      <c r="CB238" s="7" t="s">
        <v>1699</v>
      </c>
      <c r="CC238" s="3">
        <v>0</v>
      </c>
      <c r="CD238" s="3">
        <v>0</v>
      </c>
      <c r="CE238" s="3">
        <v>0</v>
      </c>
      <c r="CF238" s="3">
        <v>0</v>
      </c>
      <c r="CG238" s="3">
        <v>0</v>
      </c>
      <c r="CH238" s="3">
        <v>0</v>
      </c>
      <c r="CI238" s="3">
        <v>0</v>
      </c>
      <c r="CJ238" s="3">
        <v>0</v>
      </c>
      <c r="CK238" s="3">
        <v>0</v>
      </c>
      <c r="CL238" s="3">
        <v>0</v>
      </c>
      <c r="CM238" s="3">
        <v>0</v>
      </c>
      <c r="CN238" s="3">
        <v>1</v>
      </c>
      <c r="CO238" s="4">
        <f t="shared" si="126"/>
        <v>1</v>
      </c>
      <c r="CP238" s="3">
        <v>0</v>
      </c>
      <c r="CQ238" s="3">
        <v>0</v>
      </c>
      <c r="CR238" s="3">
        <v>0</v>
      </c>
      <c r="CS238" s="3">
        <v>0</v>
      </c>
      <c r="CT238" s="3">
        <v>0</v>
      </c>
      <c r="CU238" s="3">
        <v>0</v>
      </c>
      <c r="CV238" s="3">
        <v>0</v>
      </c>
      <c r="CW238" s="3">
        <v>0</v>
      </c>
      <c r="CX238" s="3">
        <v>0</v>
      </c>
      <c r="CY238" s="3">
        <v>0</v>
      </c>
      <c r="CZ238" s="3">
        <v>0</v>
      </c>
      <c r="DA238" s="3">
        <v>1</v>
      </c>
      <c r="DB238" s="4">
        <f t="shared" si="127"/>
        <v>1</v>
      </c>
      <c r="DC238" s="3">
        <v>0</v>
      </c>
      <c r="DD238" s="3">
        <v>1</v>
      </c>
      <c r="DE238" s="3">
        <v>0</v>
      </c>
      <c r="DF238" s="3">
        <v>0</v>
      </c>
      <c r="DG238" s="3">
        <v>0</v>
      </c>
      <c r="DH238" s="3">
        <v>0</v>
      </c>
      <c r="DI238" s="3">
        <v>0</v>
      </c>
      <c r="DJ238" s="3">
        <v>0</v>
      </c>
      <c r="DK238" s="3">
        <v>0</v>
      </c>
      <c r="DL238" s="3">
        <v>0</v>
      </c>
      <c r="DM238" s="3">
        <v>0</v>
      </c>
      <c r="DN238" s="3">
        <v>0</v>
      </c>
      <c r="DO238" s="4">
        <f t="shared" si="128"/>
        <v>1</v>
      </c>
      <c r="DP238" s="3">
        <v>0</v>
      </c>
      <c r="DQ238" s="3">
        <v>0</v>
      </c>
      <c r="DR238" s="3">
        <v>0</v>
      </c>
      <c r="DS238" s="3">
        <v>0</v>
      </c>
      <c r="DT238" s="3">
        <v>0</v>
      </c>
      <c r="DU238" s="3">
        <v>0</v>
      </c>
      <c r="DV238" s="3">
        <v>0</v>
      </c>
      <c r="DW238" s="3">
        <v>0</v>
      </c>
      <c r="DX238" s="3">
        <v>0</v>
      </c>
      <c r="DY238" s="3">
        <v>0</v>
      </c>
      <c r="DZ238" s="3">
        <v>0</v>
      </c>
      <c r="EA238" s="3">
        <v>0</v>
      </c>
      <c r="EB238" s="4">
        <f t="shared" si="129"/>
        <v>0</v>
      </c>
      <c r="EC238" s="3">
        <v>0</v>
      </c>
      <c r="ED238" s="3">
        <v>0</v>
      </c>
      <c r="EE238" s="3">
        <v>0</v>
      </c>
      <c r="EF238" s="3">
        <v>0</v>
      </c>
      <c r="EG238" s="3">
        <v>0</v>
      </c>
      <c r="EH238" s="3">
        <v>0</v>
      </c>
      <c r="EI238" s="3">
        <v>0</v>
      </c>
      <c r="EJ238" s="3">
        <v>0</v>
      </c>
      <c r="EK238" s="3">
        <v>0</v>
      </c>
      <c r="EL238" s="3">
        <v>0</v>
      </c>
      <c r="EM238" s="3">
        <v>0</v>
      </c>
      <c r="EN238" s="3">
        <v>0</v>
      </c>
      <c r="EO238" s="4">
        <f t="shared" si="130"/>
        <v>0</v>
      </c>
      <c r="EP238" s="8">
        <f t="shared" si="131"/>
        <v>3</v>
      </c>
      <c r="EQ238" s="181">
        <f>IFERROR(VLOOKUP(I238,CEI_012018!$A$1:$U$509,9,FALSE),0)</f>
        <v>0</v>
      </c>
      <c r="ER238" s="181">
        <f>IFERROR(VLOOKUP(I238,CEI_022018!$A$1:$U$509,9,FALSE),0)</f>
        <v>22.68235969543457</v>
      </c>
      <c r="ES238" s="181">
        <f>IFERROR(VLOOKUP(I238,CEI_032018!$A$1:$U$509,9,FALSE),0)</f>
        <v>22.68235969543457</v>
      </c>
      <c r="ET238" s="181">
        <f>IFERROR(VLOOKUP(I238,CEI_042018!$A$1:$U$491,9,FALSE),0)</f>
        <v>42.032360076904297</v>
      </c>
      <c r="EU238" s="181">
        <f>IFERROR(VLOOKUP(I238,CEI_052018!$A$1:$U$489,9,FALSE),0)</f>
        <v>69.509599685668945</v>
      </c>
      <c r="EV238" s="181">
        <f>IFERROR(VLOOKUP(I238,CEI_062018!$A$1:$U$489,9,FALSE),0)</f>
        <v>69.509599685668945</v>
      </c>
      <c r="EW238" s="181">
        <f>IFERROR(VLOOKUP(I238,CEI_072018!$A$1:$U$489,9,FALSE),0)</f>
        <v>69.509599685668945</v>
      </c>
      <c r="EX238" s="181">
        <f>IFERROR(VLOOKUP(I238,CEI_082018!$A$1:$U$489,9,FALSE),0)</f>
        <v>73.648349761962891</v>
      </c>
      <c r="EY238" s="181">
        <f>IFERROR(VLOOKUP(I238,CEI_092018!$A$1:$U$489,9,FALSE),0)</f>
        <v>73.648349761962891</v>
      </c>
      <c r="EZ238" s="181"/>
      <c r="FA238" s="181"/>
      <c r="FB238" s="181"/>
      <c r="FC238" s="181">
        <f>IFERROR(VLOOKUP(I238,CEI_092018!$A$1:$U$489,12,FALSE),0)</f>
        <v>176.40750122070312</v>
      </c>
      <c r="FD238" s="181">
        <f t="shared" si="123"/>
        <v>245.91710090637207</v>
      </c>
      <c r="FE238" s="181">
        <f t="shared" si="124"/>
        <v>-126.40750122070312</v>
      </c>
      <c r="FF238"/>
      <c r="FG238"/>
      <c r="FH238"/>
      <c r="FI238"/>
      <c r="FJ238"/>
      <c r="FK238"/>
      <c r="FL238"/>
      <c r="FM238"/>
      <c r="FN238"/>
      <c r="FO238"/>
      <c r="FP238"/>
      <c r="FQ238"/>
      <c r="FR238"/>
      <c r="FS238"/>
      <c r="FT238"/>
      <c r="FU238"/>
      <c r="FV238"/>
      <c r="FW238"/>
      <c r="FX238"/>
      <c r="FY238"/>
      <c r="FZ238"/>
      <c r="GA238"/>
      <c r="GB238"/>
      <c r="GC238"/>
    </row>
    <row r="239" spans="1:185" ht="12.75" customHeight="1" x14ac:dyDescent="0.25">
      <c r="A239" s="202"/>
      <c r="B239" s="22" t="s">
        <v>57</v>
      </c>
      <c r="C239" s="34" t="s">
        <v>44</v>
      </c>
      <c r="D239" s="22" t="s">
        <v>1059</v>
      </c>
      <c r="E239" s="25" t="s">
        <v>1063</v>
      </c>
      <c r="F239" s="25" t="s">
        <v>1059</v>
      </c>
      <c r="G239" s="25" t="s">
        <v>1063</v>
      </c>
      <c r="H239" s="22" t="s">
        <v>56</v>
      </c>
      <c r="I239" s="423" t="s">
        <v>1143</v>
      </c>
      <c r="J239" s="37" t="s">
        <v>1391</v>
      </c>
      <c r="K239" s="23" t="s">
        <v>771</v>
      </c>
      <c r="L239" s="23" t="s">
        <v>772</v>
      </c>
      <c r="M239" s="23" t="s">
        <v>773</v>
      </c>
      <c r="N239" s="23" t="s">
        <v>1864</v>
      </c>
      <c r="O239" s="2">
        <v>15.5</v>
      </c>
      <c r="P239" s="2">
        <v>0</v>
      </c>
      <c r="Q239" s="2">
        <v>0</v>
      </c>
      <c r="R239" s="2">
        <v>0</v>
      </c>
      <c r="S239" s="2">
        <v>0.5</v>
      </c>
      <c r="T239" s="116">
        <f t="shared" si="116"/>
        <v>16</v>
      </c>
      <c r="U239" s="324">
        <v>0</v>
      </c>
      <c r="V239" s="324">
        <v>0</v>
      </c>
      <c r="W239" s="324">
        <v>0</v>
      </c>
      <c r="X239" s="324">
        <v>0</v>
      </c>
      <c r="Y239" s="324">
        <v>0</v>
      </c>
      <c r="Z239" s="324">
        <v>50</v>
      </c>
      <c r="AA239" s="324">
        <v>0</v>
      </c>
      <c r="AB239" s="324">
        <v>0</v>
      </c>
      <c r="AC239" s="324">
        <v>0</v>
      </c>
      <c r="AD239" s="324">
        <v>0</v>
      </c>
      <c r="AE239" s="324">
        <v>0</v>
      </c>
      <c r="AF239" s="324">
        <v>70</v>
      </c>
      <c r="AG239" s="140">
        <f t="shared" si="117"/>
        <v>120</v>
      </c>
      <c r="AH239" s="324">
        <v>0</v>
      </c>
      <c r="AI239" s="324">
        <v>25</v>
      </c>
      <c r="AJ239" s="324">
        <v>25</v>
      </c>
      <c r="AK239" s="324">
        <v>0</v>
      </c>
      <c r="AL239" s="324">
        <v>50</v>
      </c>
      <c r="AM239" s="324">
        <v>50</v>
      </c>
      <c r="AN239" s="324">
        <v>0</v>
      </c>
      <c r="AO239" s="324">
        <v>25</v>
      </c>
      <c r="AP239" s="324">
        <v>0</v>
      </c>
      <c r="AQ239" s="324">
        <v>25</v>
      </c>
      <c r="AR239" s="324">
        <v>0</v>
      </c>
      <c r="AS239" s="324">
        <v>40</v>
      </c>
      <c r="AT239" s="140">
        <f t="shared" si="118"/>
        <v>240</v>
      </c>
      <c r="AU239" s="324">
        <v>0</v>
      </c>
      <c r="AV239" s="324">
        <v>0</v>
      </c>
      <c r="AW239" s="324">
        <v>60</v>
      </c>
      <c r="AX239" s="324">
        <v>0</v>
      </c>
      <c r="AY239" s="324">
        <v>0</v>
      </c>
      <c r="AZ239" s="324">
        <v>60</v>
      </c>
      <c r="BA239" s="324">
        <v>0</v>
      </c>
      <c r="BB239" s="324">
        <v>60</v>
      </c>
      <c r="BC239" s="324">
        <v>0</v>
      </c>
      <c r="BD239" s="324">
        <v>0</v>
      </c>
      <c r="BE239" s="324">
        <v>0</v>
      </c>
      <c r="BF239" s="324">
        <v>60</v>
      </c>
      <c r="BG239" s="140">
        <f t="shared" si="119"/>
        <v>240</v>
      </c>
      <c r="BH239" s="324">
        <v>0</v>
      </c>
      <c r="BI239" s="324">
        <v>0</v>
      </c>
      <c r="BJ239" s="324">
        <v>255</v>
      </c>
      <c r="BK239" s="324">
        <v>0</v>
      </c>
      <c r="BL239" s="324">
        <v>0</v>
      </c>
      <c r="BM239" s="324">
        <v>0</v>
      </c>
      <c r="BN239" s="324">
        <v>0</v>
      </c>
      <c r="BO239" s="324">
        <v>0</v>
      </c>
      <c r="BP239" s="324">
        <v>0</v>
      </c>
      <c r="BQ239" s="324">
        <v>0</v>
      </c>
      <c r="BR239" s="324">
        <v>0</v>
      </c>
      <c r="BS239" s="324">
        <v>0</v>
      </c>
      <c r="BT239" s="140">
        <f t="shared" si="120"/>
        <v>255</v>
      </c>
      <c r="BU239" s="114">
        <f t="shared" si="121"/>
        <v>871</v>
      </c>
      <c r="BV239" s="372">
        <v>1</v>
      </c>
      <c r="BW239" s="372">
        <v>1</v>
      </c>
      <c r="BX239" s="372">
        <v>1</v>
      </c>
      <c r="BY239" s="372">
        <v>1</v>
      </c>
      <c r="BZ239" s="436">
        <f t="shared" si="132"/>
        <v>96.875</v>
      </c>
      <c r="CA239" s="428">
        <f>IFERROR((FD239/T239%),0)</f>
        <v>2499.3749618530273</v>
      </c>
      <c r="CB239" s="7" t="s">
        <v>1699</v>
      </c>
      <c r="CC239" s="3">
        <v>0</v>
      </c>
      <c r="CD239" s="3">
        <v>0</v>
      </c>
      <c r="CE239" s="3">
        <v>0</v>
      </c>
      <c r="CF239" s="3">
        <v>0</v>
      </c>
      <c r="CG239" s="3">
        <v>0</v>
      </c>
      <c r="CH239" s="3">
        <v>0</v>
      </c>
      <c r="CI239" s="3">
        <v>1</v>
      </c>
      <c r="CJ239" s="3">
        <v>0</v>
      </c>
      <c r="CK239" s="3">
        <v>0</v>
      </c>
      <c r="CL239" s="3">
        <v>0</v>
      </c>
      <c r="CM239" s="3">
        <v>0</v>
      </c>
      <c r="CN239" s="3">
        <v>0</v>
      </c>
      <c r="CO239" s="4">
        <f t="shared" si="126"/>
        <v>1</v>
      </c>
      <c r="CP239" s="3">
        <v>0</v>
      </c>
      <c r="CQ239" s="3">
        <v>0</v>
      </c>
      <c r="CR239" s="3">
        <v>0</v>
      </c>
      <c r="CS239" s="3">
        <v>0</v>
      </c>
      <c r="CT239" s="3">
        <v>0</v>
      </c>
      <c r="CU239" s="3">
        <v>0</v>
      </c>
      <c r="CV239" s="3">
        <v>0</v>
      </c>
      <c r="CW239" s="3">
        <v>0</v>
      </c>
      <c r="CX239" s="3">
        <v>0</v>
      </c>
      <c r="CY239" s="3">
        <v>0</v>
      </c>
      <c r="CZ239" s="3">
        <v>0</v>
      </c>
      <c r="DA239" s="3">
        <v>1</v>
      </c>
      <c r="DB239" s="4">
        <f t="shared" si="127"/>
        <v>1</v>
      </c>
      <c r="DC239" s="3">
        <v>0</v>
      </c>
      <c r="DD239" s="3">
        <v>0</v>
      </c>
      <c r="DE239" s="3">
        <v>1</v>
      </c>
      <c r="DF239" s="3">
        <v>0</v>
      </c>
      <c r="DG239" s="3">
        <v>0</v>
      </c>
      <c r="DH239" s="3">
        <v>0</v>
      </c>
      <c r="DI239" s="3">
        <v>0</v>
      </c>
      <c r="DJ239" s="3">
        <v>0</v>
      </c>
      <c r="DK239" s="3">
        <v>0</v>
      </c>
      <c r="DL239" s="3">
        <v>0</v>
      </c>
      <c r="DM239" s="3">
        <v>0</v>
      </c>
      <c r="DN239" s="3">
        <v>0</v>
      </c>
      <c r="DO239" s="4">
        <f t="shared" si="128"/>
        <v>1</v>
      </c>
      <c r="DP239" s="3">
        <v>0</v>
      </c>
      <c r="DQ239" s="3">
        <v>0</v>
      </c>
      <c r="DR239" s="3">
        <v>1</v>
      </c>
      <c r="DS239" s="3">
        <v>0</v>
      </c>
      <c r="DT239" s="3">
        <v>0</v>
      </c>
      <c r="DU239" s="3">
        <v>0</v>
      </c>
      <c r="DV239" s="3">
        <v>0</v>
      </c>
      <c r="DW239" s="3">
        <v>0</v>
      </c>
      <c r="DX239" s="3">
        <v>0</v>
      </c>
      <c r="DY239" s="3">
        <v>0</v>
      </c>
      <c r="DZ239" s="3">
        <v>0</v>
      </c>
      <c r="EA239" s="3">
        <v>0</v>
      </c>
      <c r="EB239" s="4">
        <f t="shared" si="129"/>
        <v>1</v>
      </c>
      <c r="EC239" s="3">
        <v>0</v>
      </c>
      <c r="ED239" s="3">
        <v>0</v>
      </c>
      <c r="EE239" s="3">
        <v>1</v>
      </c>
      <c r="EF239" s="3">
        <v>0</v>
      </c>
      <c r="EG239" s="3">
        <v>0</v>
      </c>
      <c r="EH239" s="3">
        <v>0</v>
      </c>
      <c r="EI239" s="3">
        <v>0</v>
      </c>
      <c r="EJ239" s="3">
        <v>0</v>
      </c>
      <c r="EK239" s="3">
        <v>0</v>
      </c>
      <c r="EL239" s="3">
        <v>0</v>
      </c>
      <c r="EM239" s="3">
        <v>0</v>
      </c>
      <c r="EN239" s="3">
        <v>0</v>
      </c>
      <c r="EO239" s="4">
        <f t="shared" si="130"/>
        <v>1</v>
      </c>
      <c r="EP239" s="8">
        <f t="shared" si="131"/>
        <v>5</v>
      </c>
      <c r="EQ239" s="181">
        <f>IFERROR(VLOOKUP(I239,CEI_012018!$A$1:$U$509,9,FALSE),0)</f>
        <v>0</v>
      </c>
      <c r="ER239" s="181">
        <f>IFERROR(VLOOKUP(I239,CEI_022018!$A$1:$U$509,9,FALSE),0)</f>
        <v>0</v>
      </c>
      <c r="ES239" s="181">
        <f>IFERROR(VLOOKUP(I239,CEI_032018!$A$1:$U$509,9,FALSE),0)</f>
        <v>0</v>
      </c>
      <c r="ET239" s="181">
        <f>IFERROR(VLOOKUP(I239,CEI_042018!$A$1:$U$491,9,FALSE),0)</f>
        <v>0</v>
      </c>
      <c r="EU239" s="181">
        <f>IFERROR(VLOOKUP(I239,CEI_052018!$A$1:$U$489,9,FALSE),0)</f>
        <v>0</v>
      </c>
      <c r="EV239" s="181">
        <f>IFERROR(VLOOKUP(I239,CEI_062018!$A$1:$U$489,9,FALSE),0)</f>
        <v>0</v>
      </c>
      <c r="EW239" s="181">
        <f>IFERROR(VLOOKUP(I239,CEI_072018!$A$1:$U$489,9,FALSE),0)</f>
        <v>15.5</v>
      </c>
      <c r="EX239" s="181">
        <f>IFERROR(VLOOKUP(I239,CEI_082018!$A$1:$U$489,9,FALSE),0)</f>
        <v>15.5</v>
      </c>
      <c r="EY239" s="181">
        <f>IFERROR(VLOOKUP(I239,CEI_092018!$A$1:$U$489,9,FALSE),0)</f>
        <v>15.5</v>
      </c>
      <c r="EZ239" s="181"/>
      <c r="FA239" s="181"/>
      <c r="FB239" s="181"/>
      <c r="FC239" s="181">
        <f>IFERROR(VLOOKUP(I239,CEI_092018!$A$1:$U$489,12,FALSE),0)</f>
        <v>384.39999389648437</v>
      </c>
      <c r="FD239" s="181">
        <f t="shared" si="123"/>
        <v>399.89999389648437</v>
      </c>
      <c r="FE239" s="181">
        <f t="shared" si="124"/>
        <v>-383.89999389648437</v>
      </c>
      <c r="FF239"/>
      <c r="FG239"/>
      <c r="FH239"/>
      <c r="FI239"/>
      <c r="FJ239"/>
      <c r="FK239"/>
      <c r="FL239"/>
      <c r="FM239"/>
      <c r="FN239"/>
      <c r="FO239"/>
      <c r="FP239"/>
      <c r="FQ239"/>
      <c r="FR239"/>
      <c r="FS239"/>
      <c r="FT239"/>
      <c r="FU239"/>
      <c r="FV239"/>
      <c r="FW239"/>
      <c r="FX239"/>
      <c r="FY239"/>
      <c r="FZ239"/>
      <c r="GA239"/>
      <c r="GB239"/>
      <c r="GC239"/>
    </row>
    <row r="240" spans="1:185" ht="12.75" customHeight="1" x14ac:dyDescent="0.25">
      <c r="A240" s="202"/>
      <c r="B240" s="22" t="s">
        <v>57</v>
      </c>
      <c r="C240" s="34" t="s">
        <v>44</v>
      </c>
      <c r="D240" s="22" t="s">
        <v>1059</v>
      </c>
      <c r="E240" s="25" t="s">
        <v>1063</v>
      </c>
      <c r="F240" s="25" t="s">
        <v>1059</v>
      </c>
      <c r="G240" s="25" t="s">
        <v>1063</v>
      </c>
      <c r="H240" s="22" t="s">
        <v>56</v>
      </c>
      <c r="I240" s="423" t="s">
        <v>1479</v>
      </c>
      <c r="J240" s="37" t="s">
        <v>1481</v>
      </c>
      <c r="K240" s="23" t="s">
        <v>1480</v>
      </c>
      <c r="L240" s="23" t="s">
        <v>1577</v>
      </c>
      <c r="M240" s="23" t="s">
        <v>1578</v>
      </c>
      <c r="N240" s="23" t="s">
        <v>1873</v>
      </c>
      <c r="O240" s="2">
        <v>25.882419586181641</v>
      </c>
      <c r="P240" s="2">
        <v>23.5</v>
      </c>
      <c r="Q240" s="2">
        <v>23.5</v>
      </c>
      <c r="R240" s="2">
        <v>23.5</v>
      </c>
      <c r="S240" s="2">
        <v>44.617580413818359</v>
      </c>
      <c r="T240" s="116">
        <f t="shared" si="116"/>
        <v>141</v>
      </c>
      <c r="U240" s="324">
        <v>23.58</v>
      </c>
      <c r="V240" s="324">
        <v>23.58</v>
      </c>
      <c r="W240" s="324">
        <v>23.58</v>
      </c>
      <c r="X240" s="324">
        <v>23.58</v>
      </c>
      <c r="Y240" s="324">
        <v>23.58</v>
      </c>
      <c r="Z240" s="324">
        <v>23.58</v>
      </c>
      <c r="AA240" s="324">
        <v>23.58</v>
      </c>
      <c r="AB240" s="324">
        <v>23.58</v>
      </c>
      <c r="AC240" s="324">
        <v>23.58</v>
      </c>
      <c r="AD240" s="324">
        <v>23.58</v>
      </c>
      <c r="AE240" s="324">
        <v>23.58</v>
      </c>
      <c r="AF240" s="324">
        <v>23.58</v>
      </c>
      <c r="AG240" s="140">
        <f t="shared" si="117"/>
        <v>282.95999999999992</v>
      </c>
      <c r="AH240" s="324">
        <v>23.58</v>
      </c>
      <c r="AI240" s="324">
        <v>23.58</v>
      </c>
      <c r="AJ240" s="324">
        <v>23.58</v>
      </c>
      <c r="AK240" s="324">
        <v>23.58</v>
      </c>
      <c r="AL240" s="324">
        <v>23.58</v>
      </c>
      <c r="AM240" s="324">
        <v>23.58</v>
      </c>
      <c r="AN240" s="324">
        <v>23.58</v>
      </c>
      <c r="AO240" s="324">
        <v>23.58</v>
      </c>
      <c r="AP240" s="324">
        <v>23.58</v>
      </c>
      <c r="AQ240" s="324">
        <v>23.58</v>
      </c>
      <c r="AR240" s="324">
        <v>23.58</v>
      </c>
      <c r="AS240" s="324">
        <v>23.58</v>
      </c>
      <c r="AT240" s="140">
        <f t="shared" si="118"/>
        <v>282.95999999999992</v>
      </c>
      <c r="AU240" s="324">
        <v>23.5</v>
      </c>
      <c r="AV240" s="324">
        <v>23.5</v>
      </c>
      <c r="AW240" s="324">
        <v>23.5</v>
      </c>
      <c r="AX240" s="324">
        <v>23.5</v>
      </c>
      <c r="AY240" s="324">
        <v>23.5</v>
      </c>
      <c r="AZ240" s="324">
        <v>23.5</v>
      </c>
      <c r="BA240" s="324">
        <v>0</v>
      </c>
      <c r="BB240" s="324">
        <v>0</v>
      </c>
      <c r="BC240" s="324">
        <v>0</v>
      </c>
      <c r="BD240" s="324">
        <v>0</v>
      </c>
      <c r="BE240" s="324">
        <v>0</v>
      </c>
      <c r="BF240" s="324">
        <v>0</v>
      </c>
      <c r="BG240" s="140">
        <f t="shared" si="119"/>
        <v>141</v>
      </c>
      <c r="BH240" s="324">
        <v>0</v>
      </c>
      <c r="BI240" s="324">
        <v>0</v>
      </c>
      <c r="BJ240" s="324">
        <v>0</v>
      </c>
      <c r="BK240" s="324">
        <v>0</v>
      </c>
      <c r="BL240" s="324">
        <v>0</v>
      </c>
      <c r="BM240" s="324">
        <v>0</v>
      </c>
      <c r="BN240" s="324">
        <v>0</v>
      </c>
      <c r="BO240" s="324">
        <v>0</v>
      </c>
      <c r="BP240" s="324">
        <v>0</v>
      </c>
      <c r="BQ240" s="324">
        <v>0</v>
      </c>
      <c r="BR240" s="324">
        <v>0</v>
      </c>
      <c r="BS240" s="324">
        <v>0</v>
      </c>
      <c r="BT240" s="140">
        <f t="shared" si="120"/>
        <v>0</v>
      </c>
      <c r="BU240" s="114">
        <f t="shared" si="121"/>
        <v>847.91999999999985</v>
      </c>
      <c r="BV240" s="372">
        <v>1</v>
      </c>
      <c r="BW240" s="372">
        <v>1</v>
      </c>
      <c r="BX240" s="372">
        <v>1</v>
      </c>
      <c r="BY240" s="372">
        <v>1</v>
      </c>
      <c r="BZ240" s="436">
        <f t="shared" si="132"/>
        <v>18.356325947646553</v>
      </c>
      <c r="CA240" s="428">
        <f>IFERROR((FD240/T240%),0)</f>
        <v>81.802184192846852</v>
      </c>
      <c r="CB240" s="7" t="s">
        <v>1700</v>
      </c>
      <c r="CC240" s="3">
        <v>0</v>
      </c>
      <c r="CD240" s="3">
        <v>0</v>
      </c>
      <c r="CE240" s="3">
        <v>0</v>
      </c>
      <c r="CF240" s="3">
        <v>0</v>
      </c>
      <c r="CG240" s="3">
        <v>0</v>
      </c>
      <c r="CH240" s="3">
        <v>0</v>
      </c>
      <c r="CI240" s="3">
        <v>54.90654205607477</v>
      </c>
      <c r="CJ240" s="3">
        <v>54.90654205607477</v>
      </c>
      <c r="CK240" s="3">
        <v>54.90654205607477</v>
      </c>
      <c r="CL240" s="3">
        <v>54.90654205607477</v>
      </c>
      <c r="CM240" s="3">
        <v>54.90654205607477</v>
      </c>
      <c r="CN240" s="3">
        <v>54.90654205607477</v>
      </c>
      <c r="CO240" s="4">
        <f t="shared" si="126"/>
        <v>329.43925233644865</v>
      </c>
      <c r="CP240" s="3">
        <v>55.09345794392523</v>
      </c>
      <c r="CQ240" s="3">
        <v>55.09345794392523</v>
      </c>
      <c r="CR240" s="3">
        <v>55.09345794392523</v>
      </c>
      <c r="CS240" s="3">
        <v>55.09345794392523</v>
      </c>
      <c r="CT240" s="3">
        <v>55.09345794392523</v>
      </c>
      <c r="CU240" s="3">
        <v>55.09345794392523</v>
      </c>
      <c r="CV240" s="3">
        <v>55.09345794392523</v>
      </c>
      <c r="CW240" s="3">
        <v>55.09345794392523</v>
      </c>
      <c r="CX240" s="3">
        <v>55.09345794392523</v>
      </c>
      <c r="CY240" s="3">
        <v>55.09345794392523</v>
      </c>
      <c r="CZ240" s="3">
        <v>55.09345794392523</v>
      </c>
      <c r="DA240" s="3">
        <v>55.09345794392523</v>
      </c>
      <c r="DB240" s="4">
        <f t="shared" si="127"/>
        <v>661.12149532710282</v>
      </c>
      <c r="DC240" s="3">
        <v>55.09345794392523</v>
      </c>
      <c r="DD240" s="3">
        <v>55.09345794392523</v>
      </c>
      <c r="DE240" s="3">
        <v>55.09345794392523</v>
      </c>
      <c r="DF240" s="3">
        <v>55.09345794392523</v>
      </c>
      <c r="DG240" s="3">
        <v>55.09345794392523</v>
      </c>
      <c r="DH240" s="3">
        <v>55.09345794392523</v>
      </c>
      <c r="DI240" s="3">
        <v>55.09345794392523</v>
      </c>
      <c r="DJ240" s="3">
        <v>55.09345794392523</v>
      </c>
      <c r="DK240" s="3">
        <v>55.09345794392523</v>
      </c>
      <c r="DL240" s="3">
        <v>55.09345794392523</v>
      </c>
      <c r="DM240" s="3">
        <v>55.09345794392523</v>
      </c>
      <c r="DN240" s="3">
        <v>55.09345794392523</v>
      </c>
      <c r="DO240" s="4">
        <f t="shared" si="128"/>
        <v>661.12149532710282</v>
      </c>
      <c r="DP240" s="3">
        <v>54.90654205607477</v>
      </c>
      <c r="DQ240" s="3">
        <v>54.90654205607477</v>
      </c>
      <c r="DR240" s="3">
        <v>54.90654205607477</v>
      </c>
      <c r="DS240" s="3">
        <v>54.90654205607477</v>
      </c>
      <c r="DT240" s="3">
        <v>54.90654205607477</v>
      </c>
      <c r="DU240" s="3">
        <v>54.90654205607477</v>
      </c>
      <c r="DV240" s="3">
        <v>0</v>
      </c>
      <c r="DW240" s="3">
        <v>0</v>
      </c>
      <c r="DX240" s="3">
        <v>0</v>
      </c>
      <c r="DY240" s="3">
        <v>0</v>
      </c>
      <c r="DZ240" s="3">
        <v>0</v>
      </c>
      <c r="EA240" s="3">
        <v>0</v>
      </c>
      <c r="EB240" s="4">
        <f t="shared" si="129"/>
        <v>329.43925233644865</v>
      </c>
      <c r="EC240" s="3">
        <v>0</v>
      </c>
      <c r="ED240" s="3">
        <v>0</v>
      </c>
      <c r="EE240" s="3">
        <v>0</v>
      </c>
      <c r="EF240" s="3">
        <v>0</v>
      </c>
      <c r="EG240" s="3">
        <v>0</v>
      </c>
      <c r="EH240" s="3">
        <v>0</v>
      </c>
      <c r="EI240" s="3">
        <v>0</v>
      </c>
      <c r="EJ240" s="3">
        <v>0</v>
      </c>
      <c r="EK240" s="3">
        <v>0</v>
      </c>
      <c r="EL240" s="3">
        <v>0</v>
      </c>
      <c r="EM240" s="3">
        <v>0</v>
      </c>
      <c r="EN240" s="3">
        <v>0</v>
      </c>
      <c r="EO240" s="4">
        <f t="shared" si="130"/>
        <v>0</v>
      </c>
      <c r="EP240" s="8">
        <f t="shared" si="131"/>
        <v>1981.1214953271028</v>
      </c>
      <c r="EQ240" s="181">
        <f>IFERROR(VLOOKUP(I240,CEI_012018!$A$1:$U$509,9,FALSE),0)</f>
        <v>0</v>
      </c>
      <c r="ER240" s="181">
        <f>IFERROR(VLOOKUP(I240,CEI_022018!$A$1:$U$509,9,FALSE),0)</f>
        <v>0</v>
      </c>
      <c r="ES240" s="181">
        <f>IFERROR(VLOOKUP(I240,CEI_032018!$A$1:$U$509,9,FALSE),0)</f>
        <v>0</v>
      </c>
      <c r="ET240" s="181">
        <f>IFERROR(VLOOKUP(I240,CEI_042018!$A$1:$U$491,9,FALSE),0)</f>
        <v>0</v>
      </c>
      <c r="EU240" s="181">
        <f>IFERROR(VLOOKUP(I240,CEI_052018!$A$1:$U$489,9,FALSE),0)</f>
        <v>0</v>
      </c>
      <c r="EV240" s="181">
        <f>IFERROR(VLOOKUP(I240,CEI_062018!$A$1:$U$489,9,FALSE),0)</f>
        <v>0</v>
      </c>
      <c r="EW240" s="181">
        <f>IFERROR(VLOOKUP(I240,CEI_072018!$A$1:$U$489,9,FALSE),0)</f>
        <v>0</v>
      </c>
      <c r="EX240" s="181">
        <f>IFERROR(VLOOKUP(I240,CEI_082018!$A$1:$U$489,9,FALSE),0)</f>
        <v>25.882419586181641</v>
      </c>
      <c r="EY240" s="181">
        <f>IFERROR(VLOOKUP(I240,CEI_092018!$A$1:$U$489,9,FALSE),0)</f>
        <v>25.882419586181641</v>
      </c>
      <c r="EZ240" s="181"/>
      <c r="FA240" s="181"/>
      <c r="FB240" s="181"/>
      <c r="FC240" s="181">
        <f>IFERROR(VLOOKUP(I240,CEI_092018!$A$1:$U$489,12,FALSE),0)</f>
        <v>115.34107971191406</v>
      </c>
      <c r="FD240" s="181">
        <f t="shared" ref="FD240:FD271" si="133">EW240+FC240</f>
        <v>115.34107971191406</v>
      </c>
      <c r="FE240" s="181">
        <f t="shared" ref="FE240:FE271" si="134">SUM(T240-FD240)</f>
        <v>25.658920288085938</v>
      </c>
      <c r="FF240"/>
      <c r="FG240"/>
      <c r="FH240"/>
      <c r="FI240"/>
      <c r="FJ240"/>
      <c r="FK240"/>
      <c r="FL240"/>
      <c r="FM240"/>
      <c r="FN240"/>
      <c r="FO240"/>
      <c r="FP240"/>
      <c r="FQ240"/>
      <c r="FR240"/>
      <c r="FS240"/>
      <c r="FT240"/>
      <c r="FU240"/>
      <c r="FV240"/>
      <c r="FW240"/>
      <c r="FX240"/>
      <c r="FY240"/>
      <c r="FZ240"/>
      <c r="GA240"/>
      <c r="GB240"/>
      <c r="GC240"/>
    </row>
    <row r="241" spans="1:185" ht="12.75" customHeight="1" x14ac:dyDescent="0.25">
      <c r="A241" s="202"/>
      <c r="B241" s="22" t="s">
        <v>57</v>
      </c>
      <c r="C241" s="34" t="s">
        <v>44</v>
      </c>
      <c r="D241" s="22" t="s">
        <v>1059</v>
      </c>
      <c r="E241" s="25" t="s">
        <v>1063</v>
      </c>
      <c r="F241" s="25" t="s">
        <v>58</v>
      </c>
      <c r="G241" s="25" t="s">
        <v>1857</v>
      </c>
      <c r="H241" s="22" t="s">
        <v>56</v>
      </c>
      <c r="I241" s="423" t="s">
        <v>565</v>
      </c>
      <c r="J241" s="37" t="s">
        <v>59</v>
      </c>
      <c r="K241" s="23" t="s">
        <v>416</v>
      </c>
      <c r="L241" s="23" t="s">
        <v>794</v>
      </c>
      <c r="M241" s="23" t="s">
        <v>795</v>
      </c>
      <c r="N241" s="23" t="s">
        <v>1889</v>
      </c>
      <c r="O241" s="2">
        <v>0</v>
      </c>
      <c r="P241" s="2">
        <v>0</v>
      </c>
      <c r="Q241" s="2">
        <v>0</v>
      </c>
      <c r="R241" s="2">
        <v>0</v>
      </c>
      <c r="S241" s="2">
        <v>0</v>
      </c>
      <c r="T241" s="116">
        <f t="shared" si="116"/>
        <v>0</v>
      </c>
      <c r="U241" s="324">
        <v>0</v>
      </c>
      <c r="V241" s="324">
        <v>0</v>
      </c>
      <c r="W241" s="324">
        <v>0</v>
      </c>
      <c r="X241" s="324">
        <v>0</v>
      </c>
      <c r="Y241" s="324">
        <v>0</v>
      </c>
      <c r="Z241" s="324">
        <v>0</v>
      </c>
      <c r="AA241" s="324">
        <v>0</v>
      </c>
      <c r="AB241" s="324">
        <v>0</v>
      </c>
      <c r="AC241" s="324">
        <v>100</v>
      </c>
      <c r="AD241" s="324">
        <v>0</v>
      </c>
      <c r="AE241" s="324">
        <v>0</v>
      </c>
      <c r="AF241" s="324">
        <v>150</v>
      </c>
      <c r="AG241" s="140">
        <f t="shared" si="117"/>
        <v>250</v>
      </c>
      <c r="AH241" s="324">
        <v>0</v>
      </c>
      <c r="AI241" s="324">
        <v>0</v>
      </c>
      <c r="AJ241" s="324">
        <v>0</v>
      </c>
      <c r="AK241" s="324">
        <v>100</v>
      </c>
      <c r="AL241" s="324">
        <v>0</v>
      </c>
      <c r="AM241" s="324">
        <v>50</v>
      </c>
      <c r="AN241" s="324">
        <v>0</v>
      </c>
      <c r="AO241" s="324">
        <v>100</v>
      </c>
      <c r="AP241" s="324">
        <v>0</v>
      </c>
      <c r="AQ241" s="324">
        <v>0</v>
      </c>
      <c r="AR241" s="324">
        <v>0</v>
      </c>
      <c r="AS241" s="324">
        <v>100</v>
      </c>
      <c r="AT241" s="140">
        <f t="shared" si="118"/>
        <v>350</v>
      </c>
      <c r="AU241" s="324">
        <v>0</v>
      </c>
      <c r="AV241" s="324">
        <v>0</v>
      </c>
      <c r="AW241" s="324">
        <v>0</v>
      </c>
      <c r="AX241" s="324">
        <v>50</v>
      </c>
      <c r="AY241" s="324">
        <v>0</v>
      </c>
      <c r="AZ241" s="324">
        <v>50</v>
      </c>
      <c r="BA241" s="324">
        <v>0</v>
      </c>
      <c r="BB241" s="324">
        <v>50</v>
      </c>
      <c r="BC241" s="324">
        <v>50</v>
      </c>
      <c r="BD241" s="324">
        <v>40</v>
      </c>
      <c r="BE241" s="324">
        <v>0</v>
      </c>
      <c r="BF241" s="324">
        <v>0</v>
      </c>
      <c r="BG241" s="140">
        <f t="shared" si="119"/>
        <v>240</v>
      </c>
      <c r="BH241" s="324">
        <v>0</v>
      </c>
      <c r="BI241" s="324">
        <v>0</v>
      </c>
      <c r="BJ241" s="324">
        <v>0</v>
      </c>
      <c r="BK241" s="324">
        <v>0</v>
      </c>
      <c r="BL241" s="324">
        <v>0</v>
      </c>
      <c r="BM241" s="324">
        <v>0</v>
      </c>
      <c r="BN241" s="324">
        <v>0</v>
      </c>
      <c r="BO241" s="324">
        <v>0</v>
      </c>
      <c r="BP241" s="324">
        <v>0</v>
      </c>
      <c r="BQ241" s="324">
        <v>0</v>
      </c>
      <c r="BR241" s="324">
        <v>0</v>
      </c>
      <c r="BS241" s="324">
        <v>0</v>
      </c>
      <c r="BT241" s="140">
        <f t="shared" si="120"/>
        <v>0</v>
      </c>
      <c r="BU241" s="114">
        <f t="shared" si="121"/>
        <v>840</v>
      </c>
      <c r="BV241" s="432"/>
      <c r="BW241" s="432"/>
      <c r="BX241" s="432"/>
      <c r="BY241" s="432"/>
      <c r="BZ241" s="433"/>
      <c r="CA241" s="434"/>
      <c r="CB241" s="7" t="s">
        <v>1700</v>
      </c>
      <c r="CC241" s="3">
        <v>0</v>
      </c>
      <c r="CD241" s="3">
        <v>0</v>
      </c>
      <c r="CE241" s="3">
        <v>0</v>
      </c>
      <c r="CF241" s="3">
        <v>0</v>
      </c>
      <c r="CG241" s="3">
        <v>0</v>
      </c>
      <c r="CH241" s="3">
        <v>0</v>
      </c>
      <c r="CI241" s="3">
        <v>0</v>
      </c>
      <c r="CJ241" s="3">
        <v>0</v>
      </c>
      <c r="CK241" s="3">
        <v>0</v>
      </c>
      <c r="CL241" s="3">
        <v>0</v>
      </c>
      <c r="CM241" s="3">
        <v>0</v>
      </c>
      <c r="CN241" s="3">
        <v>0</v>
      </c>
      <c r="CO241" s="4">
        <f t="shared" si="126"/>
        <v>0</v>
      </c>
      <c r="CP241" s="3">
        <v>0</v>
      </c>
      <c r="CQ241" s="3">
        <v>0</v>
      </c>
      <c r="CR241" s="3">
        <v>0</v>
      </c>
      <c r="CS241" s="3">
        <v>0</v>
      </c>
      <c r="CT241" s="3">
        <v>0</v>
      </c>
      <c r="CU241" s="3">
        <v>0</v>
      </c>
      <c r="CV241" s="3">
        <v>0</v>
      </c>
      <c r="CW241" s="3">
        <v>0</v>
      </c>
      <c r="CX241" s="3">
        <v>300</v>
      </c>
      <c r="CY241" s="3">
        <v>0</v>
      </c>
      <c r="CZ241" s="3">
        <v>0</v>
      </c>
      <c r="DA241" s="3">
        <v>300</v>
      </c>
      <c r="DB241" s="4">
        <f t="shared" si="127"/>
        <v>600</v>
      </c>
      <c r="DC241" s="3">
        <v>0</v>
      </c>
      <c r="DD241" s="3">
        <v>0</v>
      </c>
      <c r="DE241" s="3">
        <v>0</v>
      </c>
      <c r="DF241" s="3">
        <v>200</v>
      </c>
      <c r="DG241" s="3">
        <v>0</v>
      </c>
      <c r="DH241" s="3">
        <v>0</v>
      </c>
      <c r="DI241" s="3">
        <v>0</v>
      </c>
      <c r="DJ241" s="3">
        <v>200</v>
      </c>
      <c r="DK241" s="3">
        <v>0</v>
      </c>
      <c r="DL241" s="3">
        <v>0</v>
      </c>
      <c r="DM241" s="3">
        <v>0</v>
      </c>
      <c r="DN241" s="3">
        <v>200</v>
      </c>
      <c r="DO241" s="4">
        <f t="shared" si="128"/>
        <v>600</v>
      </c>
      <c r="DP241" s="3">
        <v>0</v>
      </c>
      <c r="DQ241" s="3">
        <v>0</v>
      </c>
      <c r="DR241" s="3">
        <v>0</v>
      </c>
      <c r="DS241" s="3">
        <v>100</v>
      </c>
      <c r="DT241" s="3">
        <v>0</v>
      </c>
      <c r="DU241" s="3">
        <v>100</v>
      </c>
      <c r="DV241" s="3">
        <v>0</v>
      </c>
      <c r="DW241" s="3">
        <v>100</v>
      </c>
      <c r="DX241" s="3">
        <v>100</v>
      </c>
      <c r="DY241" s="3">
        <v>80</v>
      </c>
      <c r="DZ241" s="3">
        <v>0</v>
      </c>
      <c r="EA241" s="3">
        <v>0</v>
      </c>
      <c r="EB241" s="4">
        <f t="shared" si="129"/>
        <v>480</v>
      </c>
      <c r="EC241" s="3">
        <v>0</v>
      </c>
      <c r="ED241" s="3">
        <v>0</v>
      </c>
      <c r="EE241" s="3">
        <v>0</v>
      </c>
      <c r="EF241" s="3">
        <v>0</v>
      </c>
      <c r="EG241" s="3">
        <v>0</v>
      </c>
      <c r="EH241" s="3">
        <v>0</v>
      </c>
      <c r="EI241" s="3">
        <v>0</v>
      </c>
      <c r="EJ241" s="3">
        <v>0</v>
      </c>
      <c r="EK241" s="3">
        <v>0</v>
      </c>
      <c r="EL241" s="3">
        <v>0</v>
      </c>
      <c r="EM241" s="3">
        <v>0</v>
      </c>
      <c r="EN241" s="3">
        <v>0</v>
      </c>
      <c r="EO241" s="4">
        <f t="shared" si="130"/>
        <v>0</v>
      </c>
      <c r="EP241" s="8">
        <f t="shared" si="131"/>
        <v>1680</v>
      </c>
      <c r="EQ241" s="181">
        <f>IFERROR(VLOOKUP(I241,CEI_012018!$A$1:$U$509,9,FALSE),0)</f>
        <v>0</v>
      </c>
      <c r="ER241" s="181">
        <f>IFERROR(VLOOKUP(I241,CEI_022018!$A$1:$U$509,9,FALSE),0)</f>
        <v>0</v>
      </c>
      <c r="ES241" s="181">
        <f>IFERROR(VLOOKUP(I241,CEI_032018!$A$1:$U$509,9,FALSE),0)</f>
        <v>0</v>
      </c>
      <c r="ET241" s="181">
        <f>IFERROR(VLOOKUP(I241,CEI_042018!$A$1:$U$491,9,FALSE),0)</f>
        <v>0</v>
      </c>
      <c r="EU241" s="181">
        <f>IFERROR(VLOOKUP(I241,CEI_052018!$A$1:$U$489,9,FALSE),0)</f>
        <v>0</v>
      </c>
      <c r="EV241" s="181">
        <f>IFERROR(VLOOKUP(I241,CEI_062018!$A$1:$U$489,9,FALSE),0)</f>
        <v>0</v>
      </c>
      <c r="EW241" s="181">
        <f>IFERROR(VLOOKUP(I241,CEI_072018!$A$1:$U$489,9,FALSE),0)</f>
        <v>0</v>
      </c>
      <c r="EX241" s="181">
        <f>IFERROR(VLOOKUP(I241,CEI_082018!$A$1:$U$489,9,FALSE),0)</f>
        <v>0</v>
      </c>
      <c r="EY241" s="181">
        <f>IFERROR(VLOOKUP(I241,CEI_092018!$A$1:$U$489,9,FALSE),0)</f>
        <v>0</v>
      </c>
      <c r="EZ241" s="181"/>
      <c r="FA241" s="181"/>
      <c r="FB241" s="181"/>
      <c r="FC241" s="181">
        <f>IFERROR(VLOOKUP(I241,CEI_092018!$A$1:$U$489,12,FALSE),0)</f>
        <v>0</v>
      </c>
      <c r="FD241" s="181">
        <f t="shared" si="133"/>
        <v>0</v>
      </c>
      <c r="FE241" s="181">
        <f t="shared" si="134"/>
        <v>0</v>
      </c>
      <c r="FF241"/>
      <c r="FG241"/>
      <c r="FH241"/>
      <c r="FI241"/>
      <c r="FJ241"/>
      <c r="FK241"/>
      <c r="FL241"/>
      <c r="FM241"/>
      <c r="FN241"/>
      <c r="FO241"/>
      <c r="FP241"/>
      <c r="FQ241"/>
      <c r="FR241"/>
      <c r="FS241"/>
      <c r="FT241"/>
      <c r="FU241"/>
      <c r="FV241"/>
      <c r="FW241"/>
      <c r="FX241"/>
      <c r="FY241"/>
      <c r="FZ241"/>
      <c r="GA241"/>
      <c r="GB241"/>
      <c r="GC241"/>
    </row>
    <row r="242" spans="1:185" ht="12.75" customHeight="1" x14ac:dyDescent="0.25">
      <c r="A242" s="202"/>
      <c r="B242" s="22" t="s">
        <v>57</v>
      </c>
      <c r="C242" s="34" t="s">
        <v>44</v>
      </c>
      <c r="D242" s="22" t="s">
        <v>1059</v>
      </c>
      <c r="E242" s="25" t="s">
        <v>1063</v>
      </c>
      <c r="F242" s="25" t="s">
        <v>1059</v>
      </c>
      <c r="G242" s="25" t="s">
        <v>1063</v>
      </c>
      <c r="H242" s="22" t="s">
        <v>56</v>
      </c>
      <c r="I242" s="423" t="s">
        <v>565</v>
      </c>
      <c r="J242" s="37" t="s">
        <v>59</v>
      </c>
      <c r="K242" s="23" t="s">
        <v>778</v>
      </c>
      <c r="L242" s="23" t="s">
        <v>779</v>
      </c>
      <c r="M242" s="23" t="s">
        <v>780</v>
      </c>
      <c r="N242" s="23" t="s">
        <v>59</v>
      </c>
      <c r="O242" s="2">
        <v>0</v>
      </c>
      <c r="P242" s="2">
        <v>0</v>
      </c>
      <c r="Q242" s="2">
        <v>0</v>
      </c>
      <c r="R242" s="2">
        <v>0</v>
      </c>
      <c r="S242" s="2">
        <v>0</v>
      </c>
      <c r="T242" s="116">
        <f t="shared" si="116"/>
        <v>0</v>
      </c>
      <c r="U242" s="324">
        <v>0</v>
      </c>
      <c r="V242" s="324">
        <v>0</v>
      </c>
      <c r="W242" s="324">
        <v>0</v>
      </c>
      <c r="X242" s="324">
        <v>0</v>
      </c>
      <c r="Y242" s="324">
        <v>0</v>
      </c>
      <c r="Z242" s="324">
        <v>0</v>
      </c>
      <c r="AA242" s="324">
        <v>0</v>
      </c>
      <c r="AB242" s="324">
        <v>0</v>
      </c>
      <c r="AC242" s="324">
        <v>0</v>
      </c>
      <c r="AD242" s="324">
        <v>0</v>
      </c>
      <c r="AE242" s="324">
        <v>0</v>
      </c>
      <c r="AF242" s="324">
        <v>0</v>
      </c>
      <c r="AG242" s="140">
        <f t="shared" si="117"/>
        <v>0</v>
      </c>
      <c r="AH242" s="324">
        <v>0</v>
      </c>
      <c r="AI242" s="324">
        <v>0</v>
      </c>
      <c r="AJ242" s="324">
        <v>50</v>
      </c>
      <c r="AK242" s="324">
        <v>0</v>
      </c>
      <c r="AL242" s="324">
        <v>0</v>
      </c>
      <c r="AM242" s="324">
        <v>0</v>
      </c>
      <c r="AN242" s="324">
        <v>50</v>
      </c>
      <c r="AO242" s="324">
        <v>0</v>
      </c>
      <c r="AP242" s="324">
        <v>0</v>
      </c>
      <c r="AQ242" s="324">
        <v>0</v>
      </c>
      <c r="AR242" s="324">
        <v>100</v>
      </c>
      <c r="AS242" s="324">
        <v>0</v>
      </c>
      <c r="AT242" s="140">
        <f t="shared" si="118"/>
        <v>200</v>
      </c>
      <c r="AU242" s="324">
        <v>0</v>
      </c>
      <c r="AV242" s="324">
        <v>0</v>
      </c>
      <c r="AW242" s="324">
        <v>100</v>
      </c>
      <c r="AX242" s="324">
        <v>0</v>
      </c>
      <c r="AY242" s="324">
        <v>0</v>
      </c>
      <c r="AZ242" s="324">
        <v>0</v>
      </c>
      <c r="BA242" s="324">
        <v>200</v>
      </c>
      <c r="BB242" s="324">
        <v>0</v>
      </c>
      <c r="BC242" s="324">
        <v>0</v>
      </c>
      <c r="BD242" s="324">
        <v>0</v>
      </c>
      <c r="BE242" s="324">
        <v>0</v>
      </c>
      <c r="BF242" s="324">
        <v>0</v>
      </c>
      <c r="BG242" s="140">
        <f t="shared" si="119"/>
        <v>300</v>
      </c>
      <c r="BH242" s="324">
        <v>0</v>
      </c>
      <c r="BI242" s="324">
        <v>0</v>
      </c>
      <c r="BJ242" s="324">
        <v>25</v>
      </c>
      <c r="BK242" s="324">
        <v>0</v>
      </c>
      <c r="BL242" s="324">
        <v>0</v>
      </c>
      <c r="BM242" s="324">
        <v>50</v>
      </c>
      <c r="BN242" s="324">
        <v>0</v>
      </c>
      <c r="BO242" s="324">
        <v>25</v>
      </c>
      <c r="BP242" s="324">
        <v>25</v>
      </c>
      <c r="BQ242" s="324">
        <v>0</v>
      </c>
      <c r="BR242" s="324">
        <v>25</v>
      </c>
      <c r="BS242" s="324">
        <v>150</v>
      </c>
      <c r="BT242" s="140">
        <f t="shared" si="120"/>
        <v>300</v>
      </c>
      <c r="BU242" s="114">
        <f t="shared" si="121"/>
        <v>800</v>
      </c>
      <c r="BV242" s="432"/>
      <c r="BW242" s="432"/>
      <c r="BX242" s="432"/>
      <c r="BY242" s="432"/>
      <c r="BZ242" s="433"/>
      <c r="CA242" s="434"/>
      <c r="CB242" s="7" t="s">
        <v>1700</v>
      </c>
      <c r="CC242" s="3">
        <v>0</v>
      </c>
      <c r="CD242" s="3">
        <v>0</v>
      </c>
      <c r="CE242" s="3">
        <v>0</v>
      </c>
      <c r="CF242" s="3">
        <v>0</v>
      </c>
      <c r="CG242" s="3">
        <v>0</v>
      </c>
      <c r="CH242" s="3">
        <v>0</v>
      </c>
      <c r="CI242" s="3">
        <v>0</v>
      </c>
      <c r="CJ242" s="3">
        <v>0</v>
      </c>
      <c r="CK242" s="3">
        <v>0</v>
      </c>
      <c r="CL242" s="3">
        <v>0</v>
      </c>
      <c r="CM242" s="3">
        <v>0</v>
      </c>
      <c r="CN242" s="3">
        <v>0</v>
      </c>
      <c r="CO242" s="4">
        <f t="shared" si="126"/>
        <v>0</v>
      </c>
      <c r="CP242" s="3">
        <v>0</v>
      </c>
      <c r="CQ242" s="3">
        <v>0</v>
      </c>
      <c r="CR242" s="3">
        <v>0</v>
      </c>
      <c r="CS242" s="3">
        <v>0</v>
      </c>
      <c r="CT242" s="3">
        <v>0</v>
      </c>
      <c r="CU242" s="3">
        <v>0</v>
      </c>
      <c r="CV242" s="3">
        <v>0</v>
      </c>
      <c r="CW242" s="3">
        <v>0</v>
      </c>
      <c r="CX242" s="3">
        <v>0</v>
      </c>
      <c r="CY242" s="3">
        <v>0</v>
      </c>
      <c r="CZ242" s="3">
        <v>0</v>
      </c>
      <c r="DA242" s="3">
        <v>0</v>
      </c>
      <c r="DB242" s="4">
        <f t="shared" si="127"/>
        <v>0</v>
      </c>
      <c r="DC242" s="3">
        <v>0</v>
      </c>
      <c r="DD242" s="3">
        <v>0</v>
      </c>
      <c r="DE242" s="3">
        <v>116.27906976744187</v>
      </c>
      <c r="DF242" s="3">
        <v>0</v>
      </c>
      <c r="DG242" s="3">
        <v>0</v>
      </c>
      <c r="DH242" s="3">
        <v>0</v>
      </c>
      <c r="DI242" s="3">
        <v>116.27906976744187</v>
      </c>
      <c r="DJ242" s="3">
        <v>0</v>
      </c>
      <c r="DK242" s="3">
        <v>0</v>
      </c>
      <c r="DL242" s="3">
        <v>0</v>
      </c>
      <c r="DM242" s="3">
        <v>232.55813953488374</v>
      </c>
      <c r="DN242" s="3">
        <v>0</v>
      </c>
      <c r="DO242" s="4">
        <f t="shared" si="128"/>
        <v>465.11627906976747</v>
      </c>
      <c r="DP242" s="3">
        <v>0</v>
      </c>
      <c r="DQ242" s="3">
        <v>0</v>
      </c>
      <c r="DR242" s="3">
        <v>232.55813953488374</v>
      </c>
      <c r="DS242" s="3">
        <v>0</v>
      </c>
      <c r="DT242" s="3">
        <v>0</v>
      </c>
      <c r="DU242" s="3">
        <v>0</v>
      </c>
      <c r="DV242" s="3">
        <v>465.11627906976747</v>
      </c>
      <c r="DW242" s="3">
        <v>0</v>
      </c>
      <c r="DX242" s="3">
        <v>0</v>
      </c>
      <c r="DY242" s="3">
        <v>0</v>
      </c>
      <c r="DZ242" s="3">
        <v>0</v>
      </c>
      <c r="EA242" s="3">
        <v>0</v>
      </c>
      <c r="EB242" s="4">
        <f t="shared" si="129"/>
        <v>697.67441860465124</v>
      </c>
      <c r="EC242" s="3">
        <v>0</v>
      </c>
      <c r="ED242" s="3">
        <v>0</v>
      </c>
      <c r="EE242" s="3">
        <v>58.139534883720934</v>
      </c>
      <c r="EF242" s="3">
        <v>0</v>
      </c>
      <c r="EG242" s="3">
        <v>0</v>
      </c>
      <c r="EH242" s="3">
        <v>116.27906976744187</v>
      </c>
      <c r="EI242" s="3">
        <v>0</v>
      </c>
      <c r="EJ242" s="3">
        <v>58.139534883720934</v>
      </c>
      <c r="EK242" s="3">
        <v>58.139534883720934</v>
      </c>
      <c r="EL242" s="3">
        <v>0</v>
      </c>
      <c r="EM242" s="3">
        <v>58.139534883720934</v>
      </c>
      <c r="EN242" s="3">
        <v>348.83720930232556</v>
      </c>
      <c r="EO242" s="4">
        <f t="shared" si="130"/>
        <v>697.67441860465124</v>
      </c>
      <c r="EP242" s="8">
        <f t="shared" si="131"/>
        <v>1860.4651162790699</v>
      </c>
      <c r="EQ242" s="181">
        <f>IFERROR(VLOOKUP(I242,CEI_012018!$A$1:$U$509,9,FALSE),0)</f>
        <v>0</v>
      </c>
      <c r="ER242" s="181">
        <f>IFERROR(VLOOKUP(I242,CEI_022018!$A$1:$U$509,9,FALSE),0)</f>
        <v>0</v>
      </c>
      <c r="ES242" s="181">
        <f>IFERROR(VLOOKUP(I242,CEI_032018!$A$1:$U$509,9,FALSE),0)</f>
        <v>0</v>
      </c>
      <c r="ET242" s="181">
        <f>IFERROR(VLOOKUP(I242,CEI_042018!$A$1:$U$491,9,FALSE),0)</f>
        <v>0</v>
      </c>
      <c r="EU242" s="181">
        <f>IFERROR(VLOOKUP(I242,CEI_052018!$A$1:$U$489,9,FALSE),0)</f>
        <v>0</v>
      </c>
      <c r="EV242" s="181">
        <f>IFERROR(VLOOKUP(I242,CEI_062018!$A$1:$U$489,9,FALSE),0)</f>
        <v>0</v>
      </c>
      <c r="EW242" s="181">
        <f>IFERROR(VLOOKUP(I242,CEI_072018!$A$1:$U$489,9,FALSE),0)</f>
        <v>0</v>
      </c>
      <c r="EX242" s="181">
        <f>IFERROR(VLOOKUP(I242,CEI_082018!$A$1:$U$489,9,FALSE),0)</f>
        <v>0</v>
      </c>
      <c r="EY242" s="181">
        <f>IFERROR(VLOOKUP(I242,CEI_092018!$A$1:$U$489,9,FALSE),0)</f>
        <v>0</v>
      </c>
      <c r="EZ242" s="181"/>
      <c r="FA242" s="181"/>
      <c r="FB242" s="181"/>
      <c r="FC242" s="181">
        <f>IFERROR(VLOOKUP(I242,CEI_092018!$A$1:$U$489,12,FALSE),0)</f>
        <v>0</v>
      </c>
      <c r="FD242" s="181">
        <f t="shared" si="133"/>
        <v>0</v>
      </c>
      <c r="FE242" s="181">
        <f t="shared" si="134"/>
        <v>0</v>
      </c>
      <c r="FF242"/>
      <c r="FG242"/>
      <c r="FH242"/>
      <c r="FI242"/>
      <c r="FJ242"/>
      <c r="FK242"/>
      <c r="FL242"/>
      <c r="FM242"/>
      <c r="FN242"/>
      <c r="FO242"/>
      <c r="FP242"/>
      <c r="FQ242"/>
      <c r="FR242"/>
      <c r="FS242"/>
      <c r="FT242"/>
      <c r="FU242"/>
      <c r="FV242"/>
      <c r="FW242"/>
      <c r="FX242"/>
      <c r="FY242"/>
      <c r="FZ242"/>
      <c r="GA242"/>
      <c r="GB242"/>
      <c r="GC242"/>
    </row>
    <row r="243" spans="1:185" ht="12.75" customHeight="1" x14ac:dyDescent="0.25">
      <c r="A243" s="202"/>
      <c r="B243" s="22" t="s">
        <v>57</v>
      </c>
      <c r="C243" s="34" t="s">
        <v>44</v>
      </c>
      <c r="D243" s="22" t="s">
        <v>1060</v>
      </c>
      <c r="E243" s="25" t="s">
        <v>1064</v>
      </c>
      <c r="F243" s="25" t="s">
        <v>1060</v>
      </c>
      <c r="G243" s="25" t="s">
        <v>1064</v>
      </c>
      <c r="H243" s="22" t="s">
        <v>56</v>
      </c>
      <c r="I243" s="423" t="s">
        <v>565</v>
      </c>
      <c r="J243" s="37" t="s">
        <v>59</v>
      </c>
      <c r="K243" s="23" t="s">
        <v>1725</v>
      </c>
      <c r="L243" s="23" t="s">
        <v>708</v>
      </c>
      <c r="M243" s="23" t="s">
        <v>59</v>
      </c>
      <c r="N243" s="23" t="s">
        <v>59</v>
      </c>
      <c r="O243" s="2">
        <v>0</v>
      </c>
      <c r="P243" s="2">
        <v>0</v>
      </c>
      <c r="Q243" s="2">
        <v>400</v>
      </c>
      <c r="R243" s="2">
        <v>0</v>
      </c>
      <c r="S243" s="2">
        <v>0</v>
      </c>
      <c r="T243" s="116">
        <f t="shared" si="116"/>
        <v>400</v>
      </c>
      <c r="U243" s="324">
        <v>0</v>
      </c>
      <c r="V243" s="324">
        <v>0</v>
      </c>
      <c r="W243" s="324">
        <v>0</v>
      </c>
      <c r="X243" s="324">
        <v>0</v>
      </c>
      <c r="Y243" s="324">
        <v>0</v>
      </c>
      <c r="Z243" s="324">
        <v>0</v>
      </c>
      <c r="AA243" s="324">
        <v>0</v>
      </c>
      <c r="AB243" s="324">
        <v>0</v>
      </c>
      <c r="AC243" s="324">
        <v>0</v>
      </c>
      <c r="AD243" s="324">
        <v>0</v>
      </c>
      <c r="AE243" s="324">
        <v>0</v>
      </c>
      <c r="AF243" s="324">
        <v>0</v>
      </c>
      <c r="AG243" s="140">
        <f t="shared" si="117"/>
        <v>0</v>
      </c>
      <c r="AH243" s="324">
        <v>0</v>
      </c>
      <c r="AI243" s="324">
        <v>0</v>
      </c>
      <c r="AJ243" s="324">
        <v>0</v>
      </c>
      <c r="AK243" s="324">
        <v>0</v>
      </c>
      <c r="AL243" s="324">
        <v>0</v>
      </c>
      <c r="AM243" s="324">
        <v>0</v>
      </c>
      <c r="AN243" s="324">
        <v>0</v>
      </c>
      <c r="AO243" s="324">
        <v>0</v>
      </c>
      <c r="AP243" s="324">
        <v>0</v>
      </c>
      <c r="AQ243" s="324">
        <v>0</v>
      </c>
      <c r="AR243" s="324">
        <v>0</v>
      </c>
      <c r="AS243" s="324">
        <v>0</v>
      </c>
      <c r="AT243" s="140">
        <f t="shared" si="118"/>
        <v>0</v>
      </c>
      <c r="AU243" s="324">
        <v>0</v>
      </c>
      <c r="AV243" s="324">
        <v>0</v>
      </c>
      <c r="AW243" s="324">
        <v>0</v>
      </c>
      <c r="AX243" s="324">
        <v>0</v>
      </c>
      <c r="AY243" s="324">
        <v>0</v>
      </c>
      <c r="AZ243" s="324">
        <v>0</v>
      </c>
      <c r="BA243" s="324">
        <v>0</v>
      </c>
      <c r="BB243" s="324">
        <v>0</v>
      </c>
      <c r="BC243" s="324">
        <v>0</v>
      </c>
      <c r="BD243" s="324">
        <v>400</v>
      </c>
      <c r="BE243" s="324">
        <v>0</v>
      </c>
      <c r="BF243" s="324">
        <v>0</v>
      </c>
      <c r="BG243" s="140">
        <f t="shared" si="119"/>
        <v>400</v>
      </c>
      <c r="BH243" s="324">
        <v>0</v>
      </c>
      <c r="BI243" s="324">
        <v>0</v>
      </c>
      <c r="BJ243" s="324">
        <v>0</v>
      </c>
      <c r="BK243" s="324">
        <v>0</v>
      </c>
      <c r="BL243" s="324">
        <v>0</v>
      </c>
      <c r="BM243" s="324">
        <v>0</v>
      </c>
      <c r="BN243" s="324">
        <v>0</v>
      </c>
      <c r="BO243" s="324">
        <v>0</v>
      </c>
      <c r="BP243" s="324">
        <v>0</v>
      </c>
      <c r="BQ243" s="324">
        <v>0</v>
      </c>
      <c r="BR243" s="324">
        <v>0</v>
      </c>
      <c r="BS243" s="324">
        <v>0</v>
      </c>
      <c r="BT243" s="140">
        <f t="shared" si="120"/>
        <v>0</v>
      </c>
      <c r="BU243" s="114">
        <f t="shared" si="121"/>
        <v>800</v>
      </c>
      <c r="BV243" s="432"/>
      <c r="BW243" s="432"/>
      <c r="BX243" s="432"/>
      <c r="BY243" s="432"/>
      <c r="BZ243" s="433"/>
      <c r="CA243" s="434"/>
      <c r="CB243" s="7" t="s">
        <v>1702</v>
      </c>
      <c r="CC243" s="3">
        <v>0</v>
      </c>
      <c r="CD243" s="3">
        <v>0</v>
      </c>
      <c r="CE243" s="3">
        <v>0</v>
      </c>
      <c r="CF243" s="3">
        <v>0</v>
      </c>
      <c r="CG243" s="3">
        <v>0</v>
      </c>
      <c r="CH243" s="3">
        <v>0</v>
      </c>
      <c r="CI243" s="3">
        <v>0</v>
      </c>
      <c r="CJ243" s="3">
        <v>0</v>
      </c>
      <c r="CK243" s="3">
        <v>0</v>
      </c>
      <c r="CL243" s="3">
        <v>0</v>
      </c>
      <c r="CM243" s="3">
        <v>0</v>
      </c>
      <c r="CN243" s="3">
        <v>0</v>
      </c>
      <c r="CO243" s="4">
        <f t="shared" si="126"/>
        <v>0</v>
      </c>
      <c r="CP243" s="3">
        <v>0</v>
      </c>
      <c r="CQ243" s="3">
        <v>0</v>
      </c>
      <c r="CR243" s="3">
        <v>0</v>
      </c>
      <c r="CS243" s="3">
        <v>0</v>
      </c>
      <c r="CT243" s="3">
        <v>0</v>
      </c>
      <c r="CU243" s="3">
        <v>0</v>
      </c>
      <c r="CV243" s="3">
        <v>34.99562554680665</v>
      </c>
      <c r="CW243" s="3">
        <v>0</v>
      </c>
      <c r="CX243" s="3">
        <v>0</v>
      </c>
      <c r="CY243" s="3">
        <v>0</v>
      </c>
      <c r="CZ243" s="3">
        <v>0</v>
      </c>
      <c r="DA243" s="3">
        <v>0</v>
      </c>
      <c r="DB243" s="4">
        <f t="shared" si="127"/>
        <v>34.99562554680665</v>
      </c>
      <c r="DC243" s="3">
        <v>0</v>
      </c>
      <c r="DD243" s="3">
        <v>0</v>
      </c>
      <c r="DE243" s="3">
        <v>0</v>
      </c>
      <c r="DF243" s="3">
        <v>0</v>
      </c>
      <c r="DG243" s="3">
        <v>0</v>
      </c>
      <c r="DH243" s="3">
        <v>0</v>
      </c>
      <c r="DI243" s="3">
        <v>0</v>
      </c>
      <c r="DJ243" s="3">
        <v>0</v>
      </c>
      <c r="DK243" s="3">
        <v>0</v>
      </c>
      <c r="DL243" s="3">
        <v>0</v>
      </c>
      <c r="DM243" s="3">
        <v>0</v>
      </c>
      <c r="DN243" s="3">
        <v>0</v>
      </c>
      <c r="DO243" s="4">
        <f t="shared" si="128"/>
        <v>0</v>
      </c>
      <c r="DP243" s="3">
        <v>0</v>
      </c>
      <c r="DQ243" s="3">
        <v>0</v>
      </c>
      <c r="DR243" s="3">
        <v>0</v>
      </c>
      <c r="DS243" s="3">
        <v>0</v>
      </c>
      <c r="DT243" s="3">
        <v>0</v>
      </c>
      <c r="DU243" s="3">
        <v>0</v>
      </c>
      <c r="DV243" s="3">
        <v>0</v>
      </c>
      <c r="DW243" s="3">
        <v>0</v>
      </c>
      <c r="DX243" s="3">
        <v>0</v>
      </c>
      <c r="DY243" s="3">
        <v>0</v>
      </c>
      <c r="DZ243" s="3">
        <v>0</v>
      </c>
      <c r="EA243" s="3">
        <v>0</v>
      </c>
      <c r="EB243" s="4">
        <f t="shared" si="129"/>
        <v>0</v>
      </c>
      <c r="EC243" s="3">
        <v>0</v>
      </c>
      <c r="ED243" s="3">
        <v>0</v>
      </c>
      <c r="EE243" s="3">
        <v>0</v>
      </c>
      <c r="EF243" s="3">
        <v>0</v>
      </c>
      <c r="EG243" s="3">
        <v>0</v>
      </c>
      <c r="EH243" s="3">
        <v>0</v>
      </c>
      <c r="EI243" s="3">
        <v>0</v>
      </c>
      <c r="EJ243" s="3">
        <v>0</v>
      </c>
      <c r="EK243" s="3">
        <v>0</v>
      </c>
      <c r="EL243" s="3">
        <v>0</v>
      </c>
      <c r="EM243" s="3">
        <v>0</v>
      </c>
      <c r="EN243" s="3">
        <v>0</v>
      </c>
      <c r="EO243" s="4">
        <f t="shared" si="130"/>
        <v>0</v>
      </c>
      <c r="EP243" s="8">
        <f t="shared" si="131"/>
        <v>34.99562554680665</v>
      </c>
      <c r="EQ243" s="181">
        <f>IFERROR(VLOOKUP(I243,CEI_012018!$A$1:$U$509,9,FALSE),0)</f>
        <v>0</v>
      </c>
      <c r="ER243" s="181">
        <f>IFERROR(VLOOKUP(I243,CEI_022018!$A$1:$U$509,9,FALSE),0)</f>
        <v>0</v>
      </c>
      <c r="ES243" s="181">
        <f>IFERROR(VLOOKUP(I243,CEI_032018!$A$1:$U$509,9,FALSE),0)</f>
        <v>0</v>
      </c>
      <c r="ET243" s="181">
        <f>IFERROR(VLOOKUP(I243,CEI_042018!$A$1:$U$491,9,FALSE),0)</f>
        <v>0</v>
      </c>
      <c r="EU243" s="181">
        <f>IFERROR(VLOOKUP(I243,CEI_052018!$A$1:$U$489,9,FALSE),0)</f>
        <v>0</v>
      </c>
      <c r="EV243" s="181">
        <f>IFERROR(VLOOKUP(I243,CEI_062018!$A$1:$U$489,9,FALSE),0)</f>
        <v>0</v>
      </c>
      <c r="EW243" s="181">
        <f>IFERROR(VLOOKUP(I243,CEI_072018!$A$1:$U$489,9,FALSE),0)</f>
        <v>0</v>
      </c>
      <c r="EX243" s="181">
        <f>IFERROR(VLOOKUP(I243,CEI_082018!$A$1:$U$489,9,FALSE),0)</f>
        <v>0</v>
      </c>
      <c r="EY243" s="181">
        <f>IFERROR(VLOOKUP(I243,CEI_092018!$A$1:$U$489,9,FALSE),0)</f>
        <v>0</v>
      </c>
      <c r="EZ243" s="181"/>
      <c r="FA243" s="181"/>
      <c r="FB243" s="181"/>
      <c r="FC243" s="181">
        <f>IFERROR(VLOOKUP(I243,CEI_092018!$A$1:$U$489,12,FALSE),0)</f>
        <v>0</v>
      </c>
      <c r="FD243" s="181">
        <f t="shared" si="133"/>
        <v>0</v>
      </c>
      <c r="FE243" s="181">
        <f t="shared" si="134"/>
        <v>400</v>
      </c>
      <c r="FF243"/>
      <c r="FG243"/>
      <c r="FH243"/>
      <c r="FI243"/>
      <c r="FJ243"/>
      <c r="FK243"/>
      <c r="FL243"/>
      <c r="FM243"/>
      <c r="FN243"/>
      <c r="FO243"/>
      <c r="FP243"/>
      <c r="FQ243"/>
      <c r="FR243"/>
      <c r="FS243"/>
      <c r="FT243"/>
      <c r="FU243"/>
      <c r="FV243"/>
      <c r="FW243"/>
      <c r="FX243"/>
      <c r="FY243"/>
      <c r="FZ243"/>
      <c r="GA243"/>
      <c r="GB243"/>
      <c r="GC243"/>
    </row>
    <row r="244" spans="1:185" ht="12.75" customHeight="1" x14ac:dyDescent="0.25">
      <c r="A244" s="202"/>
      <c r="B244" s="22" t="s">
        <v>57</v>
      </c>
      <c r="C244" s="34" t="s">
        <v>44</v>
      </c>
      <c r="D244" s="22" t="s">
        <v>1060</v>
      </c>
      <c r="E244" s="25" t="s">
        <v>1064</v>
      </c>
      <c r="F244" s="25" t="s">
        <v>1060</v>
      </c>
      <c r="G244" s="25" t="s">
        <v>1064</v>
      </c>
      <c r="H244" s="22" t="s">
        <v>56</v>
      </c>
      <c r="I244" s="423" t="s">
        <v>1615</v>
      </c>
      <c r="J244" s="37" t="s">
        <v>1617</v>
      </c>
      <c r="K244" s="23" t="s">
        <v>1690</v>
      </c>
      <c r="L244" s="23" t="s">
        <v>1691</v>
      </c>
      <c r="M244" s="23" t="s">
        <v>1697</v>
      </c>
      <c r="N244" s="23" t="s">
        <v>1873</v>
      </c>
      <c r="O244" s="2">
        <v>800</v>
      </c>
      <c r="P244" s="2">
        <v>0</v>
      </c>
      <c r="Q244" s="2">
        <v>0</v>
      </c>
      <c r="R244" s="2">
        <v>0</v>
      </c>
      <c r="S244" s="2">
        <v>0</v>
      </c>
      <c r="T244" s="116">
        <f t="shared" si="116"/>
        <v>800</v>
      </c>
      <c r="U244" s="324">
        <v>0</v>
      </c>
      <c r="V244" s="324">
        <v>0</v>
      </c>
      <c r="W244" s="324">
        <v>0</v>
      </c>
      <c r="X244" s="324">
        <v>0</v>
      </c>
      <c r="Y244" s="324">
        <v>0</v>
      </c>
      <c r="Z244" s="324">
        <v>0</v>
      </c>
      <c r="AA244" s="324">
        <v>0</v>
      </c>
      <c r="AB244" s="324">
        <v>0</v>
      </c>
      <c r="AC244" s="324">
        <v>0</v>
      </c>
      <c r="AD244" s="324">
        <v>0</v>
      </c>
      <c r="AE244" s="324">
        <v>0</v>
      </c>
      <c r="AF244" s="324">
        <v>0</v>
      </c>
      <c r="AG244" s="140">
        <f t="shared" si="117"/>
        <v>0</v>
      </c>
      <c r="AH244" s="324">
        <v>0</v>
      </c>
      <c r="AI244" s="324">
        <v>0</v>
      </c>
      <c r="AJ244" s="324">
        <v>0</v>
      </c>
      <c r="AK244" s="324">
        <v>0</v>
      </c>
      <c r="AL244" s="324">
        <v>0</v>
      </c>
      <c r="AM244" s="324">
        <v>0</v>
      </c>
      <c r="AN244" s="324">
        <v>0</v>
      </c>
      <c r="AO244" s="324">
        <v>0</v>
      </c>
      <c r="AP244" s="324">
        <v>0</v>
      </c>
      <c r="AQ244" s="324">
        <v>0</v>
      </c>
      <c r="AR244" s="324">
        <v>0</v>
      </c>
      <c r="AS244" s="324">
        <v>0</v>
      </c>
      <c r="AT244" s="140">
        <f t="shared" si="118"/>
        <v>0</v>
      </c>
      <c r="AU244" s="324">
        <v>0</v>
      </c>
      <c r="AV244" s="324">
        <v>0</v>
      </c>
      <c r="AW244" s="324">
        <v>0</v>
      </c>
      <c r="AX244" s="324">
        <v>0</v>
      </c>
      <c r="AY244" s="324">
        <v>0</v>
      </c>
      <c r="AZ244" s="324">
        <v>0</v>
      </c>
      <c r="BA244" s="324">
        <v>0</v>
      </c>
      <c r="BB244" s="324">
        <v>0</v>
      </c>
      <c r="BC244" s="324">
        <v>0</v>
      </c>
      <c r="BD244" s="324">
        <v>0</v>
      </c>
      <c r="BE244" s="324">
        <v>0</v>
      </c>
      <c r="BF244" s="324">
        <v>0</v>
      </c>
      <c r="BG244" s="140">
        <f t="shared" si="119"/>
        <v>0</v>
      </c>
      <c r="BH244" s="324"/>
      <c r="BI244" s="324"/>
      <c r="BJ244" s="324"/>
      <c r="BK244" s="324"/>
      <c r="BL244" s="324"/>
      <c r="BM244" s="324"/>
      <c r="BN244" s="324"/>
      <c r="BO244" s="324"/>
      <c r="BP244" s="324"/>
      <c r="BQ244" s="324"/>
      <c r="BR244" s="324"/>
      <c r="BS244" s="324"/>
      <c r="BT244" s="140">
        <f t="shared" si="120"/>
        <v>0</v>
      </c>
      <c r="BU244" s="114">
        <f t="shared" si="121"/>
        <v>800</v>
      </c>
      <c r="BV244" s="372">
        <v>1</v>
      </c>
      <c r="BW244" s="372">
        <v>1</v>
      </c>
      <c r="BX244" s="372">
        <v>1</v>
      </c>
      <c r="BY244" s="372">
        <v>1</v>
      </c>
      <c r="BZ244" s="436">
        <f t="shared" ref="BZ244:BZ248" si="135">IFERROR((EX244/T244%),0)</f>
        <v>100</v>
      </c>
      <c r="CA244" s="428">
        <f>IFERROR((FD244/T244%),0)</f>
        <v>100</v>
      </c>
      <c r="CB244" s="7" t="s">
        <v>1701</v>
      </c>
      <c r="CC244" s="3">
        <v>0</v>
      </c>
      <c r="CD244" s="3">
        <v>0</v>
      </c>
      <c r="CE244" s="3">
        <v>0</v>
      </c>
      <c r="CF244" s="3">
        <v>0</v>
      </c>
      <c r="CG244" s="3">
        <v>0</v>
      </c>
      <c r="CH244" s="3">
        <v>0</v>
      </c>
      <c r="CI244" s="3">
        <v>1</v>
      </c>
      <c r="CJ244" s="3">
        <v>0</v>
      </c>
      <c r="CK244" s="3">
        <v>0</v>
      </c>
      <c r="CL244" s="3">
        <v>0</v>
      </c>
      <c r="CM244" s="3">
        <v>0</v>
      </c>
      <c r="CN244" s="3">
        <v>0</v>
      </c>
      <c r="CO244" s="4">
        <f t="shared" si="126"/>
        <v>1</v>
      </c>
      <c r="CP244" s="3">
        <v>0</v>
      </c>
      <c r="CQ244" s="3">
        <v>0</v>
      </c>
      <c r="CR244" s="3">
        <v>0</v>
      </c>
      <c r="CS244" s="3">
        <v>0</v>
      </c>
      <c r="CT244" s="3">
        <v>0</v>
      </c>
      <c r="CU244" s="3">
        <v>0</v>
      </c>
      <c r="CV244" s="3">
        <v>0</v>
      </c>
      <c r="CW244" s="3">
        <v>0</v>
      </c>
      <c r="CX244" s="3">
        <v>0</v>
      </c>
      <c r="CY244" s="3">
        <v>0</v>
      </c>
      <c r="CZ244" s="3">
        <v>0</v>
      </c>
      <c r="DA244" s="3">
        <v>0</v>
      </c>
      <c r="DB244" s="4">
        <f t="shared" si="127"/>
        <v>0</v>
      </c>
      <c r="DC244" s="3">
        <v>0</v>
      </c>
      <c r="DD244" s="3">
        <v>0</v>
      </c>
      <c r="DE244" s="3">
        <v>0</v>
      </c>
      <c r="DF244" s="3">
        <v>0</v>
      </c>
      <c r="DG244" s="3">
        <v>0</v>
      </c>
      <c r="DH244" s="3">
        <v>0</v>
      </c>
      <c r="DI244" s="3">
        <v>0</v>
      </c>
      <c r="DJ244" s="3">
        <v>0</v>
      </c>
      <c r="DK244" s="3">
        <v>0</v>
      </c>
      <c r="DL244" s="3">
        <v>0</v>
      </c>
      <c r="DM244" s="3">
        <v>0</v>
      </c>
      <c r="DN244" s="3">
        <v>0</v>
      </c>
      <c r="DO244" s="4">
        <f t="shared" si="128"/>
        <v>0</v>
      </c>
      <c r="DP244" s="3">
        <v>0</v>
      </c>
      <c r="DQ244" s="3">
        <v>0</v>
      </c>
      <c r="DR244" s="3">
        <v>0</v>
      </c>
      <c r="DS244" s="3">
        <v>0</v>
      </c>
      <c r="DT244" s="3">
        <v>0</v>
      </c>
      <c r="DU244" s="3">
        <v>0</v>
      </c>
      <c r="DV244" s="3">
        <v>0</v>
      </c>
      <c r="DW244" s="3">
        <v>0</v>
      </c>
      <c r="DX244" s="3">
        <v>0</v>
      </c>
      <c r="DY244" s="3">
        <v>0</v>
      </c>
      <c r="DZ244" s="3">
        <v>0</v>
      </c>
      <c r="EA244" s="3">
        <v>0</v>
      </c>
      <c r="EB244" s="4">
        <f t="shared" si="129"/>
        <v>0</v>
      </c>
      <c r="EC244" s="3">
        <v>0</v>
      </c>
      <c r="ED244" s="3">
        <v>0</v>
      </c>
      <c r="EE244" s="3">
        <v>0</v>
      </c>
      <c r="EF244" s="3">
        <v>0</v>
      </c>
      <c r="EG244" s="3">
        <v>0</v>
      </c>
      <c r="EH244" s="3">
        <v>0</v>
      </c>
      <c r="EI244" s="3">
        <v>0</v>
      </c>
      <c r="EJ244" s="3">
        <v>0</v>
      </c>
      <c r="EK244" s="3">
        <v>0</v>
      </c>
      <c r="EL244" s="3">
        <v>0</v>
      </c>
      <c r="EM244" s="3">
        <v>0</v>
      </c>
      <c r="EN244" s="3">
        <v>0</v>
      </c>
      <c r="EO244" s="4">
        <f t="shared" si="130"/>
        <v>0</v>
      </c>
      <c r="EP244" s="8">
        <f t="shared" si="131"/>
        <v>1</v>
      </c>
      <c r="EQ244" s="181">
        <f>IFERROR(VLOOKUP(I244,CEI_012018!$A$1:$U$509,9,FALSE),0)</f>
        <v>0</v>
      </c>
      <c r="ER244" s="181">
        <f>IFERROR(VLOOKUP(I244,CEI_022018!$A$1:$U$509,9,FALSE),0)</f>
        <v>0</v>
      </c>
      <c r="ES244" s="181">
        <f>IFERROR(VLOOKUP(I244,CEI_032018!$A$1:$U$509,9,FALSE),0)</f>
        <v>0</v>
      </c>
      <c r="ET244" s="181">
        <f>IFERROR(VLOOKUP(I244,CEI_042018!$A$1:$U$491,9,FALSE),0)</f>
        <v>0</v>
      </c>
      <c r="EU244" s="181">
        <f>IFERROR(VLOOKUP(I244,CEI_052018!$A$1:$U$489,9,FALSE),0)</f>
        <v>0</v>
      </c>
      <c r="EV244" s="181">
        <f>IFERROR(VLOOKUP(I244,CEI_062018!$A$1:$U$489,9,FALSE),0)</f>
        <v>0</v>
      </c>
      <c r="EW244" s="181">
        <f>IFERROR(VLOOKUP(I244,CEI_072018!$A$1:$U$489,9,FALSE),0)</f>
        <v>800</v>
      </c>
      <c r="EX244" s="181">
        <f>IFERROR(VLOOKUP(I244,CEI_082018!$A$1:$U$489,9,FALSE),0)</f>
        <v>800</v>
      </c>
      <c r="EY244" s="181">
        <f>IFERROR(VLOOKUP(I244,CEI_092018!$A$1:$U$489,9,FALSE),0)</f>
        <v>800</v>
      </c>
      <c r="EZ244" s="181"/>
      <c r="FA244" s="181"/>
      <c r="FB244" s="181"/>
      <c r="FC244" s="181">
        <f>IFERROR(VLOOKUP(I244,CEI_092018!$A$1:$U$489,12,FALSE),0)</f>
        <v>0</v>
      </c>
      <c r="FD244" s="181">
        <f t="shared" si="133"/>
        <v>800</v>
      </c>
      <c r="FE244" s="181">
        <f t="shared" si="134"/>
        <v>0</v>
      </c>
      <c r="FF244"/>
      <c r="FG244"/>
      <c r="FH244"/>
      <c r="FI244"/>
      <c r="FJ244"/>
      <c r="FK244"/>
      <c r="FL244"/>
      <c r="FM244"/>
      <c r="FN244"/>
      <c r="FO244"/>
      <c r="FP244"/>
      <c r="FQ244"/>
      <c r="FR244"/>
      <c r="FS244"/>
      <c r="FT244"/>
      <c r="FU244"/>
      <c r="FV244"/>
      <c r="FW244"/>
      <c r="FX244"/>
      <c r="FY244"/>
      <c r="FZ244"/>
      <c r="GA244"/>
      <c r="GB244"/>
      <c r="GC244"/>
    </row>
    <row r="245" spans="1:185" ht="12.75" customHeight="1" x14ac:dyDescent="0.25">
      <c r="A245" s="202"/>
      <c r="B245" s="22" t="s">
        <v>57</v>
      </c>
      <c r="C245" s="34" t="s">
        <v>44</v>
      </c>
      <c r="D245" s="22" t="s">
        <v>318</v>
      </c>
      <c r="E245" s="25" t="s">
        <v>1066</v>
      </c>
      <c r="F245" s="25" t="s">
        <v>318</v>
      </c>
      <c r="G245" s="25" t="s">
        <v>1066</v>
      </c>
      <c r="H245" s="22" t="s">
        <v>56</v>
      </c>
      <c r="I245" s="483" t="s">
        <v>1647</v>
      </c>
      <c r="J245" s="255" t="s">
        <v>1648</v>
      </c>
      <c r="K245" s="23" t="s">
        <v>1574</v>
      </c>
      <c r="L245" s="23" t="s">
        <v>1689</v>
      </c>
      <c r="M245" s="23" t="s">
        <v>1696</v>
      </c>
      <c r="N245" s="23" t="s">
        <v>1877</v>
      </c>
      <c r="O245" s="2">
        <v>0</v>
      </c>
      <c r="P245" s="2">
        <v>0</v>
      </c>
      <c r="Q245" s="2">
        <v>620</v>
      </c>
      <c r="R245" s="2">
        <v>140</v>
      </c>
      <c r="S245" s="2">
        <v>0</v>
      </c>
      <c r="T245" s="116">
        <f t="shared" si="116"/>
        <v>760</v>
      </c>
      <c r="U245" s="324">
        <v>0</v>
      </c>
      <c r="V245" s="324">
        <v>0</v>
      </c>
      <c r="W245" s="324">
        <v>0</v>
      </c>
      <c r="X245" s="324">
        <v>0</v>
      </c>
      <c r="Y245" s="324">
        <v>0</v>
      </c>
      <c r="Z245" s="324">
        <v>0</v>
      </c>
      <c r="AA245" s="324">
        <v>0</v>
      </c>
      <c r="AB245" s="324">
        <v>0</v>
      </c>
      <c r="AC245" s="324">
        <v>0</v>
      </c>
      <c r="AD245" s="324">
        <v>0</v>
      </c>
      <c r="AE245" s="324">
        <v>0</v>
      </c>
      <c r="AF245" s="324">
        <v>0</v>
      </c>
      <c r="AG245" s="140">
        <f t="shared" si="117"/>
        <v>0</v>
      </c>
      <c r="AH245" s="324">
        <v>0</v>
      </c>
      <c r="AI245" s="324">
        <v>0</v>
      </c>
      <c r="AJ245" s="324">
        <v>0</v>
      </c>
      <c r="AK245" s="324">
        <v>0</v>
      </c>
      <c r="AL245" s="324">
        <v>0</v>
      </c>
      <c r="AM245" s="324">
        <v>0</v>
      </c>
      <c r="AN245" s="324">
        <v>0</v>
      </c>
      <c r="AO245" s="324">
        <v>0</v>
      </c>
      <c r="AP245" s="324">
        <v>0</v>
      </c>
      <c r="AQ245" s="324">
        <v>0</v>
      </c>
      <c r="AR245" s="324">
        <v>0</v>
      </c>
      <c r="AS245" s="324">
        <v>0</v>
      </c>
      <c r="AT245" s="140">
        <f t="shared" si="118"/>
        <v>0</v>
      </c>
      <c r="AU245" s="324">
        <v>0</v>
      </c>
      <c r="AV245" s="324">
        <v>0</v>
      </c>
      <c r="AW245" s="324">
        <v>0</v>
      </c>
      <c r="AX245" s="324">
        <v>0</v>
      </c>
      <c r="AY245" s="324">
        <v>0</v>
      </c>
      <c r="AZ245" s="324">
        <v>0</v>
      </c>
      <c r="BA245" s="324">
        <v>0</v>
      </c>
      <c r="BB245" s="324">
        <v>0</v>
      </c>
      <c r="BC245" s="324">
        <v>0</v>
      </c>
      <c r="BD245" s="324">
        <v>0</v>
      </c>
      <c r="BE245" s="324">
        <v>0</v>
      </c>
      <c r="BF245" s="324">
        <v>0</v>
      </c>
      <c r="BG245" s="140">
        <f t="shared" si="119"/>
        <v>0</v>
      </c>
      <c r="BH245" s="324">
        <v>0</v>
      </c>
      <c r="BI245" s="324">
        <v>0</v>
      </c>
      <c r="BJ245" s="324">
        <v>0</v>
      </c>
      <c r="BK245" s="324">
        <v>0</v>
      </c>
      <c r="BL245" s="324">
        <v>0</v>
      </c>
      <c r="BM245" s="324">
        <v>0</v>
      </c>
      <c r="BN245" s="324">
        <v>0</v>
      </c>
      <c r="BO245" s="324">
        <v>0</v>
      </c>
      <c r="BP245" s="324">
        <v>0</v>
      </c>
      <c r="BQ245" s="324">
        <v>0</v>
      </c>
      <c r="BR245" s="324">
        <v>0</v>
      </c>
      <c r="BS245" s="324">
        <v>0</v>
      </c>
      <c r="BT245" s="140">
        <f t="shared" si="120"/>
        <v>0</v>
      </c>
      <c r="BU245" s="114">
        <f t="shared" si="121"/>
        <v>760</v>
      </c>
      <c r="BV245" s="372">
        <v>1</v>
      </c>
      <c r="BW245" s="372">
        <v>1</v>
      </c>
      <c r="BX245" s="372">
        <v>1</v>
      </c>
      <c r="BY245" s="372">
        <v>-1</v>
      </c>
      <c r="BZ245" s="436">
        <f t="shared" si="135"/>
        <v>0</v>
      </c>
      <c r="CA245" s="428">
        <f>IFERROR((FD245/T245%),0)</f>
        <v>76.381052920692852</v>
      </c>
      <c r="CB245" s="7" t="s">
        <v>1681</v>
      </c>
      <c r="CC245" s="3">
        <v>0</v>
      </c>
      <c r="CD245" s="3">
        <v>0</v>
      </c>
      <c r="CE245" s="3">
        <v>0</v>
      </c>
      <c r="CF245" s="3">
        <v>0</v>
      </c>
      <c r="CG245" s="3">
        <v>0</v>
      </c>
      <c r="CH245" s="3">
        <v>0</v>
      </c>
      <c r="CI245" s="3">
        <v>0</v>
      </c>
      <c r="CJ245" s="3">
        <v>0</v>
      </c>
      <c r="CK245" s="3">
        <v>0</v>
      </c>
      <c r="CL245" s="3">
        <v>4</v>
      </c>
      <c r="CM245" s="3">
        <v>0</v>
      </c>
      <c r="CN245" s="3">
        <v>0</v>
      </c>
      <c r="CO245" s="4">
        <f t="shared" si="126"/>
        <v>4</v>
      </c>
      <c r="CP245" s="3">
        <v>0</v>
      </c>
      <c r="CQ245" s="3">
        <v>0</v>
      </c>
      <c r="CR245" s="3">
        <v>0</v>
      </c>
      <c r="CS245" s="3">
        <v>0</v>
      </c>
      <c r="CT245" s="3">
        <v>0</v>
      </c>
      <c r="CU245" s="3">
        <v>0</v>
      </c>
      <c r="CV245" s="3">
        <v>0</v>
      </c>
      <c r="CW245" s="3">
        <v>0</v>
      </c>
      <c r="CX245" s="3">
        <v>0</v>
      </c>
      <c r="CY245" s="3">
        <v>0</v>
      </c>
      <c r="CZ245" s="3">
        <v>0</v>
      </c>
      <c r="DA245" s="3">
        <v>0</v>
      </c>
      <c r="DB245" s="4">
        <f t="shared" si="127"/>
        <v>0</v>
      </c>
      <c r="DC245" s="3">
        <v>0</v>
      </c>
      <c r="DD245" s="3">
        <v>0</v>
      </c>
      <c r="DE245" s="3">
        <v>0</v>
      </c>
      <c r="DF245" s="3">
        <v>0</v>
      </c>
      <c r="DG245" s="3">
        <v>0</v>
      </c>
      <c r="DH245" s="3">
        <v>0</v>
      </c>
      <c r="DI245" s="3">
        <v>0</v>
      </c>
      <c r="DJ245" s="3">
        <v>0</v>
      </c>
      <c r="DK245" s="3">
        <v>0</v>
      </c>
      <c r="DL245" s="3">
        <v>0</v>
      </c>
      <c r="DM245" s="3">
        <v>0</v>
      </c>
      <c r="DN245" s="3">
        <v>0</v>
      </c>
      <c r="DO245" s="4">
        <f t="shared" si="128"/>
        <v>0</v>
      </c>
      <c r="DP245" s="3">
        <v>0</v>
      </c>
      <c r="DQ245" s="3">
        <v>0</v>
      </c>
      <c r="DR245" s="3">
        <v>0</v>
      </c>
      <c r="DS245" s="3">
        <v>0</v>
      </c>
      <c r="DT245" s="3">
        <v>0</v>
      </c>
      <c r="DU245" s="3">
        <v>0</v>
      </c>
      <c r="DV245" s="3">
        <v>0</v>
      </c>
      <c r="DW245" s="3">
        <v>0</v>
      </c>
      <c r="DX245" s="3">
        <v>0</v>
      </c>
      <c r="DY245" s="3">
        <v>0</v>
      </c>
      <c r="DZ245" s="3">
        <v>0</v>
      </c>
      <c r="EA245" s="3">
        <v>0</v>
      </c>
      <c r="EB245" s="4">
        <f t="shared" si="129"/>
        <v>0</v>
      </c>
      <c r="EC245" s="3">
        <v>0</v>
      </c>
      <c r="ED245" s="3">
        <v>0</v>
      </c>
      <c r="EE245" s="3">
        <v>0</v>
      </c>
      <c r="EF245" s="3">
        <v>0</v>
      </c>
      <c r="EG245" s="3">
        <v>0</v>
      </c>
      <c r="EH245" s="3">
        <v>0</v>
      </c>
      <c r="EI245" s="3">
        <v>0</v>
      </c>
      <c r="EJ245" s="3">
        <v>0</v>
      </c>
      <c r="EK245" s="3">
        <v>0</v>
      </c>
      <c r="EL245" s="3">
        <v>0</v>
      </c>
      <c r="EM245" s="3">
        <v>0</v>
      </c>
      <c r="EN245" s="3">
        <v>0</v>
      </c>
      <c r="EO245" s="4">
        <f t="shared" si="130"/>
        <v>0</v>
      </c>
      <c r="EP245" s="8">
        <f t="shared" si="131"/>
        <v>4</v>
      </c>
      <c r="EQ245" s="181">
        <f>IFERROR(VLOOKUP(I245,CEI_012018!$A$1:$U$509,9,FALSE),0)</f>
        <v>0</v>
      </c>
      <c r="ER245" s="181">
        <f>IFERROR(VLOOKUP(I245,CEI_022018!$A$1:$U$509,9,FALSE),0)</f>
        <v>0</v>
      </c>
      <c r="ES245" s="181">
        <f>IFERROR(VLOOKUP(I245,CEI_032018!$A$1:$U$509,9,FALSE),0)</f>
        <v>0</v>
      </c>
      <c r="ET245" s="181">
        <f>IFERROR(VLOOKUP(I245,CEI_042018!$A$1:$U$491,9,FALSE),0)</f>
        <v>0</v>
      </c>
      <c r="EU245" s="181">
        <f>IFERROR(VLOOKUP(I245,CEI_052018!$A$1:$U$489,9,FALSE),0)</f>
        <v>0</v>
      </c>
      <c r="EV245" s="181">
        <f>IFERROR(VLOOKUP(I245,CEI_062018!$A$1:$U$489,9,FALSE),0)</f>
        <v>0</v>
      </c>
      <c r="EW245" s="181">
        <f>IFERROR(VLOOKUP(I245,CEI_072018!$A$1:$U$489,9,FALSE),0)</f>
        <v>0</v>
      </c>
      <c r="EX245" s="181">
        <f>IFERROR(VLOOKUP(I245,CEI_082018!$A$1:$U$489,9,FALSE),0)</f>
        <v>0</v>
      </c>
      <c r="EY245" s="181">
        <f>IFERROR(VLOOKUP(I245,CEI_092018!$A$1:$U$489,9,FALSE),0)</f>
        <v>0</v>
      </c>
      <c r="EZ245" s="181"/>
      <c r="FA245" s="181"/>
      <c r="FB245" s="181"/>
      <c r="FC245" s="181">
        <f>IFERROR(VLOOKUP(I245,CEI_092018!$A$1:$U$489,12,FALSE),0)</f>
        <v>580.49600219726562</v>
      </c>
      <c r="FD245" s="181">
        <f t="shared" si="133"/>
        <v>580.49600219726562</v>
      </c>
      <c r="FE245" s="181">
        <f t="shared" si="134"/>
        <v>179.50399780273438</v>
      </c>
      <c r="FF245"/>
      <c r="FG245"/>
      <c r="FH245"/>
      <c r="FI245"/>
      <c r="FJ245"/>
      <c r="FK245"/>
      <c r="FL245"/>
      <c r="FM245"/>
      <c r="FN245"/>
      <c r="FO245"/>
      <c r="FP245"/>
      <c r="FQ245"/>
      <c r="FR245"/>
      <c r="FS245"/>
      <c r="FT245"/>
      <c r="FU245"/>
      <c r="FV245"/>
      <c r="FW245"/>
      <c r="FX245"/>
      <c r="FY245"/>
      <c r="FZ245"/>
      <c r="GA245"/>
      <c r="GB245"/>
      <c r="GC245"/>
    </row>
    <row r="246" spans="1:185" ht="12.75" customHeight="1" x14ac:dyDescent="0.25">
      <c r="A246" s="202"/>
      <c r="B246" s="22" t="s">
        <v>57</v>
      </c>
      <c r="C246" s="34" t="s">
        <v>44</v>
      </c>
      <c r="D246" s="22" t="s">
        <v>1059</v>
      </c>
      <c r="E246" s="25" t="s">
        <v>1065</v>
      </c>
      <c r="F246" s="25" t="s">
        <v>1059</v>
      </c>
      <c r="G246" s="25" t="s">
        <v>1065</v>
      </c>
      <c r="H246" s="22" t="s">
        <v>56</v>
      </c>
      <c r="I246" s="423" t="s">
        <v>1163</v>
      </c>
      <c r="J246" s="37" t="s">
        <v>1381</v>
      </c>
      <c r="K246" s="23" t="s">
        <v>335</v>
      </c>
      <c r="L246" s="23" t="s">
        <v>336</v>
      </c>
      <c r="M246" s="23" t="s">
        <v>337</v>
      </c>
      <c r="N246" s="23" t="s">
        <v>1864</v>
      </c>
      <c r="O246" s="2">
        <v>175.63199806213379</v>
      </c>
      <c r="P246" s="2">
        <v>0</v>
      </c>
      <c r="Q246" s="2">
        <v>30</v>
      </c>
      <c r="R246" s="2">
        <v>0</v>
      </c>
      <c r="S246" s="2">
        <v>7.1840008697509745</v>
      </c>
      <c r="T246" s="116">
        <f t="shared" si="116"/>
        <v>212.81599893188476</v>
      </c>
      <c r="U246" s="324">
        <v>50</v>
      </c>
      <c r="V246" s="324">
        <v>50</v>
      </c>
      <c r="W246" s="324">
        <v>50</v>
      </c>
      <c r="X246" s="324">
        <v>50</v>
      </c>
      <c r="Y246" s="324">
        <v>87</v>
      </c>
      <c r="Z246" s="324">
        <v>0</v>
      </c>
      <c r="AA246" s="324">
        <v>150</v>
      </c>
      <c r="AB246" s="324">
        <v>100</v>
      </c>
      <c r="AC246" s="324">
        <v>0</v>
      </c>
      <c r="AD246" s="324">
        <v>0</v>
      </c>
      <c r="AE246" s="324">
        <v>0</v>
      </c>
      <c r="AF246" s="324">
        <v>0</v>
      </c>
      <c r="AG246" s="140">
        <f t="shared" si="117"/>
        <v>537</v>
      </c>
      <c r="AH246" s="324">
        <v>0</v>
      </c>
      <c r="AI246" s="324">
        <v>0</v>
      </c>
      <c r="AJ246" s="324">
        <v>0</v>
      </c>
      <c r="AK246" s="324">
        <v>0</v>
      </c>
      <c r="AL246" s="324">
        <v>0</v>
      </c>
      <c r="AM246" s="324">
        <v>0</v>
      </c>
      <c r="AN246" s="324">
        <v>0</v>
      </c>
      <c r="AO246" s="324">
        <v>0</v>
      </c>
      <c r="AP246" s="324">
        <v>0</v>
      </c>
      <c r="AQ246" s="324">
        <v>0</v>
      </c>
      <c r="AR246" s="324">
        <v>0</v>
      </c>
      <c r="AS246" s="324">
        <v>0</v>
      </c>
      <c r="AT246" s="140">
        <f t="shared" si="118"/>
        <v>0</v>
      </c>
      <c r="AU246" s="324">
        <v>0</v>
      </c>
      <c r="AV246" s="324">
        <v>0</v>
      </c>
      <c r="AW246" s="324">
        <v>0</v>
      </c>
      <c r="AX246" s="324">
        <v>0</v>
      </c>
      <c r="AY246" s="324">
        <v>0</v>
      </c>
      <c r="AZ246" s="324">
        <v>0</v>
      </c>
      <c r="BA246" s="324">
        <v>0</v>
      </c>
      <c r="BB246" s="324">
        <v>0</v>
      </c>
      <c r="BC246" s="324">
        <v>0</v>
      </c>
      <c r="BD246" s="324">
        <v>0</v>
      </c>
      <c r="BE246" s="324">
        <v>0</v>
      </c>
      <c r="BF246" s="324">
        <v>0</v>
      </c>
      <c r="BG246" s="140">
        <f t="shared" si="119"/>
        <v>0</v>
      </c>
      <c r="BH246" s="324">
        <v>0</v>
      </c>
      <c r="BI246" s="324">
        <v>0</v>
      </c>
      <c r="BJ246" s="324">
        <v>0</v>
      </c>
      <c r="BK246" s="324">
        <v>0</v>
      </c>
      <c r="BL246" s="324">
        <v>0</v>
      </c>
      <c r="BM246" s="324">
        <v>0</v>
      </c>
      <c r="BN246" s="324">
        <v>0</v>
      </c>
      <c r="BO246" s="324">
        <v>0</v>
      </c>
      <c r="BP246" s="324">
        <v>0</v>
      </c>
      <c r="BQ246" s="324">
        <v>0</v>
      </c>
      <c r="BR246" s="324">
        <v>0</v>
      </c>
      <c r="BS246" s="324">
        <v>0</v>
      </c>
      <c r="BT246" s="140">
        <f t="shared" si="120"/>
        <v>0</v>
      </c>
      <c r="BU246" s="114">
        <f t="shared" si="121"/>
        <v>749.81599893188479</v>
      </c>
      <c r="BV246" s="372">
        <v>1</v>
      </c>
      <c r="BW246" s="372">
        <v>1</v>
      </c>
      <c r="BX246" s="372">
        <v>1</v>
      </c>
      <c r="BY246" s="372">
        <v>1</v>
      </c>
      <c r="BZ246" s="436">
        <f t="shared" si="135"/>
        <v>82.527629005161259</v>
      </c>
      <c r="CA246" s="428">
        <f>IFERROR((FD246/T246%),0)</f>
        <v>223.51049487967643</v>
      </c>
      <c r="CB246" s="7" t="s">
        <v>1700</v>
      </c>
      <c r="CC246" s="3">
        <v>0</v>
      </c>
      <c r="CD246" s="3">
        <v>0</v>
      </c>
      <c r="CE246" s="3">
        <v>86.88000000000001</v>
      </c>
      <c r="CF246" s="3">
        <v>0</v>
      </c>
      <c r="CG246" s="3">
        <v>74.48</v>
      </c>
      <c r="CH246" s="3">
        <v>0</v>
      </c>
      <c r="CI246" s="3">
        <v>25</v>
      </c>
      <c r="CJ246" s="3">
        <v>25</v>
      </c>
      <c r="CK246" s="3">
        <v>25</v>
      </c>
      <c r="CL246" s="3">
        <v>25</v>
      </c>
      <c r="CM246" s="3">
        <v>25</v>
      </c>
      <c r="CN246" s="3">
        <v>68.333333333333343</v>
      </c>
      <c r="CO246" s="4">
        <f t="shared" si="126"/>
        <v>354.69333333333338</v>
      </c>
      <c r="CP246" s="3">
        <v>83.333333333333343</v>
      </c>
      <c r="CQ246" s="3">
        <v>83.333333333333343</v>
      </c>
      <c r="CR246" s="3">
        <v>83.333333333333343</v>
      </c>
      <c r="CS246" s="3">
        <v>83.333333333333343</v>
      </c>
      <c r="CT246" s="3">
        <v>145</v>
      </c>
      <c r="CU246" s="3">
        <v>0</v>
      </c>
      <c r="CV246" s="3">
        <v>250</v>
      </c>
      <c r="CW246" s="3">
        <v>166.66666666666669</v>
      </c>
      <c r="CX246" s="3">
        <v>0</v>
      </c>
      <c r="CY246" s="3">
        <v>0</v>
      </c>
      <c r="CZ246" s="3">
        <v>0</v>
      </c>
      <c r="DA246" s="3">
        <v>0</v>
      </c>
      <c r="DB246" s="4">
        <f t="shared" si="127"/>
        <v>895</v>
      </c>
      <c r="DC246" s="3">
        <v>0</v>
      </c>
      <c r="DD246" s="3">
        <v>0</v>
      </c>
      <c r="DE246" s="3">
        <v>0</v>
      </c>
      <c r="DF246" s="3">
        <v>0</v>
      </c>
      <c r="DG246" s="3">
        <v>0</v>
      </c>
      <c r="DH246" s="3">
        <v>0</v>
      </c>
      <c r="DI246" s="3">
        <v>0</v>
      </c>
      <c r="DJ246" s="3">
        <v>0</v>
      </c>
      <c r="DK246" s="3">
        <v>0</v>
      </c>
      <c r="DL246" s="3">
        <v>0</v>
      </c>
      <c r="DM246" s="3">
        <v>0</v>
      </c>
      <c r="DN246" s="3">
        <v>0</v>
      </c>
      <c r="DO246" s="4">
        <f t="shared" si="128"/>
        <v>0</v>
      </c>
      <c r="DP246" s="3">
        <v>0</v>
      </c>
      <c r="DQ246" s="3">
        <v>0</v>
      </c>
      <c r="DR246" s="3">
        <v>0</v>
      </c>
      <c r="DS246" s="3">
        <v>0</v>
      </c>
      <c r="DT246" s="3">
        <v>0</v>
      </c>
      <c r="DU246" s="3">
        <v>0</v>
      </c>
      <c r="DV246" s="3">
        <v>0</v>
      </c>
      <c r="DW246" s="3">
        <v>0</v>
      </c>
      <c r="DX246" s="3">
        <v>0</v>
      </c>
      <c r="DY246" s="3">
        <v>0</v>
      </c>
      <c r="DZ246" s="3">
        <v>0</v>
      </c>
      <c r="EA246" s="3">
        <v>0</v>
      </c>
      <c r="EB246" s="4">
        <f t="shared" si="129"/>
        <v>0</v>
      </c>
      <c r="EC246" s="3">
        <v>0</v>
      </c>
      <c r="ED246" s="3">
        <v>0</v>
      </c>
      <c r="EE246" s="3">
        <v>0</v>
      </c>
      <c r="EF246" s="3">
        <v>0</v>
      </c>
      <c r="EG246" s="3">
        <v>0</v>
      </c>
      <c r="EH246" s="3">
        <v>0</v>
      </c>
      <c r="EI246" s="3">
        <v>0</v>
      </c>
      <c r="EJ246" s="3">
        <v>0</v>
      </c>
      <c r="EK246" s="3">
        <v>0</v>
      </c>
      <c r="EL246" s="3">
        <v>0</v>
      </c>
      <c r="EM246" s="3">
        <v>0</v>
      </c>
      <c r="EN246" s="3">
        <v>0</v>
      </c>
      <c r="EO246" s="4">
        <f t="shared" si="130"/>
        <v>0</v>
      </c>
      <c r="EP246" s="8">
        <f t="shared" si="131"/>
        <v>1249.6933333333334</v>
      </c>
      <c r="EQ246" s="181">
        <f>IFERROR(VLOOKUP(I246,CEI_012018!$A$1:$U$509,9,FALSE),0)</f>
        <v>0</v>
      </c>
      <c r="ER246" s="181">
        <f>IFERROR(VLOOKUP(I246,CEI_022018!$A$1:$U$509,9,FALSE),0)</f>
        <v>0</v>
      </c>
      <c r="ES246" s="181">
        <f>IFERROR(VLOOKUP(I246,CEI_032018!$A$1:$U$509,9,FALSE),0)</f>
        <v>52.127998352050781</v>
      </c>
      <c r="ET246" s="181">
        <f>IFERROR(VLOOKUP(I246,CEI_042018!$A$1:$U$491,9,FALSE),0)</f>
        <v>52.127998352050781</v>
      </c>
      <c r="EU246" s="181">
        <f>IFERROR(VLOOKUP(I246,CEI_052018!$A$1:$U$489,9,FALSE),0)</f>
        <v>96.815998077392578</v>
      </c>
      <c r="EV246" s="181">
        <f>IFERROR(VLOOKUP(I246,CEI_062018!$A$1:$U$489,9,FALSE),0)</f>
        <v>96.815998077392578</v>
      </c>
      <c r="EW246" s="181">
        <f>IFERROR(VLOOKUP(I246,CEI_072018!$A$1:$U$489,9,FALSE),0)</f>
        <v>147.11999893188477</v>
      </c>
      <c r="EX246" s="181">
        <f>IFERROR(VLOOKUP(I246,CEI_082018!$A$1:$U$489,9,FALSE),0)</f>
        <v>175.63199806213379</v>
      </c>
      <c r="EY246" s="181">
        <f>IFERROR(VLOOKUP(I246,CEI_092018!$A$1:$U$489,9,FALSE),0)</f>
        <v>175.63199806213379</v>
      </c>
      <c r="EZ246" s="181"/>
      <c r="FA246" s="181"/>
      <c r="FB246" s="181"/>
      <c r="FC246" s="181">
        <f>IFERROR(VLOOKUP(I246,CEI_092018!$A$1:$U$489,12,FALSE),0)</f>
        <v>328.54609346389771</v>
      </c>
      <c r="FD246" s="181">
        <f t="shared" si="133"/>
        <v>475.66609239578247</v>
      </c>
      <c r="FE246" s="181">
        <f t="shared" si="134"/>
        <v>-262.85009346389768</v>
      </c>
      <c r="FF246"/>
      <c r="FG246"/>
      <c r="FH246"/>
      <c r="FI246"/>
      <c r="FJ246"/>
      <c r="FK246"/>
      <c r="FL246"/>
      <c r="FM246"/>
      <c r="FN246"/>
      <c r="FO246"/>
      <c r="FP246"/>
      <c r="FQ246"/>
      <c r="FR246"/>
      <c r="FS246"/>
      <c r="FT246"/>
      <c r="FU246"/>
      <c r="FV246"/>
      <c r="FW246"/>
      <c r="FX246"/>
      <c r="FY246"/>
      <c r="FZ246"/>
      <c r="GA246"/>
      <c r="GB246"/>
      <c r="GC246"/>
    </row>
    <row r="247" spans="1:185" ht="12.75" customHeight="1" x14ac:dyDescent="0.25">
      <c r="A247" s="202"/>
      <c r="B247" s="22" t="s">
        <v>57</v>
      </c>
      <c r="C247" s="34" t="s">
        <v>44</v>
      </c>
      <c r="D247" s="22" t="s">
        <v>1059</v>
      </c>
      <c r="E247" s="25" t="s">
        <v>1063</v>
      </c>
      <c r="F247" s="25" t="s">
        <v>1059</v>
      </c>
      <c r="G247" s="25" t="s">
        <v>1063</v>
      </c>
      <c r="H247" s="22" t="s">
        <v>56</v>
      </c>
      <c r="I247" s="423" t="s">
        <v>1144</v>
      </c>
      <c r="J247" s="37" t="s">
        <v>1383</v>
      </c>
      <c r="K247" s="23" t="s">
        <v>1145</v>
      </c>
      <c r="L247" s="23" t="s">
        <v>756</v>
      </c>
      <c r="M247" s="23" t="s">
        <v>1146</v>
      </c>
      <c r="N247" s="23" t="s">
        <v>1880</v>
      </c>
      <c r="O247" s="2">
        <v>60.324001312255859</v>
      </c>
      <c r="P247" s="2">
        <v>42.576000000000001</v>
      </c>
      <c r="Q247" s="2">
        <v>54</v>
      </c>
      <c r="R247" s="2">
        <v>0</v>
      </c>
      <c r="S247" s="2">
        <v>59.1</v>
      </c>
      <c r="T247" s="116">
        <f t="shared" si="116"/>
        <v>216.00000131225585</v>
      </c>
      <c r="U247" s="324">
        <v>0</v>
      </c>
      <c r="V247" s="324">
        <v>0</v>
      </c>
      <c r="W247" s="324">
        <v>36</v>
      </c>
      <c r="X247" s="324">
        <v>0</v>
      </c>
      <c r="Y247" s="324">
        <v>0</v>
      </c>
      <c r="Z247" s="324">
        <v>36</v>
      </c>
      <c r="AA247" s="324">
        <v>0</v>
      </c>
      <c r="AB247" s="324">
        <v>0</v>
      </c>
      <c r="AC247" s="324">
        <v>36</v>
      </c>
      <c r="AD247" s="324">
        <v>0</v>
      </c>
      <c r="AE247" s="324">
        <v>0</v>
      </c>
      <c r="AF247" s="324">
        <v>36</v>
      </c>
      <c r="AG247" s="140">
        <f t="shared" si="117"/>
        <v>144</v>
      </c>
      <c r="AH247" s="324">
        <v>0</v>
      </c>
      <c r="AI247" s="324">
        <v>8</v>
      </c>
      <c r="AJ247" s="324">
        <v>10</v>
      </c>
      <c r="AK247" s="324">
        <v>10</v>
      </c>
      <c r="AL247" s="324">
        <v>10</v>
      </c>
      <c r="AM247" s="324">
        <v>10</v>
      </c>
      <c r="AN247" s="324">
        <v>10</v>
      </c>
      <c r="AO247" s="324">
        <v>10</v>
      </c>
      <c r="AP247" s="324">
        <v>10</v>
      </c>
      <c r="AQ247" s="324">
        <v>10</v>
      </c>
      <c r="AR247" s="324">
        <v>10</v>
      </c>
      <c r="AS247" s="324">
        <v>10</v>
      </c>
      <c r="AT247" s="140">
        <f t="shared" si="118"/>
        <v>108</v>
      </c>
      <c r="AU247" s="324">
        <v>25</v>
      </c>
      <c r="AV247" s="324">
        <v>25</v>
      </c>
      <c r="AW247" s="324">
        <v>10</v>
      </c>
      <c r="AX247" s="324">
        <v>10</v>
      </c>
      <c r="AY247" s="324">
        <v>10</v>
      </c>
      <c r="AZ247" s="324">
        <v>10</v>
      </c>
      <c r="BA247" s="324">
        <v>10</v>
      </c>
      <c r="BB247" s="324">
        <v>10</v>
      </c>
      <c r="BC247" s="324">
        <v>10</v>
      </c>
      <c r="BD247" s="324">
        <v>10</v>
      </c>
      <c r="BE247" s="324">
        <v>10</v>
      </c>
      <c r="BF247" s="324">
        <v>10</v>
      </c>
      <c r="BG247" s="140">
        <f t="shared" si="119"/>
        <v>150</v>
      </c>
      <c r="BH247" s="324">
        <v>0</v>
      </c>
      <c r="BI247" s="324">
        <v>0</v>
      </c>
      <c r="BJ247" s="324">
        <v>10</v>
      </c>
      <c r="BK247" s="324">
        <v>10</v>
      </c>
      <c r="BL247" s="324">
        <v>10</v>
      </c>
      <c r="BM247" s="324">
        <v>10</v>
      </c>
      <c r="BN247" s="324">
        <v>10</v>
      </c>
      <c r="BO247" s="324">
        <v>10</v>
      </c>
      <c r="BP247" s="324">
        <v>10</v>
      </c>
      <c r="BQ247" s="324">
        <v>10</v>
      </c>
      <c r="BR247" s="324">
        <v>10</v>
      </c>
      <c r="BS247" s="324">
        <v>10</v>
      </c>
      <c r="BT247" s="140">
        <f t="shared" si="120"/>
        <v>100</v>
      </c>
      <c r="BU247" s="114">
        <f t="shared" si="121"/>
        <v>718.00000131225579</v>
      </c>
      <c r="BV247" s="372">
        <v>1</v>
      </c>
      <c r="BW247" s="372">
        <v>1</v>
      </c>
      <c r="BX247" s="372">
        <v>1</v>
      </c>
      <c r="BY247" s="372">
        <v>1</v>
      </c>
      <c r="BZ247" s="436">
        <f t="shared" si="135"/>
        <v>27.927778215635168</v>
      </c>
      <c r="CA247" s="428">
        <f>IFERROR((FD247/T247%),0)</f>
        <v>99.999997626410618</v>
      </c>
      <c r="CB247" s="7" t="s">
        <v>1700</v>
      </c>
      <c r="CC247" s="3">
        <v>0</v>
      </c>
      <c r="CD247" s="3">
        <v>0</v>
      </c>
      <c r="CE247" s="3">
        <v>0</v>
      </c>
      <c r="CF247" s="3">
        <v>19.04</v>
      </c>
      <c r="CG247" s="3">
        <v>0</v>
      </c>
      <c r="CH247" s="3">
        <v>0</v>
      </c>
      <c r="CI247" s="3">
        <v>90</v>
      </c>
      <c r="CJ247" s="3">
        <v>0</v>
      </c>
      <c r="CK247" s="3">
        <v>70.960000000000008</v>
      </c>
      <c r="CL247" s="3">
        <v>90</v>
      </c>
      <c r="CM247" s="3">
        <v>0</v>
      </c>
      <c r="CN247" s="3">
        <v>90</v>
      </c>
      <c r="CO247" s="4">
        <f t="shared" si="126"/>
        <v>360</v>
      </c>
      <c r="CP247" s="3">
        <v>0</v>
      </c>
      <c r="CQ247" s="3">
        <v>0</v>
      </c>
      <c r="CR247" s="3">
        <v>60</v>
      </c>
      <c r="CS247" s="3">
        <v>0</v>
      </c>
      <c r="CT247" s="3">
        <v>0</v>
      </c>
      <c r="CU247" s="3">
        <v>60</v>
      </c>
      <c r="CV247" s="3">
        <v>0</v>
      </c>
      <c r="CW247" s="3">
        <v>0</v>
      </c>
      <c r="CX247" s="3">
        <v>60</v>
      </c>
      <c r="CY247" s="3">
        <v>0</v>
      </c>
      <c r="CZ247" s="3">
        <v>0</v>
      </c>
      <c r="DA247" s="3">
        <v>60</v>
      </c>
      <c r="DB247" s="4">
        <f t="shared" si="127"/>
        <v>240</v>
      </c>
      <c r="DC247" s="3">
        <v>0</v>
      </c>
      <c r="DD247" s="3">
        <v>13.333333333333334</v>
      </c>
      <c r="DE247" s="3">
        <v>16.666666666666668</v>
      </c>
      <c r="DF247" s="3">
        <v>16.666666666666668</v>
      </c>
      <c r="DG247" s="3">
        <v>16.666666666666668</v>
      </c>
      <c r="DH247" s="3">
        <v>16.666666666666668</v>
      </c>
      <c r="DI247" s="3">
        <v>16.666666666666668</v>
      </c>
      <c r="DJ247" s="3">
        <v>16.666666666666668</v>
      </c>
      <c r="DK247" s="3">
        <v>16.666666666666668</v>
      </c>
      <c r="DL247" s="3">
        <v>16.666666666666668</v>
      </c>
      <c r="DM247" s="3">
        <v>16.666666666666668</v>
      </c>
      <c r="DN247" s="3">
        <v>16.666666666666668</v>
      </c>
      <c r="DO247" s="4">
        <f t="shared" si="128"/>
        <v>180</v>
      </c>
      <c r="DP247" s="3">
        <v>41.666666666666671</v>
      </c>
      <c r="DQ247" s="3">
        <v>41.666666666666671</v>
      </c>
      <c r="DR247" s="3">
        <v>16.666666666666668</v>
      </c>
      <c r="DS247" s="3">
        <v>16.666666666666668</v>
      </c>
      <c r="DT247" s="3">
        <v>16.666666666666668</v>
      </c>
      <c r="DU247" s="3">
        <v>16.666666666666668</v>
      </c>
      <c r="DV247" s="3">
        <v>16.666666666666668</v>
      </c>
      <c r="DW247" s="3">
        <v>16.666666666666668</v>
      </c>
      <c r="DX247" s="3">
        <v>16.666666666666668</v>
      </c>
      <c r="DY247" s="3">
        <v>16.666666666666668</v>
      </c>
      <c r="DZ247" s="3">
        <v>16.666666666666668</v>
      </c>
      <c r="EA247" s="3">
        <v>16.666666666666668</v>
      </c>
      <c r="EB247" s="4">
        <f t="shared" si="129"/>
        <v>249.99999999999994</v>
      </c>
      <c r="EC247" s="3">
        <v>0</v>
      </c>
      <c r="ED247" s="3">
        <v>0</v>
      </c>
      <c r="EE247" s="3">
        <v>16.666666666666668</v>
      </c>
      <c r="EF247" s="3">
        <v>16.666666666666668</v>
      </c>
      <c r="EG247" s="3">
        <v>16.666666666666668</v>
      </c>
      <c r="EH247" s="3">
        <v>16.666666666666668</v>
      </c>
      <c r="EI247" s="3">
        <v>16.666666666666668</v>
      </c>
      <c r="EJ247" s="3">
        <v>16.666666666666668</v>
      </c>
      <c r="EK247" s="3">
        <v>16.666666666666668</v>
      </c>
      <c r="EL247" s="3">
        <v>16.666666666666668</v>
      </c>
      <c r="EM247" s="3">
        <v>16.666666666666668</v>
      </c>
      <c r="EN247" s="3">
        <v>16.666666666666668</v>
      </c>
      <c r="EO247" s="4">
        <f t="shared" si="130"/>
        <v>166.66666666666666</v>
      </c>
      <c r="EP247" s="8">
        <f t="shared" si="131"/>
        <v>1196.6666666666665</v>
      </c>
      <c r="EQ247" s="181">
        <f>IFERROR(VLOOKUP(I247,CEI_012018!$A$1:$U$509,9,FALSE),0)</f>
        <v>0</v>
      </c>
      <c r="ER247" s="181">
        <f>IFERROR(VLOOKUP(I247,CEI_022018!$A$1:$U$509,9,FALSE),0)</f>
        <v>0</v>
      </c>
      <c r="ES247" s="181">
        <f>IFERROR(VLOOKUP(I247,CEI_032018!$A$1:$U$509,9,FALSE),0)</f>
        <v>0</v>
      </c>
      <c r="ET247" s="181">
        <f>IFERROR(VLOOKUP(I247,CEI_042018!$A$1:$U$491,9,FALSE),0)</f>
        <v>11.423999786376953</v>
      </c>
      <c r="EU247" s="181">
        <f>IFERROR(VLOOKUP(I247,CEI_052018!$A$1:$U$489,9,FALSE),0)</f>
        <v>11.423999786376953</v>
      </c>
      <c r="EV247" s="181">
        <f>IFERROR(VLOOKUP(I247,CEI_062018!$A$1:$U$489,9,FALSE),0)</f>
        <v>11.423999786376953</v>
      </c>
      <c r="EW247" s="181">
        <f>IFERROR(VLOOKUP(I247,CEI_072018!$A$1:$U$489,9,FALSE),0)</f>
        <v>60.324001312255859</v>
      </c>
      <c r="EX247" s="181">
        <f>IFERROR(VLOOKUP(I247,CEI_082018!$A$1:$U$489,9,FALSE),0)</f>
        <v>60.324001312255859</v>
      </c>
      <c r="EY247" s="181">
        <f>IFERROR(VLOOKUP(I247,CEI_092018!$A$1:$U$489,9,FALSE),0)</f>
        <v>60.324001312255859</v>
      </c>
      <c r="EZ247" s="181"/>
      <c r="FA247" s="181"/>
      <c r="FB247" s="181"/>
      <c r="FC247" s="181">
        <f>IFERROR(VLOOKUP(I247,CEI_092018!$A$1:$U$489,12,FALSE),0)</f>
        <v>155.67599487304687</v>
      </c>
      <c r="FD247" s="181">
        <f t="shared" si="133"/>
        <v>215.99999618530273</v>
      </c>
      <c r="FE247" s="181">
        <f t="shared" si="134"/>
        <v>5.1269531127218215E-6</v>
      </c>
      <c r="FF247"/>
      <c r="FG247"/>
      <c r="FH247"/>
      <c r="FI247"/>
      <c r="FJ247"/>
      <c r="FK247"/>
      <c r="FL247"/>
      <c r="FM247"/>
      <c r="FN247"/>
      <c r="FO247"/>
      <c r="FP247"/>
      <c r="FQ247"/>
      <c r="FR247"/>
      <c r="FS247"/>
      <c r="FT247"/>
      <c r="FU247"/>
      <c r="FV247"/>
      <c r="FW247"/>
      <c r="FX247"/>
      <c r="FY247"/>
      <c r="FZ247"/>
      <c r="GA247"/>
      <c r="GB247"/>
      <c r="GC247"/>
    </row>
    <row r="248" spans="1:185" ht="12.75" customHeight="1" x14ac:dyDescent="0.25">
      <c r="A248" s="202"/>
      <c r="B248" s="22" t="s">
        <v>57</v>
      </c>
      <c r="C248" s="34" t="s">
        <v>44</v>
      </c>
      <c r="D248" s="22" t="s">
        <v>1059</v>
      </c>
      <c r="E248" s="25" t="s">
        <v>1063</v>
      </c>
      <c r="F248" s="25" t="s">
        <v>1852</v>
      </c>
      <c r="G248" s="25" t="s">
        <v>1063</v>
      </c>
      <c r="H248" s="22" t="s">
        <v>56</v>
      </c>
      <c r="I248" s="423" t="s">
        <v>763</v>
      </c>
      <c r="J248" s="37" t="s">
        <v>1362</v>
      </c>
      <c r="K248" s="23" t="s">
        <v>379</v>
      </c>
      <c r="L248" s="23" t="s">
        <v>380</v>
      </c>
      <c r="M248" s="23" t="s">
        <v>381</v>
      </c>
      <c r="N248" s="23" t="s">
        <v>1872</v>
      </c>
      <c r="O248" s="2">
        <v>435.61255645751953</v>
      </c>
      <c r="P248" s="2">
        <v>72</v>
      </c>
      <c r="Q248" s="2">
        <v>42</v>
      </c>
      <c r="R248" s="2">
        <v>12</v>
      </c>
      <c r="S248" s="2">
        <v>69.072013354492128</v>
      </c>
      <c r="T248" s="116">
        <f t="shared" si="116"/>
        <v>630.68456981201166</v>
      </c>
      <c r="U248" s="324">
        <v>37</v>
      </c>
      <c r="V248" s="324">
        <v>2</v>
      </c>
      <c r="W248" s="324">
        <v>15</v>
      </c>
      <c r="X248" s="324">
        <v>0</v>
      </c>
      <c r="Y248" s="324">
        <v>0</v>
      </c>
      <c r="Z248" s="324">
        <v>0</v>
      </c>
      <c r="AA248" s="324">
        <v>0</v>
      </c>
      <c r="AB248" s="324">
        <v>0</v>
      </c>
      <c r="AC248" s="324">
        <v>0</v>
      </c>
      <c r="AD248" s="324">
        <v>0</v>
      </c>
      <c r="AE248" s="324">
        <v>0</v>
      </c>
      <c r="AF248" s="324">
        <v>0</v>
      </c>
      <c r="AG248" s="140">
        <f t="shared" si="117"/>
        <v>54</v>
      </c>
      <c r="AH248" s="324">
        <v>0</v>
      </c>
      <c r="AI248" s="324">
        <v>0</v>
      </c>
      <c r="AJ248" s="324">
        <v>0</v>
      </c>
      <c r="AK248" s="324">
        <v>0</v>
      </c>
      <c r="AL248" s="324">
        <v>0</v>
      </c>
      <c r="AM248" s="324">
        <v>0</v>
      </c>
      <c r="AN248" s="324">
        <v>0</v>
      </c>
      <c r="AO248" s="324">
        <v>0</v>
      </c>
      <c r="AP248" s="324">
        <v>0</v>
      </c>
      <c r="AQ248" s="324">
        <v>0</v>
      </c>
      <c r="AR248" s="324">
        <v>0</v>
      </c>
      <c r="AS248" s="324">
        <v>0</v>
      </c>
      <c r="AT248" s="140">
        <f t="shared" si="118"/>
        <v>0</v>
      </c>
      <c r="AU248" s="324">
        <v>0</v>
      </c>
      <c r="AV248" s="324">
        <v>0</v>
      </c>
      <c r="AW248" s="324">
        <v>0</v>
      </c>
      <c r="AX248" s="324">
        <v>0</v>
      </c>
      <c r="AY248" s="324">
        <v>0</v>
      </c>
      <c r="AZ248" s="324">
        <v>0</v>
      </c>
      <c r="BA248" s="324">
        <v>0</v>
      </c>
      <c r="BB248" s="324">
        <v>0</v>
      </c>
      <c r="BC248" s="324">
        <v>0</v>
      </c>
      <c r="BD248" s="324">
        <v>0</v>
      </c>
      <c r="BE248" s="324">
        <v>0</v>
      </c>
      <c r="BF248" s="324">
        <v>0</v>
      </c>
      <c r="BG248" s="140">
        <f t="shared" si="119"/>
        <v>0</v>
      </c>
      <c r="BH248" s="324">
        <v>0</v>
      </c>
      <c r="BI248" s="324">
        <v>0</v>
      </c>
      <c r="BJ248" s="324">
        <v>0</v>
      </c>
      <c r="BK248" s="324">
        <v>0</v>
      </c>
      <c r="BL248" s="324">
        <v>0</v>
      </c>
      <c r="BM248" s="324">
        <v>0</v>
      </c>
      <c r="BN248" s="324">
        <v>0</v>
      </c>
      <c r="BO248" s="324">
        <v>0</v>
      </c>
      <c r="BP248" s="324">
        <v>0</v>
      </c>
      <c r="BQ248" s="324">
        <v>0</v>
      </c>
      <c r="BR248" s="324">
        <v>0</v>
      </c>
      <c r="BS248" s="324">
        <v>0</v>
      </c>
      <c r="BT248" s="140">
        <f t="shared" si="120"/>
        <v>0</v>
      </c>
      <c r="BU248" s="114">
        <f t="shared" si="121"/>
        <v>684.68456981201166</v>
      </c>
      <c r="BV248" s="372">
        <v>1</v>
      </c>
      <c r="BW248" s="372">
        <v>1</v>
      </c>
      <c r="BX248" s="372">
        <v>1</v>
      </c>
      <c r="BY248" s="372">
        <v>1</v>
      </c>
      <c r="BZ248" s="436">
        <f t="shared" si="135"/>
        <v>69.069797694172649</v>
      </c>
      <c r="CA248" s="428">
        <f>IFERROR((FD248/T248%),0)</f>
        <v>48.392752006440311</v>
      </c>
      <c r="CB248" s="7" t="s">
        <v>1699</v>
      </c>
      <c r="CC248" s="3">
        <v>0</v>
      </c>
      <c r="CD248" s="3">
        <v>0</v>
      </c>
      <c r="CE248" s="3">
        <v>0</v>
      </c>
      <c r="CF248" s="3">
        <v>0</v>
      </c>
      <c r="CG248" s="3">
        <v>0</v>
      </c>
      <c r="CH248" s="3">
        <v>0</v>
      </c>
      <c r="CI248" s="3">
        <v>0</v>
      </c>
      <c r="CJ248" s="3">
        <v>0</v>
      </c>
      <c r="CK248" s="3">
        <v>0</v>
      </c>
      <c r="CL248" s="3">
        <v>0</v>
      </c>
      <c r="CM248" s="3">
        <v>0</v>
      </c>
      <c r="CN248" s="3">
        <v>1</v>
      </c>
      <c r="CO248" s="4">
        <f t="shared" si="126"/>
        <v>1</v>
      </c>
      <c r="CP248" s="3">
        <v>0</v>
      </c>
      <c r="CQ248" s="3">
        <v>0</v>
      </c>
      <c r="CR248" s="3">
        <v>1</v>
      </c>
      <c r="CS248" s="3">
        <v>0</v>
      </c>
      <c r="CT248" s="3">
        <v>0</v>
      </c>
      <c r="CU248" s="3">
        <v>0</v>
      </c>
      <c r="CV248" s="3">
        <v>0</v>
      </c>
      <c r="CW248" s="3">
        <v>0</v>
      </c>
      <c r="CX248" s="3">
        <v>0</v>
      </c>
      <c r="CY248" s="3">
        <v>0</v>
      </c>
      <c r="CZ248" s="3">
        <v>0</v>
      </c>
      <c r="DA248" s="3">
        <v>0</v>
      </c>
      <c r="DB248" s="4">
        <f t="shared" si="127"/>
        <v>1</v>
      </c>
      <c r="DC248" s="3">
        <v>0</v>
      </c>
      <c r="DD248" s="3">
        <v>0</v>
      </c>
      <c r="DE248" s="3">
        <v>0</v>
      </c>
      <c r="DF248" s="3">
        <v>0</v>
      </c>
      <c r="DG248" s="3">
        <v>0</v>
      </c>
      <c r="DH248" s="3">
        <v>0</v>
      </c>
      <c r="DI248" s="3">
        <v>0</v>
      </c>
      <c r="DJ248" s="3">
        <v>0</v>
      </c>
      <c r="DK248" s="3">
        <v>0</v>
      </c>
      <c r="DL248" s="3">
        <v>0</v>
      </c>
      <c r="DM248" s="3">
        <v>0</v>
      </c>
      <c r="DN248" s="3">
        <v>0</v>
      </c>
      <c r="DO248" s="4">
        <f t="shared" si="128"/>
        <v>0</v>
      </c>
      <c r="DP248" s="3">
        <v>0</v>
      </c>
      <c r="DQ248" s="3">
        <v>0</v>
      </c>
      <c r="DR248" s="3">
        <v>0</v>
      </c>
      <c r="DS248" s="3">
        <v>0</v>
      </c>
      <c r="DT248" s="3">
        <v>0</v>
      </c>
      <c r="DU248" s="3">
        <v>0</v>
      </c>
      <c r="DV248" s="3">
        <v>0</v>
      </c>
      <c r="DW248" s="3">
        <v>0</v>
      </c>
      <c r="DX248" s="3">
        <v>0</v>
      </c>
      <c r="DY248" s="3">
        <v>0</v>
      </c>
      <c r="DZ248" s="3">
        <v>0</v>
      </c>
      <c r="EA248" s="3">
        <v>0</v>
      </c>
      <c r="EB248" s="4">
        <f t="shared" si="129"/>
        <v>0</v>
      </c>
      <c r="EC248" s="3">
        <v>0</v>
      </c>
      <c r="ED248" s="3">
        <v>0</v>
      </c>
      <c r="EE248" s="3">
        <v>0</v>
      </c>
      <c r="EF248" s="3">
        <v>0</v>
      </c>
      <c r="EG248" s="3">
        <v>0</v>
      </c>
      <c r="EH248" s="3">
        <v>0</v>
      </c>
      <c r="EI248" s="3">
        <v>0</v>
      </c>
      <c r="EJ248" s="3">
        <v>0</v>
      </c>
      <c r="EK248" s="3">
        <v>0</v>
      </c>
      <c r="EL248" s="3">
        <v>0</v>
      </c>
      <c r="EM248" s="3">
        <v>0</v>
      </c>
      <c r="EN248" s="3">
        <v>0</v>
      </c>
      <c r="EO248" s="4">
        <f t="shared" si="130"/>
        <v>0</v>
      </c>
      <c r="EP248" s="8">
        <f t="shared" si="131"/>
        <v>2</v>
      </c>
      <c r="EQ248" s="181">
        <f>IFERROR(VLOOKUP(I248,CEI_012018!$A$1:$U$509,9,FALSE),0)</f>
        <v>0</v>
      </c>
      <c r="ER248" s="181">
        <f>IFERROR(VLOOKUP(I248,CEI_022018!$A$1:$U$509,9,FALSE),0)</f>
        <v>0</v>
      </c>
      <c r="ES248" s="181">
        <f>IFERROR(VLOOKUP(I248,CEI_032018!$A$1:$U$509,9,FALSE),0)</f>
        <v>23.278350830078125</v>
      </c>
      <c r="ET248" s="181">
        <f>IFERROR(VLOOKUP(I248,CEI_042018!$A$1:$U$491,9,FALSE),0)</f>
        <v>72.963031768798828</v>
      </c>
      <c r="EU248" s="181">
        <f>IFERROR(VLOOKUP(I248,CEI_052018!$A$1:$U$489,9,FALSE),0)</f>
        <v>133.71533203125</v>
      </c>
      <c r="EV248" s="181">
        <f>IFERROR(VLOOKUP(I248,CEI_062018!$A$1:$U$489,9,FALSE),0)</f>
        <v>265.6845703125</v>
      </c>
      <c r="EW248" s="181">
        <f>IFERROR(VLOOKUP(I248,CEI_072018!$A$1:$U$489,9,FALSE),0)</f>
        <v>305.20561981201172</v>
      </c>
      <c r="EX248" s="181">
        <f>IFERROR(VLOOKUP(I248,CEI_082018!$A$1:$U$489,9,FALSE),0)</f>
        <v>435.61255645751953</v>
      </c>
      <c r="EY248" s="181">
        <f>IFERROR(VLOOKUP(I248,CEI_092018!$A$1:$U$489,9,FALSE),0)</f>
        <v>435.61255645751953</v>
      </c>
      <c r="EZ248" s="181"/>
      <c r="FA248" s="181"/>
      <c r="FB248" s="181"/>
      <c r="FC248" s="181">
        <f>IFERROR(VLOOKUP(I248,CEI_092018!$A$1:$U$489,12,FALSE),0)</f>
        <v>0</v>
      </c>
      <c r="FD248" s="181">
        <f t="shared" si="133"/>
        <v>305.20561981201172</v>
      </c>
      <c r="FE248" s="181">
        <f t="shared" si="134"/>
        <v>325.47894999999994</v>
      </c>
      <c r="FF248"/>
      <c r="FG248"/>
      <c r="FH248"/>
      <c r="FI248"/>
      <c r="FJ248"/>
      <c r="FK248"/>
      <c r="FL248"/>
      <c r="FM248"/>
      <c r="FN248"/>
      <c r="FO248"/>
      <c r="FP248"/>
      <c r="FQ248"/>
      <c r="FR248"/>
      <c r="FS248"/>
      <c r="FT248"/>
      <c r="FU248"/>
      <c r="FV248"/>
      <c r="FW248"/>
      <c r="FX248"/>
      <c r="FY248"/>
      <c r="FZ248"/>
      <c r="GA248"/>
      <c r="GB248"/>
      <c r="GC248"/>
    </row>
    <row r="249" spans="1:185" ht="12.75" customHeight="1" x14ac:dyDescent="0.25">
      <c r="A249" s="202"/>
      <c r="B249" s="22" t="s">
        <v>57</v>
      </c>
      <c r="C249" s="34" t="s">
        <v>44</v>
      </c>
      <c r="D249" s="22" t="s">
        <v>1058</v>
      </c>
      <c r="E249" s="25" t="s">
        <v>1062</v>
      </c>
      <c r="F249" s="25" t="s">
        <v>1058</v>
      </c>
      <c r="G249" s="25" t="s">
        <v>1062</v>
      </c>
      <c r="H249" s="22" t="s">
        <v>56</v>
      </c>
      <c r="I249" s="423" t="s">
        <v>565</v>
      </c>
      <c r="J249" s="37" t="s">
        <v>59</v>
      </c>
      <c r="K249" s="23" t="s">
        <v>707</v>
      </c>
      <c r="L249" s="23" t="s">
        <v>707</v>
      </c>
      <c r="M249" s="23" t="s">
        <v>59</v>
      </c>
      <c r="N249" s="23" t="s">
        <v>59</v>
      </c>
      <c r="O249" s="2">
        <v>0</v>
      </c>
      <c r="P249" s="2">
        <v>0</v>
      </c>
      <c r="Q249" s="2">
        <v>0</v>
      </c>
      <c r="R249" s="2">
        <v>0</v>
      </c>
      <c r="S249" s="2">
        <v>0</v>
      </c>
      <c r="T249" s="116">
        <f t="shared" si="116"/>
        <v>0</v>
      </c>
      <c r="U249" s="324">
        <v>0</v>
      </c>
      <c r="V249" s="324">
        <v>0</v>
      </c>
      <c r="W249" s="324">
        <v>0</v>
      </c>
      <c r="X249" s="324">
        <v>0</v>
      </c>
      <c r="Y249" s="324">
        <v>0</v>
      </c>
      <c r="Z249" s="324">
        <v>0</v>
      </c>
      <c r="AA249" s="324">
        <v>0</v>
      </c>
      <c r="AB249" s="324">
        <v>0</v>
      </c>
      <c r="AC249" s="324">
        <v>0</v>
      </c>
      <c r="AD249" s="324">
        <v>0</v>
      </c>
      <c r="AE249" s="324">
        <v>0</v>
      </c>
      <c r="AF249" s="324">
        <v>650</v>
      </c>
      <c r="AG249" s="140">
        <f t="shared" si="117"/>
        <v>650</v>
      </c>
      <c r="AH249" s="324">
        <v>0</v>
      </c>
      <c r="AI249" s="324">
        <v>0</v>
      </c>
      <c r="AJ249" s="324">
        <v>0</v>
      </c>
      <c r="AK249" s="324">
        <v>0</v>
      </c>
      <c r="AL249" s="324">
        <v>0</v>
      </c>
      <c r="AM249" s="324">
        <v>0</v>
      </c>
      <c r="AN249" s="324">
        <v>0</v>
      </c>
      <c r="AO249" s="324">
        <v>0</v>
      </c>
      <c r="AP249" s="324">
        <v>0</v>
      </c>
      <c r="AQ249" s="324">
        <v>0</v>
      </c>
      <c r="AR249" s="324">
        <v>0</v>
      </c>
      <c r="AS249" s="324">
        <v>0</v>
      </c>
      <c r="AT249" s="140">
        <f t="shared" si="118"/>
        <v>0</v>
      </c>
      <c r="AU249" s="324">
        <v>0</v>
      </c>
      <c r="AV249" s="324">
        <v>0</v>
      </c>
      <c r="AW249" s="324">
        <v>0</v>
      </c>
      <c r="AX249" s="324">
        <v>0</v>
      </c>
      <c r="AY249" s="324">
        <v>0</v>
      </c>
      <c r="AZ249" s="324">
        <v>0</v>
      </c>
      <c r="BA249" s="324">
        <v>0</v>
      </c>
      <c r="BB249" s="324">
        <v>0</v>
      </c>
      <c r="BC249" s="324">
        <v>0</v>
      </c>
      <c r="BD249" s="324">
        <v>0</v>
      </c>
      <c r="BE249" s="324">
        <v>0</v>
      </c>
      <c r="BF249" s="324">
        <v>0</v>
      </c>
      <c r="BG249" s="140">
        <f t="shared" si="119"/>
        <v>0</v>
      </c>
      <c r="BH249" s="324">
        <v>0</v>
      </c>
      <c r="BI249" s="324">
        <v>0</v>
      </c>
      <c r="BJ249" s="324">
        <v>0</v>
      </c>
      <c r="BK249" s="324">
        <v>0</v>
      </c>
      <c r="BL249" s="324">
        <v>0</v>
      </c>
      <c r="BM249" s="324">
        <v>0</v>
      </c>
      <c r="BN249" s="324">
        <v>0</v>
      </c>
      <c r="BO249" s="324">
        <v>0</v>
      </c>
      <c r="BP249" s="324">
        <v>0</v>
      </c>
      <c r="BQ249" s="324">
        <v>0</v>
      </c>
      <c r="BR249" s="324">
        <v>0</v>
      </c>
      <c r="BS249" s="324">
        <v>0</v>
      </c>
      <c r="BT249" s="140">
        <f t="shared" si="120"/>
        <v>0</v>
      </c>
      <c r="BU249" s="114">
        <f t="shared" si="121"/>
        <v>650</v>
      </c>
      <c r="BV249" s="432"/>
      <c r="BW249" s="432"/>
      <c r="BX249" s="432"/>
      <c r="BY249" s="432"/>
      <c r="BZ249" s="433"/>
      <c r="CA249" s="434"/>
      <c r="CB249" s="7" t="s">
        <v>1702</v>
      </c>
      <c r="CC249" s="3">
        <v>0</v>
      </c>
      <c r="CD249" s="3">
        <v>0</v>
      </c>
      <c r="CE249" s="3">
        <v>0</v>
      </c>
      <c r="CF249" s="3">
        <v>0</v>
      </c>
      <c r="CG249" s="3">
        <v>0</v>
      </c>
      <c r="CH249" s="3">
        <v>0</v>
      </c>
      <c r="CI249" s="3">
        <v>0</v>
      </c>
      <c r="CJ249" s="3">
        <v>0</v>
      </c>
      <c r="CK249" s="3">
        <v>0</v>
      </c>
      <c r="CL249" s="3">
        <v>0</v>
      </c>
      <c r="CM249" s="3">
        <v>0</v>
      </c>
      <c r="CN249" s="3">
        <v>0</v>
      </c>
      <c r="CO249" s="4">
        <f t="shared" si="126"/>
        <v>0</v>
      </c>
      <c r="CP249" s="3">
        <v>0</v>
      </c>
      <c r="CQ249" s="3">
        <v>0</v>
      </c>
      <c r="CR249" s="3">
        <v>0</v>
      </c>
      <c r="CS249" s="3">
        <v>0</v>
      </c>
      <c r="CT249" s="3">
        <v>0</v>
      </c>
      <c r="CU249" s="3">
        <v>0</v>
      </c>
      <c r="CV249" s="3">
        <v>0</v>
      </c>
      <c r="CW249" s="3">
        <v>0</v>
      </c>
      <c r="CX249" s="3">
        <v>0</v>
      </c>
      <c r="CY249" s="3">
        <v>0</v>
      </c>
      <c r="CZ249" s="3">
        <v>0</v>
      </c>
      <c r="DA249" s="3">
        <v>10</v>
      </c>
      <c r="DB249" s="4">
        <f t="shared" si="127"/>
        <v>10</v>
      </c>
      <c r="DC249" s="3">
        <v>0</v>
      </c>
      <c r="DD249" s="3">
        <v>0</v>
      </c>
      <c r="DE249" s="3">
        <v>0</v>
      </c>
      <c r="DF249" s="3">
        <v>0</v>
      </c>
      <c r="DG249" s="3">
        <v>0</v>
      </c>
      <c r="DH249" s="3">
        <v>0</v>
      </c>
      <c r="DI249" s="3">
        <v>0</v>
      </c>
      <c r="DJ249" s="3">
        <v>0</v>
      </c>
      <c r="DK249" s="3">
        <v>0</v>
      </c>
      <c r="DL249" s="3">
        <v>0</v>
      </c>
      <c r="DM249" s="3">
        <v>0</v>
      </c>
      <c r="DN249" s="3">
        <v>0</v>
      </c>
      <c r="DO249" s="4">
        <f t="shared" si="128"/>
        <v>0</v>
      </c>
      <c r="DP249" s="3">
        <v>0</v>
      </c>
      <c r="DQ249" s="3">
        <v>0</v>
      </c>
      <c r="DR249" s="3">
        <v>0</v>
      </c>
      <c r="DS249" s="3">
        <v>0</v>
      </c>
      <c r="DT249" s="3">
        <v>0</v>
      </c>
      <c r="DU249" s="3">
        <v>0</v>
      </c>
      <c r="DV249" s="3">
        <v>0</v>
      </c>
      <c r="DW249" s="3">
        <v>0</v>
      </c>
      <c r="DX249" s="3">
        <v>0</v>
      </c>
      <c r="DY249" s="3">
        <v>0</v>
      </c>
      <c r="DZ249" s="3">
        <v>0</v>
      </c>
      <c r="EA249" s="3">
        <v>0</v>
      </c>
      <c r="EB249" s="4">
        <f t="shared" si="129"/>
        <v>0</v>
      </c>
      <c r="EC249" s="3">
        <v>0</v>
      </c>
      <c r="ED249" s="3">
        <v>0</v>
      </c>
      <c r="EE249" s="3">
        <v>0</v>
      </c>
      <c r="EF249" s="3">
        <v>0</v>
      </c>
      <c r="EG249" s="3">
        <v>0</v>
      </c>
      <c r="EH249" s="3">
        <v>0</v>
      </c>
      <c r="EI249" s="3">
        <v>0</v>
      </c>
      <c r="EJ249" s="3">
        <v>0</v>
      </c>
      <c r="EK249" s="3">
        <v>0</v>
      </c>
      <c r="EL249" s="3">
        <v>0</v>
      </c>
      <c r="EM249" s="3">
        <v>0</v>
      </c>
      <c r="EN249" s="3">
        <v>0</v>
      </c>
      <c r="EO249" s="4">
        <f t="shared" si="130"/>
        <v>0</v>
      </c>
      <c r="EP249" s="8">
        <f t="shared" si="131"/>
        <v>10</v>
      </c>
      <c r="EQ249" s="181">
        <f>IFERROR(VLOOKUP(I249,CEI_012018!$A$1:$U$509,9,FALSE),0)</f>
        <v>0</v>
      </c>
      <c r="ER249" s="181">
        <f>IFERROR(VLOOKUP(I249,CEI_022018!$A$1:$U$509,9,FALSE),0)</f>
        <v>0</v>
      </c>
      <c r="ES249" s="181">
        <f>IFERROR(VLOOKUP(I249,CEI_032018!$A$1:$U$509,9,FALSE),0)</f>
        <v>0</v>
      </c>
      <c r="ET249" s="181">
        <f>IFERROR(VLOOKUP(I249,CEI_042018!$A$1:$U$491,9,FALSE),0)</f>
        <v>0</v>
      </c>
      <c r="EU249" s="181">
        <f>IFERROR(VLOOKUP(I249,CEI_052018!$A$1:$U$489,9,FALSE),0)</f>
        <v>0</v>
      </c>
      <c r="EV249" s="181">
        <f>IFERROR(VLOOKUP(I249,CEI_062018!$A$1:$U$489,9,FALSE),0)</f>
        <v>0</v>
      </c>
      <c r="EW249" s="181">
        <f>IFERROR(VLOOKUP(I249,CEI_072018!$A$1:$U$489,9,FALSE),0)</f>
        <v>0</v>
      </c>
      <c r="EX249" s="181">
        <f>IFERROR(VLOOKUP(I249,CEI_082018!$A$1:$U$489,9,FALSE),0)</f>
        <v>0</v>
      </c>
      <c r="EY249" s="181">
        <f>IFERROR(VLOOKUP(I249,CEI_092018!$A$1:$U$489,9,FALSE),0)</f>
        <v>0</v>
      </c>
      <c r="EZ249" s="181"/>
      <c r="FA249" s="181"/>
      <c r="FB249" s="181"/>
      <c r="FC249" s="181">
        <f>IFERROR(VLOOKUP(I249,CEI_092018!$A$1:$U$489,12,FALSE),0)</f>
        <v>0</v>
      </c>
      <c r="FD249" s="181">
        <f t="shared" si="133"/>
        <v>0</v>
      </c>
      <c r="FE249" s="181">
        <f t="shared" si="134"/>
        <v>0</v>
      </c>
      <c r="FF249"/>
      <c r="FG249"/>
      <c r="FH249"/>
      <c r="FI249"/>
      <c r="FJ249"/>
      <c r="FK249"/>
      <c r="FL249"/>
      <c r="FM249"/>
      <c r="FN249"/>
      <c r="FO249"/>
      <c r="FP249"/>
      <c r="FQ249"/>
      <c r="FR249"/>
      <c r="FS249"/>
      <c r="FT249"/>
      <c r="FU249"/>
      <c r="FV249"/>
      <c r="FW249"/>
      <c r="FX249"/>
      <c r="FY249"/>
      <c r="FZ249"/>
      <c r="GA249"/>
      <c r="GB249"/>
      <c r="GC249"/>
    </row>
    <row r="250" spans="1:185" ht="12.75" customHeight="1" x14ac:dyDescent="0.25">
      <c r="A250" s="202"/>
      <c r="B250" s="23" t="s">
        <v>57</v>
      </c>
      <c r="C250" s="34" t="s">
        <v>44</v>
      </c>
      <c r="D250" s="23" t="s">
        <v>1058</v>
      </c>
      <c r="E250" s="34" t="s">
        <v>1134</v>
      </c>
      <c r="F250" s="34" t="s">
        <v>1058</v>
      </c>
      <c r="G250" s="34" t="s">
        <v>1134</v>
      </c>
      <c r="H250" s="23" t="s">
        <v>56</v>
      </c>
      <c r="I250" s="423" t="s">
        <v>565</v>
      </c>
      <c r="J250" s="373" t="s">
        <v>59</v>
      </c>
      <c r="K250" s="23" t="s">
        <v>372</v>
      </c>
      <c r="L250" s="23" t="s">
        <v>373</v>
      </c>
      <c r="M250" s="23" t="s">
        <v>59</v>
      </c>
      <c r="N250" s="23" t="s">
        <v>1864</v>
      </c>
      <c r="O250" s="2">
        <v>0</v>
      </c>
      <c r="P250" s="2">
        <v>0</v>
      </c>
      <c r="Q250" s="2">
        <v>0</v>
      </c>
      <c r="R250" s="2">
        <v>0</v>
      </c>
      <c r="S250" s="2">
        <v>0</v>
      </c>
      <c r="T250" s="116">
        <f t="shared" si="116"/>
        <v>0</v>
      </c>
      <c r="U250" s="324">
        <v>0</v>
      </c>
      <c r="V250" s="324">
        <v>0</v>
      </c>
      <c r="W250" s="324">
        <v>0</v>
      </c>
      <c r="X250" s="324">
        <v>0</v>
      </c>
      <c r="Y250" s="324">
        <v>0</v>
      </c>
      <c r="Z250" s="324">
        <v>0</v>
      </c>
      <c r="AA250" s="324">
        <v>0</v>
      </c>
      <c r="AB250" s="324">
        <v>0</v>
      </c>
      <c r="AC250" s="324">
        <v>0</v>
      </c>
      <c r="AD250" s="324">
        <v>0</v>
      </c>
      <c r="AE250" s="324">
        <v>0</v>
      </c>
      <c r="AF250" s="324">
        <v>0</v>
      </c>
      <c r="AG250" s="140">
        <f t="shared" si="117"/>
        <v>0</v>
      </c>
      <c r="AH250" s="324">
        <v>0</v>
      </c>
      <c r="AI250" s="324">
        <v>0</v>
      </c>
      <c r="AJ250" s="324">
        <v>0</v>
      </c>
      <c r="AK250" s="324">
        <v>0</v>
      </c>
      <c r="AL250" s="324">
        <v>0</v>
      </c>
      <c r="AM250" s="324">
        <v>0</v>
      </c>
      <c r="AN250" s="324">
        <v>0</v>
      </c>
      <c r="AO250" s="324">
        <v>0</v>
      </c>
      <c r="AP250" s="324">
        <v>0</v>
      </c>
      <c r="AQ250" s="324">
        <v>0</v>
      </c>
      <c r="AR250" s="324">
        <v>0</v>
      </c>
      <c r="AS250" s="324">
        <v>0</v>
      </c>
      <c r="AT250" s="140">
        <f t="shared" si="118"/>
        <v>0</v>
      </c>
      <c r="AU250" s="324">
        <v>0</v>
      </c>
      <c r="AV250" s="324">
        <v>0</v>
      </c>
      <c r="AW250" s="324">
        <v>0</v>
      </c>
      <c r="AX250" s="324">
        <v>0</v>
      </c>
      <c r="AY250" s="324">
        <v>0</v>
      </c>
      <c r="AZ250" s="324">
        <v>0</v>
      </c>
      <c r="BA250" s="324">
        <v>0</v>
      </c>
      <c r="BB250" s="324">
        <v>650</v>
      </c>
      <c r="BC250" s="324">
        <v>0</v>
      </c>
      <c r="BD250" s="324">
        <v>0</v>
      </c>
      <c r="BE250" s="324">
        <v>0</v>
      </c>
      <c r="BF250" s="324">
        <v>0</v>
      </c>
      <c r="BG250" s="140">
        <f t="shared" si="119"/>
        <v>650</v>
      </c>
      <c r="BH250" s="324">
        <v>0</v>
      </c>
      <c r="BI250" s="324">
        <v>0</v>
      </c>
      <c r="BJ250" s="324">
        <v>0</v>
      </c>
      <c r="BK250" s="324">
        <v>0</v>
      </c>
      <c r="BL250" s="324">
        <v>0</v>
      </c>
      <c r="BM250" s="324">
        <v>0</v>
      </c>
      <c r="BN250" s="324">
        <v>0</v>
      </c>
      <c r="BO250" s="324">
        <v>0</v>
      </c>
      <c r="BP250" s="324">
        <v>0</v>
      </c>
      <c r="BQ250" s="324">
        <v>0</v>
      </c>
      <c r="BR250" s="324">
        <v>0</v>
      </c>
      <c r="BS250" s="324">
        <v>0</v>
      </c>
      <c r="BT250" s="140">
        <f t="shared" si="120"/>
        <v>0</v>
      </c>
      <c r="BU250" s="114">
        <f t="shared" si="121"/>
        <v>650</v>
      </c>
      <c r="BV250" s="432"/>
      <c r="BW250" s="432"/>
      <c r="BX250" s="432"/>
      <c r="BY250" s="432"/>
      <c r="BZ250" s="433"/>
      <c r="CA250" s="434"/>
      <c r="CB250" s="7" t="s">
        <v>1702</v>
      </c>
      <c r="CC250" s="3">
        <v>0</v>
      </c>
      <c r="CD250" s="3">
        <v>0</v>
      </c>
      <c r="CE250" s="3">
        <v>0</v>
      </c>
      <c r="CF250" s="3">
        <v>0</v>
      </c>
      <c r="CG250" s="3">
        <v>0</v>
      </c>
      <c r="CH250" s="3">
        <v>0</v>
      </c>
      <c r="CI250" s="3">
        <v>0</v>
      </c>
      <c r="CJ250" s="3">
        <v>0</v>
      </c>
      <c r="CK250" s="3">
        <v>0</v>
      </c>
      <c r="CL250" s="3">
        <v>0</v>
      </c>
      <c r="CM250" s="3">
        <v>0</v>
      </c>
      <c r="CN250" s="3">
        <v>0</v>
      </c>
      <c r="CO250" s="4">
        <f t="shared" si="126"/>
        <v>0</v>
      </c>
      <c r="CP250" s="3">
        <v>0</v>
      </c>
      <c r="CQ250" s="3">
        <v>0</v>
      </c>
      <c r="CR250" s="3">
        <v>0</v>
      </c>
      <c r="CS250" s="3">
        <v>0</v>
      </c>
      <c r="CT250" s="3">
        <v>0</v>
      </c>
      <c r="CU250" s="3">
        <v>0</v>
      </c>
      <c r="CV250" s="3">
        <v>0</v>
      </c>
      <c r="CW250" s="3">
        <v>0</v>
      </c>
      <c r="CX250" s="3">
        <v>0</v>
      </c>
      <c r="CY250" s="3">
        <v>0</v>
      </c>
      <c r="CZ250" s="3">
        <v>0</v>
      </c>
      <c r="DA250" s="3">
        <v>0</v>
      </c>
      <c r="DB250" s="4">
        <f t="shared" si="127"/>
        <v>0</v>
      </c>
      <c r="DC250" s="3">
        <v>0</v>
      </c>
      <c r="DD250" s="3">
        <v>0</v>
      </c>
      <c r="DE250" s="3">
        <v>0</v>
      </c>
      <c r="DF250" s="3">
        <v>0</v>
      </c>
      <c r="DG250" s="3">
        <v>0</v>
      </c>
      <c r="DH250" s="3">
        <v>0</v>
      </c>
      <c r="DI250" s="3">
        <v>0</v>
      </c>
      <c r="DJ250" s="3">
        <v>0</v>
      </c>
      <c r="DK250" s="3">
        <v>0</v>
      </c>
      <c r="DL250" s="3">
        <v>0</v>
      </c>
      <c r="DM250" s="3">
        <v>0</v>
      </c>
      <c r="DN250" s="3">
        <v>0</v>
      </c>
      <c r="DO250" s="4">
        <f t="shared" si="128"/>
        <v>0</v>
      </c>
      <c r="DP250" s="3">
        <v>0</v>
      </c>
      <c r="DQ250" s="3">
        <v>0</v>
      </c>
      <c r="DR250" s="3">
        <v>0</v>
      </c>
      <c r="DS250" s="3">
        <v>0</v>
      </c>
      <c r="DT250" s="3">
        <v>0</v>
      </c>
      <c r="DU250" s="3">
        <v>0</v>
      </c>
      <c r="DV250" s="3">
        <v>0</v>
      </c>
      <c r="DW250" s="3">
        <v>1</v>
      </c>
      <c r="DX250" s="3">
        <v>0</v>
      </c>
      <c r="DY250" s="3">
        <v>0</v>
      </c>
      <c r="DZ250" s="3">
        <v>0</v>
      </c>
      <c r="EA250" s="3">
        <v>0</v>
      </c>
      <c r="EB250" s="4">
        <f t="shared" si="129"/>
        <v>1</v>
      </c>
      <c r="EC250" s="3">
        <v>0</v>
      </c>
      <c r="ED250" s="3">
        <v>0</v>
      </c>
      <c r="EE250" s="3">
        <v>0</v>
      </c>
      <c r="EF250" s="3">
        <v>0</v>
      </c>
      <c r="EG250" s="3">
        <v>0</v>
      </c>
      <c r="EH250" s="3">
        <v>0</v>
      </c>
      <c r="EI250" s="3">
        <v>0</v>
      </c>
      <c r="EJ250" s="3">
        <v>0</v>
      </c>
      <c r="EK250" s="3">
        <v>0</v>
      </c>
      <c r="EL250" s="3">
        <v>0</v>
      </c>
      <c r="EM250" s="3">
        <v>0</v>
      </c>
      <c r="EN250" s="3">
        <v>0</v>
      </c>
      <c r="EO250" s="4">
        <f t="shared" si="130"/>
        <v>0</v>
      </c>
      <c r="EP250" s="8">
        <f t="shared" si="131"/>
        <v>1</v>
      </c>
      <c r="EQ250" s="181">
        <f>IFERROR(VLOOKUP(I250,CEI_012018!$A$1:$U$509,9,FALSE),0)</f>
        <v>0</v>
      </c>
      <c r="ER250" s="181">
        <f>IFERROR(VLOOKUP(I250,CEI_022018!$A$1:$U$509,9,FALSE),0)</f>
        <v>0</v>
      </c>
      <c r="ES250" s="181">
        <f>IFERROR(VLOOKUP(I250,CEI_032018!$A$1:$U$509,9,FALSE),0)</f>
        <v>0</v>
      </c>
      <c r="ET250" s="181">
        <f>IFERROR(VLOOKUP(I250,CEI_042018!$A$1:$U$491,9,FALSE),0)</f>
        <v>0</v>
      </c>
      <c r="EU250" s="181">
        <f>IFERROR(VLOOKUP(I250,CEI_052018!$A$1:$U$489,9,FALSE),0)</f>
        <v>0</v>
      </c>
      <c r="EV250" s="181">
        <f>IFERROR(VLOOKUP(I250,CEI_062018!$A$1:$U$489,9,FALSE),0)</f>
        <v>0</v>
      </c>
      <c r="EW250" s="181">
        <f>IFERROR(VLOOKUP(I250,CEI_072018!$A$1:$U$489,9,FALSE),0)</f>
        <v>0</v>
      </c>
      <c r="EX250" s="181">
        <f>IFERROR(VLOOKUP(I250,CEI_082018!$A$1:$U$489,9,FALSE),0)</f>
        <v>0</v>
      </c>
      <c r="EY250" s="181">
        <f>IFERROR(VLOOKUP(I250,CEI_092018!$A$1:$U$489,9,FALSE),0)</f>
        <v>0</v>
      </c>
      <c r="EZ250" s="181"/>
      <c r="FA250" s="181"/>
      <c r="FB250" s="181"/>
      <c r="FC250" s="181">
        <f>IFERROR(VLOOKUP(I250,CEI_092018!$A$1:$U$489,12,FALSE),0)</f>
        <v>0</v>
      </c>
      <c r="FD250" s="181">
        <f t="shared" si="133"/>
        <v>0</v>
      </c>
      <c r="FE250" s="181">
        <f t="shared" si="134"/>
        <v>0</v>
      </c>
      <c r="FF250"/>
      <c r="FG250"/>
      <c r="FH250"/>
      <c r="FI250"/>
      <c r="FJ250"/>
      <c r="FK250"/>
      <c r="FL250"/>
      <c r="FM250"/>
      <c r="FN250"/>
      <c r="FO250"/>
      <c r="FP250"/>
      <c r="FQ250"/>
      <c r="FR250"/>
      <c r="FS250"/>
      <c r="FT250"/>
      <c r="FU250"/>
      <c r="FV250"/>
      <c r="FW250"/>
      <c r="FX250"/>
      <c r="FY250"/>
      <c r="FZ250"/>
      <c r="GA250"/>
      <c r="GB250"/>
      <c r="GC250"/>
    </row>
    <row r="251" spans="1:185" ht="12.75" customHeight="1" x14ac:dyDescent="0.25">
      <c r="A251" s="202"/>
      <c r="B251" s="22" t="s">
        <v>57</v>
      </c>
      <c r="C251" s="34" t="s">
        <v>44</v>
      </c>
      <c r="D251" s="22" t="s">
        <v>1059</v>
      </c>
      <c r="E251" s="25" t="s">
        <v>1063</v>
      </c>
      <c r="F251" s="25" t="s">
        <v>1059</v>
      </c>
      <c r="G251" s="25" t="s">
        <v>1063</v>
      </c>
      <c r="H251" s="22" t="s">
        <v>56</v>
      </c>
      <c r="I251" s="423" t="s">
        <v>565</v>
      </c>
      <c r="J251" s="37" t="s">
        <v>59</v>
      </c>
      <c r="K251" s="23" t="s">
        <v>377</v>
      </c>
      <c r="L251" s="23" t="s">
        <v>378</v>
      </c>
      <c r="M251" s="23" t="s">
        <v>761</v>
      </c>
      <c r="N251" s="23" t="s">
        <v>1864</v>
      </c>
      <c r="O251" s="2">
        <v>0</v>
      </c>
      <c r="P251" s="2">
        <v>0</v>
      </c>
      <c r="Q251" s="2">
        <v>0</v>
      </c>
      <c r="R251" s="2">
        <v>0</v>
      </c>
      <c r="S251" s="2">
        <v>0</v>
      </c>
      <c r="T251" s="116">
        <f t="shared" si="116"/>
        <v>0</v>
      </c>
      <c r="U251" s="324">
        <v>0</v>
      </c>
      <c r="V251" s="324">
        <v>0</v>
      </c>
      <c r="W251" s="324">
        <v>0</v>
      </c>
      <c r="X251" s="324">
        <v>0</v>
      </c>
      <c r="Y251" s="324">
        <v>0</v>
      </c>
      <c r="Z251" s="324">
        <v>150</v>
      </c>
      <c r="AA251" s="324">
        <v>0</v>
      </c>
      <c r="AB251" s="324">
        <v>0</v>
      </c>
      <c r="AC251" s="324">
        <v>0</v>
      </c>
      <c r="AD251" s="324">
        <v>0</v>
      </c>
      <c r="AE251" s="324">
        <v>0</v>
      </c>
      <c r="AF251" s="324">
        <v>0</v>
      </c>
      <c r="AG251" s="140">
        <f t="shared" si="117"/>
        <v>150</v>
      </c>
      <c r="AH251" s="324">
        <v>0</v>
      </c>
      <c r="AI251" s="324">
        <v>0</v>
      </c>
      <c r="AJ251" s="324">
        <v>0</v>
      </c>
      <c r="AK251" s="324">
        <v>0</v>
      </c>
      <c r="AL251" s="324">
        <v>0</v>
      </c>
      <c r="AM251" s="324">
        <v>150</v>
      </c>
      <c r="AN251" s="324">
        <v>0</v>
      </c>
      <c r="AO251" s="324">
        <v>0</v>
      </c>
      <c r="AP251" s="324">
        <v>0</v>
      </c>
      <c r="AQ251" s="324">
        <v>0</v>
      </c>
      <c r="AR251" s="324">
        <v>0</v>
      </c>
      <c r="AS251" s="324">
        <v>0</v>
      </c>
      <c r="AT251" s="140">
        <f t="shared" si="118"/>
        <v>150</v>
      </c>
      <c r="AU251" s="324">
        <v>0</v>
      </c>
      <c r="AV251" s="324">
        <v>0</v>
      </c>
      <c r="AW251" s="324">
        <v>0</v>
      </c>
      <c r="AX251" s="324">
        <v>0</v>
      </c>
      <c r="AY251" s="324">
        <v>0</v>
      </c>
      <c r="AZ251" s="324">
        <v>0</v>
      </c>
      <c r="BA251" s="324">
        <v>0</v>
      </c>
      <c r="BB251" s="324">
        <v>0</v>
      </c>
      <c r="BC251" s="324">
        <v>0</v>
      </c>
      <c r="BD251" s="324">
        <v>0</v>
      </c>
      <c r="BE251" s="324">
        <v>0</v>
      </c>
      <c r="BF251" s="324">
        <v>0</v>
      </c>
      <c r="BG251" s="140">
        <f t="shared" si="119"/>
        <v>0</v>
      </c>
      <c r="BH251" s="324">
        <v>0</v>
      </c>
      <c r="BI251" s="324">
        <v>0</v>
      </c>
      <c r="BJ251" s="324">
        <v>0</v>
      </c>
      <c r="BK251" s="324">
        <v>0</v>
      </c>
      <c r="BL251" s="324">
        <v>0</v>
      </c>
      <c r="BM251" s="324">
        <v>0</v>
      </c>
      <c r="BN251" s="324">
        <v>0</v>
      </c>
      <c r="BO251" s="324">
        <v>0</v>
      </c>
      <c r="BP251" s="324">
        <v>0</v>
      </c>
      <c r="BQ251" s="324">
        <v>0</v>
      </c>
      <c r="BR251" s="324">
        <v>300</v>
      </c>
      <c r="BS251" s="324">
        <v>0</v>
      </c>
      <c r="BT251" s="140">
        <f t="shared" si="120"/>
        <v>300</v>
      </c>
      <c r="BU251" s="114">
        <f t="shared" si="121"/>
        <v>600</v>
      </c>
      <c r="BV251" s="432"/>
      <c r="BW251" s="432"/>
      <c r="BX251" s="432"/>
      <c r="BY251" s="432"/>
      <c r="BZ251" s="433"/>
      <c r="CA251" s="434"/>
      <c r="CB251" s="7" t="s">
        <v>1701</v>
      </c>
      <c r="CC251" s="3">
        <v>0</v>
      </c>
      <c r="CD251" s="3">
        <v>0</v>
      </c>
      <c r="CE251" s="3">
        <v>0</v>
      </c>
      <c r="CF251" s="3">
        <v>0</v>
      </c>
      <c r="CG251" s="3">
        <v>0</v>
      </c>
      <c r="CH251" s="3">
        <v>0</v>
      </c>
      <c r="CI251" s="3">
        <v>0</v>
      </c>
      <c r="CJ251" s="3">
        <v>0</v>
      </c>
      <c r="CK251" s="3">
        <v>0</v>
      </c>
      <c r="CL251" s="3">
        <v>0</v>
      </c>
      <c r="CM251" s="3">
        <v>0</v>
      </c>
      <c r="CN251" s="3">
        <v>0</v>
      </c>
      <c r="CO251" s="4">
        <f t="shared" si="126"/>
        <v>0</v>
      </c>
      <c r="CP251" s="3">
        <v>0</v>
      </c>
      <c r="CQ251" s="3">
        <v>0</v>
      </c>
      <c r="CR251" s="3">
        <v>0</v>
      </c>
      <c r="CS251" s="3">
        <v>0</v>
      </c>
      <c r="CT251" s="3">
        <v>0</v>
      </c>
      <c r="CU251" s="3">
        <v>1</v>
      </c>
      <c r="CV251" s="3">
        <v>0</v>
      </c>
      <c r="CW251" s="3">
        <v>0</v>
      </c>
      <c r="CX251" s="3">
        <v>0</v>
      </c>
      <c r="CY251" s="3">
        <v>0</v>
      </c>
      <c r="CZ251" s="3">
        <v>0</v>
      </c>
      <c r="DA251" s="3">
        <v>0</v>
      </c>
      <c r="DB251" s="4">
        <f t="shared" si="127"/>
        <v>1</v>
      </c>
      <c r="DC251" s="3">
        <v>0</v>
      </c>
      <c r="DD251" s="3">
        <v>0</v>
      </c>
      <c r="DE251" s="3">
        <v>0</v>
      </c>
      <c r="DF251" s="3">
        <v>0</v>
      </c>
      <c r="DG251" s="3">
        <v>0</v>
      </c>
      <c r="DH251" s="3">
        <v>1</v>
      </c>
      <c r="DI251" s="3">
        <v>0</v>
      </c>
      <c r="DJ251" s="3">
        <v>0</v>
      </c>
      <c r="DK251" s="3">
        <v>0</v>
      </c>
      <c r="DL251" s="3">
        <v>0</v>
      </c>
      <c r="DM251" s="3">
        <v>0</v>
      </c>
      <c r="DN251" s="3">
        <v>0</v>
      </c>
      <c r="DO251" s="4">
        <f t="shared" si="128"/>
        <v>1</v>
      </c>
      <c r="DP251" s="3">
        <v>0</v>
      </c>
      <c r="DQ251" s="3">
        <v>0</v>
      </c>
      <c r="DR251" s="3">
        <v>0</v>
      </c>
      <c r="DS251" s="3">
        <v>0</v>
      </c>
      <c r="DT251" s="3">
        <v>0</v>
      </c>
      <c r="DU251" s="3">
        <v>0</v>
      </c>
      <c r="DV251" s="3">
        <v>0</v>
      </c>
      <c r="DW251" s="3">
        <v>0</v>
      </c>
      <c r="DX251" s="3">
        <v>0</v>
      </c>
      <c r="DY251" s="3">
        <v>0</v>
      </c>
      <c r="DZ251" s="3">
        <v>0</v>
      </c>
      <c r="EA251" s="3">
        <v>0</v>
      </c>
      <c r="EB251" s="4">
        <f t="shared" si="129"/>
        <v>0</v>
      </c>
      <c r="EC251" s="3">
        <v>0</v>
      </c>
      <c r="ED251" s="3">
        <v>0</v>
      </c>
      <c r="EE251" s="3">
        <v>0</v>
      </c>
      <c r="EF251" s="3">
        <v>0</v>
      </c>
      <c r="EG251" s="3">
        <v>0</v>
      </c>
      <c r="EH251" s="3">
        <v>0</v>
      </c>
      <c r="EI251" s="3">
        <v>0</v>
      </c>
      <c r="EJ251" s="3">
        <v>0</v>
      </c>
      <c r="EK251" s="3">
        <v>0</v>
      </c>
      <c r="EL251" s="3">
        <v>0</v>
      </c>
      <c r="EM251" s="3">
        <v>1</v>
      </c>
      <c r="EN251" s="3">
        <v>0</v>
      </c>
      <c r="EO251" s="4">
        <f t="shared" si="130"/>
        <v>1</v>
      </c>
      <c r="EP251" s="8">
        <f t="shared" si="131"/>
        <v>3</v>
      </c>
      <c r="EQ251" s="181">
        <f>IFERROR(VLOOKUP(I251,CEI_012018!$A$1:$U$509,9,FALSE),0)</f>
        <v>0</v>
      </c>
      <c r="ER251" s="181">
        <f>IFERROR(VLOOKUP(I251,CEI_022018!$A$1:$U$509,9,FALSE),0)</f>
        <v>0</v>
      </c>
      <c r="ES251" s="181">
        <f>IFERROR(VLOOKUP(I251,CEI_032018!$A$1:$U$509,9,FALSE),0)</f>
        <v>0</v>
      </c>
      <c r="ET251" s="181">
        <f>IFERROR(VLOOKUP(I251,CEI_042018!$A$1:$U$491,9,FALSE),0)</f>
        <v>0</v>
      </c>
      <c r="EU251" s="181">
        <f>IFERROR(VLOOKUP(I251,CEI_052018!$A$1:$U$489,9,FALSE),0)</f>
        <v>0</v>
      </c>
      <c r="EV251" s="181">
        <f>IFERROR(VLOOKUP(I251,CEI_062018!$A$1:$U$489,9,FALSE),0)</f>
        <v>0</v>
      </c>
      <c r="EW251" s="181">
        <f>IFERROR(VLOOKUP(I251,CEI_072018!$A$1:$U$489,9,FALSE),0)</f>
        <v>0</v>
      </c>
      <c r="EX251" s="181">
        <f>IFERROR(VLOOKUP(I251,CEI_082018!$A$1:$U$489,9,FALSE),0)</f>
        <v>0</v>
      </c>
      <c r="EY251" s="181">
        <f>IFERROR(VLOOKUP(I251,CEI_092018!$A$1:$U$489,9,FALSE),0)</f>
        <v>0</v>
      </c>
      <c r="EZ251" s="181"/>
      <c r="FA251" s="181"/>
      <c r="FB251" s="181"/>
      <c r="FC251" s="181">
        <f>IFERROR(VLOOKUP(I251,CEI_092018!$A$1:$U$489,12,FALSE),0)</f>
        <v>0</v>
      </c>
      <c r="FD251" s="181">
        <f t="shared" si="133"/>
        <v>0</v>
      </c>
      <c r="FE251" s="181">
        <f t="shared" si="134"/>
        <v>0</v>
      </c>
      <c r="FF251"/>
      <c r="FG251"/>
      <c r="FH251"/>
      <c r="FI251"/>
      <c r="FJ251"/>
      <c r="FK251"/>
      <c r="FL251"/>
      <c r="FM251"/>
      <c r="FN251"/>
      <c r="FO251"/>
      <c r="FP251"/>
      <c r="FQ251"/>
      <c r="FR251"/>
      <c r="FS251"/>
      <c r="FT251"/>
      <c r="FU251"/>
      <c r="FV251"/>
      <c r="FW251"/>
      <c r="FX251"/>
      <c r="FY251"/>
      <c r="FZ251"/>
      <c r="GA251"/>
      <c r="GB251"/>
      <c r="GC251"/>
    </row>
    <row r="252" spans="1:185" ht="12.75" customHeight="1" x14ac:dyDescent="0.25">
      <c r="A252" s="202"/>
      <c r="B252" s="22" t="s">
        <v>57</v>
      </c>
      <c r="C252" s="34" t="s">
        <v>44</v>
      </c>
      <c r="D252" s="22" t="s">
        <v>1059</v>
      </c>
      <c r="E252" s="25" t="s">
        <v>1063</v>
      </c>
      <c r="F252" s="25" t="s">
        <v>1059</v>
      </c>
      <c r="G252" s="25" t="s">
        <v>1063</v>
      </c>
      <c r="H252" s="22" t="s">
        <v>56</v>
      </c>
      <c r="I252" s="423" t="s">
        <v>1010</v>
      </c>
      <c r="J252" s="37" t="s">
        <v>1380</v>
      </c>
      <c r="K252" s="23" t="s">
        <v>1011</v>
      </c>
      <c r="L252" s="23" t="s">
        <v>1012</v>
      </c>
      <c r="M252" s="23" t="s">
        <v>1013</v>
      </c>
      <c r="N252" s="23" t="s">
        <v>59</v>
      </c>
      <c r="O252" s="2">
        <v>599.97772216796875</v>
      </c>
      <c r="P252" s="2">
        <v>0</v>
      </c>
      <c r="Q252" s="2">
        <v>0</v>
      </c>
      <c r="R252" s="2">
        <v>0</v>
      </c>
      <c r="S252" s="2">
        <v>0</v>
      </c>
      <c r="T252" s="116">
        <f t="shared" si="116"/>
        <v>599.97772216796875</v>
      </c>
      <c r="U252" s="324">
        <v>0</v>
      </c>
      <c r="V252" s="324">
        <v>0</v>
      </c>
      <c r="W252" s="324">
        <v>0</v>
      </c>
      <c r="X252" s="324">
        <v>0</v>
      </c>
      <c r="Y252" s="324">
        <v>0</v>
      </c>
      <c r="Z252" s="324">
        <v>0</v>
      </c>
      <c r="AA252" s="324">
        <v>0</v>
      </c>
      <c r="AB252" s="324">
        <v>0</v>
      </c>
      <c r="AC252" s="324">
        <v>0</v>
      </c>
      <c r="AD252" s="324">
        <v>0</v>
      </c>
      <c r="AE252" s="324">
        <v>0</v>
      </c>
      <c r="AF252" s="324">
        <v>0</v>
      </c>
      <c r="AG252" s="140">
        <f t="shared" si="117"/>
        <v>0</v>
      </c>
      <c r="AH252" s="324">
        <v>0</v>
      </c>
      <c r="AI252" s="324">
        <v>0</v>
      </c>
      <c r="AJ252" s="324">
        <v>0</v>
      </c>
      <c r="AK252" s="324">
        <v>0</v>
      </c>
      <c r="AL252" s="324">
        <v>0</v>
      </c>
      <c r="AM252" s="324">
        <v>0</v>
      </c>
      <c r="AN252" s="324">
        <v>0</v>
      </c>
      <c r="AO252" s="324">
        <v>0</v>
      </c>
      <c r="AP252" s="324">
        <v>0</v>
      </c>
      <c r="AQ252" s="324">
        <v>0</v>
      </c>
      <c r="AR252" s="324">
        <v>0</v>
      </c>
      <c r="AS252" s="324">
        <v>0</v>
      </c>
      <c r="AT252" s="140">
        <f t="shared" si="118"/>
        <v>0</v>
      </c>
      <c r="AU252" s="324">
        <v>0</v>
      </c>
      <c r="AV252" s="324">
        <v>0</v>
      </c>
      <c r="AW252" s="324">
        <v>0</v>
      </c>
      <c r="AX252" s="324">
        <v>0</v>
      </c>
      <c r="AY252" s="324">
        <v>0</v>
      </c>
      <c r="AZ252" s="324">
        <v>0</v>
      </c>
      <c r="BA252" s="324">
        <v>0</v>
      </c>
      <c r="BB252" s="324">
        <v>0</v>
      </c>
      <c r="BC252" s="324">
        <v>0</v>
      </c>
      <c r="BD252" s="324">
        <v>0</v>
      </c>
      <c r="BE252" s="324">
        <v>0</v>
      </c>
      <c r="BF252" s="324">
        <v>0</v>
      </c>
      <c r="BG252" s="140">
        <f t="shared" si="119"/>
        <v>0</v>
      </c>
      <c r="BH252" s="324">
        <v>0</v>
      </c>
      <c r="BI252" s="324">
        <v>0</v>
      </c>
      <c r="BJ252" s="324">
        <v>0</v>
      </c>
      <c r="BK252" s="324">
        <v>0</v>
      </c>
      <c r="BL252" s="324">
        <v>0</v>
      </c>
      <c r="BM252" s="324">
        <v>0</v>
      </c>
      <c r="BN252" s="324">
        <v>0</v>
      </c>
      <c r="BO252" s="324">
        <v>0</v>
      </c>
      <c r="BP252" s="324">
        <v>0</v>
      </c>
      <c r="BQ252" s="324">
        <v>0</v>
      </c>
      <c r="BR252" s="324">
        <v>0</v>
      </c>
      <c r="BS252" s="324">
        <v>0</v>
      </c>
      <c r="BT252" s="140">
        <f t="shared" si="120"/>
        <v>0</v>
      </c>
      <c r="BU252" s="114">
        <f t="shared" si="121"/>
        <v>599.97772216796875</v>
      </c>
      <c r="BV252" s="372">
        <v>1</v>
      </c>
      <c r="BW252" s="372">
        <v>1</v>
      </c>
      <c r="BX252" s="372">
        <v>1</v>
      </c>
      <c r="BY252" s="372">
        <v>1</v>
      </c>
      <c r="BZ252" s="436">
        <f>IFERROR((EX252/T252%),0)</f>
        <v>100</v>
      </c>
      <c r="CA252" s="428">
        <f>IFERROR((FD252/T252%),0)</f>
        <v>100</v>
      </c>
      <c r="CB252" s="7" t="s">
        <v>1699</v>
      </c>
      <c r="CC252" s="3">
        <v>0</v>
      </c>
      <c r="CD252" s="3">
        <v>1</v>
      </c>
      <c r="CE252" s="3">
        <v>0</v>
      </c>
      <c r="CF252" s="3">
        <v>0</v>
      </c>
      <c r="CG252" s="3">
        <v>0</v>
      </c>
      <c r="CH252" s="3">
        <v>0</v>
      </c>
      <c r="CI252" s="3">
        <v>0</v>
      </c>
      <c r="CJ252" s="3">
        <v>0</v>
      </c>
      <c r="CK252" s="3">
        <v>0</v>
      </c>
      <c r="CL252" s="3">
        <v>0</v>
      </c>
      <c r="CM252" s="3">
        <v>0</v>
      </c>
      <c r="CN252" s="3">
        <v>0</v>
      </c>
      <c r="CO252" s="4">
        <f t="shared" si="126"/>
        <v>1</v>
      </c>
      <c r="CP252" s="3">
        <v>0</v>
      </c>
      <c r="CQ252" s="3">
        <v>0</v>
      </c>
      <c r="CR252" s="3">
        <v>0</v>
      </c>
      <c r="CS252" s="3">
        <v>0</v>
      </c>
      <c r="CT252" s="3">
        <v>0</v>
      </c>
      <c r="CU252" s="3">
        <v>0</v>
      </c>
      <c r="CV252" s="3">
        <v>0</v>
      </c>
      <c r="CW252" s="3">
        <v>0</v>
      </c>
      <c r="CX252" s="3">
        <v>0</v>
      </c>
      <c r="CY252" s="3">
        <v>0</v>
      </c>
      <c r="CZ252" s="3">
        <v>0</v>
      </c>
      <c r="DA252" s="3">
        <v>0</v>
      </c>
      <c r="DB252" s="4">
        <f t="shared" si="127"/>
        <v>0</v>
      </c>
      <c r="DC252" s="3">
        <v>0</v>
      </c>
      <c r="DD252" s="3">
        <v>0</v>
      </c>
      <c r="DE252" s="3">
        <v>0</v>
      </c>
      <c r="DF252" s="3">
        <v>0</v>
      </c>
      <c r="DG252" s="3">
        <v>0</v>
      </c>
      <c r="DH252" s="3">
        <v>0</v>
      </c>
      <c r="DI252" s="3">
        <v>0</v>
      </c>
      <c r="DJ252" s="3">
        <v>0</v>
      </c>
      <c r="DK252" s="3">
        <v>0</v>
      </c>
      <c r="DL252" s="3">
        <v>0</v>
      </c>
      <c r="DM252" s="3">
        <v>0</v>
      </c>
      <c r="DN252" s="3">
        <v>0</v>
      </c>
      <c r="DO252" s="4">
        <f t="shared" si="128"/>
        <v>0</v>
      </c>
      <c r="DP252" s="3">
        <v>0</v>
      </c>
      <c r="DQ252" s="3">
        <v>0</v>
      </c>
      <c r="DR252" s="3">
        <v>0</v>
      </c>
      <c r="DS252" s="3">
        <v>0</v>
      </c>
      <c r="DT252" s="3">
        <v>0</v>
      </c>
      <c r="DU252" s="3">
        <v>0</v>
      </c>
      <c r="DV252" s="3">
        <v>0</v>
      </c>
      <c r="DW252" s="3">
        <v>0</v>
      </c>
      <c r="DX252" s="3">
        <v>0</v>
      </c>
      <c r="DY252" s="3">
        <v>0</v>
      </c>
      <c r="DZ252" s="3">
        <v>0</v>
      </c>
      <c r="EA252" s="3">
        <v>0</v>
      </c>
      <c r="EB252" s="4">
        <f t="shared" si="129"/>
        <v>0</v>
      </c>
      <c r="EC252" s="3">
        <v>0</v>
      </c>
      <c r="ED252" s="3">
        <v>0</v>
      </c>
      <c r="EE252" s="3">
        <v>0</v>
      </c>
      <c r="EF252" s="3">
        <v>0</v>
      </c>
      <c r="EG252" s="3">
        <v>0</v>
      </c>
      <c r="EH252" s="3">
        <v>0</v>
      </c>
      <c r="EI252" s="3">
        <v>0</v>
      </c>
      <c r="EJ252" s="3">
        <v>0</v>
      </c>
      <c r="EK252" s="3">
        <v>0</v>
      </c>
      <c r="EL252" s="3">
        <v>0</v>
      </c>
      <c r="EM252" s="3">
        <v>0</v>
      </c>
      <c r="EN252" s="3">
        <v>0</v>
      </c>
      <c r="EO252" s="4">
        <f t="shared" si="130"/>
        <v>0</v>
      </c>
      <c r="EP252" s="8">
        <f t="shared" si="131"/>
        <v>1</v>
      </c>
      <c r="EQ252" s="181">
        <f>IFERROR(VLOOKUP(I252,CEI_012018!$A$1:$U$509,9,FALSE),0)</f>
        <v>379.95736694335937</v>
      </c>
      <c r="ER252" s="181">
        <f>IFERROR(VLOOKUP(I252,CEI_022018!$A$1:$U$509,9,FALSE),0)</f>
        <v>599.97772216796875</v>
      </c>
      <c r="ES252" s="181">
        <f>IFERROR(VLOOKUP(I252,CEI_032018!$A$1:$U$509,9,FALSE),0)</f>
        <v>599.97772216796875</v>
      </c>
      <c r="ET252" s="181">
        <f>IFERROR(VLOOKUP(I252,CEI_042018!$A$1:$U$491,9,FALSE),0)</f>
        <v>599.97772216796875</v>
      </c>
      <c r="EU252" s="181">
        <f>IFERROR(VLOOKUP(I252,CEI_052018!$A$1:$U$489,9,FALSE),0)</f>
        <v>599.97772216796875</v>
      </c>
      <c r="EV252" s="181">
        <f>IFERROR(VLOOKUP(I252,CEI_062018!$A$1:$U$489,9,FALSE),0)</f>
        <v>599.97772216796875</v>
      </c>
      <c r="EW252" s="181">
        <f>IFERROR(VLOOKUP(I252,CEI_072018!$A$1:$U$489,9,FALSE),0)</f>
        <v>599.97772216796875</v>
      </c>
      <c r="EX252" s="181">
        <f>IFERROR(VLOOKUP(I252,CEI_082018!$A$1:$U$489,9,FALSE),0)</f>
        <v>599.97772216796875</v>
      </c>
      <c r="EY252" s="181">
        <f>IFERROR(VLOOKUP(I252,CEI_092018!$A$1:$U$489,9,FALSE),0)</f>
        <v>599.97772216796875</v>
      </c>
      <c r="EZ252" s="181"/>
      <c r="FA252" s="181"/>
      <c r="FB252" s="181"/>
      <c r="FC252" s="181">
        <f>IFERROR(VLOOKUP(I252,CEI_092018!$A$1:$U$489,12,FALSE),0)</f>
        <v>0</v>
      </c>
      <c r="FD252" s="181">
        <f t="shared" si="133"/>
        <v>599.97772216796875</v>
      </c>
      <c r="FE252" s="181">
        <f t="shared" si="134"/>
        <v>0</v>
      </c>
      <c r="FF252"/>
      <c r="FG252"/>
      <c r="FH252"/>
      <c r="FI252"/>
      <c r="FJ252"/>
      <c r="FK252"/>
      <c r="FL252"/>
      <c r="FM252"/>
      <c r="FN252"/>
      <c r="FO252"/>
      <c r="FP252"/>
      <c r="FQ252"/>
      <c r="FR252"/>
      <c r="FS252"/>
      <c r="FT252"/>
      <c r="FU252"/>
      <c r="FV252"/>
      <c r="FW252"/>
      <c r="FX252"/>
      <c r="FY252"/>
      <c r="FZ252"/>
      <c r="GA252"/>
      <c r="GB252"/>
      <c r="GC252"/>
    </row>
    <row r="253" spans="1:185" ht="12.75" customHeight="1" x14ac:dyDescent="0.25">
      <c r="A253" s="202"/>
      <c r="B253" s="22" t="s">
        <v>57</v>
      </c>
      <c r="C253" s="34" t="s">
        <v>44</v>
      </c>
      <c r="D253" s="22" t="s">
        <v>1059</v>
      </c>
      <c r="E253" s="25" t="s">
        <v>1063</v>
      </c>
      <c r="F253" s="25" t="s">
        <v>1059</v>
      </c>
      <c r="G253" s="25" t="s">
        <v>1063</v>
      </c>
      <c r="H253" s="22" t="s">
        <v>56</v>
      </c>
      <c r="I253" s="423" t="s">
        <v>565</v>
      </c>
      <c r="J253" s="37" t="s">
        <v>59</v>
      </c>
      <c r="K253" s="23" t="s">
        <v>1015</v>
      </c>
      <c r="L253" s="23" t="s">
        <v>1016</v>
      </c>
      <c r="M253" s="23"/>
      <c r="N253" s="23" t="s">
        <v>1864</v>
      </c>
      <c r="O253" s="2">
        <v>0</v>
      </c>
      <c r="P253" s="2">
        <v>0</v>
      </c>
      <c r="Q253" s="2">
        <v>0</v>
      </c>
      <c r="R253" s="2">
        <v>0</v>
      </c>
      <c r="S253" s="2">
        <v>0</v>
      </c>
      <c r="T253" s="116">
        <f t="shared" si="116"/>
        <v>0</v>
      </c>
      <c r="U253" s="324">
        <v>0</v>
      </c>
      <c r="V253" s="324">
        <v>0</v>
      </c>
      <c r="W253" s="324">
        <v>0</v>
      </c>
      <c r="X253" s="324">
        <v>0</v>
      </c>
      <c r="Y253" s="324">
        <v>0</v>
      </c>
      <c r="Z253" s="324">
        <v>0</v>
      </c>
      <c r="AA253" s="324">
        <v>0</v>
      </c>
      <c r="AB253" s="324">
        <v>0</v>
      </c>
      <c r="AC253" s="324">
        <v>0</v>
      </c>
      <c r="AD253" s="324">
        <v>0</v>
      </c>
      <c r="AE253" s="324">
        <v>0</v>
      </c>
      <c r="AF253" s="324">
        <v>0</v>
      </c>
      <c r="AG253" s="140">
        <f t="shared" si="117"/>
        <v>0</v>
      </c>
      <c r="AH253" s="324">
        <v>0</v>
      </c>
      <c r="AI253" s="324">
        <v>0</v>
      </c>
      <c r="AJ253" s="324">
        <v>20</v>
      </c>
      <c r="AK253" s="324">
        <v>0</v>
      </c>
      <c r="AL253" s="324">
        <v>0</v>
      </c>
      <c r="AM253" s="324">
        <v>20</v>
      </c>
      <c r="AN253" s="324">
        <v>0</v>
      </c>
      <c r="AO253" s="324">
        <v>30</v>
      </c>
      <c r="AP253" s="324">
        <v>0</v>
      </c>
      <c r="AQ253" s="324">
        <v>30</v>
      </c>
      <c r="AR253" s="324">
        <v>30</v>
      </c>
      <c r="AS253" s="324">
        <v>50</v>
      </c>
      <c r="AT253" s="140">
        <f t="shared" si="118"/>
        <v>180</v>
      </c>
      <c r="AU253" s="324">
        <v>0</v>
      </c>
      <c r="AV253" s="324">
        <v>0</v>
      </c>
      <c r="AW253" s="324">
        <v>20</v>
      </c>
      <c r="AX253" s="324">
        <v>0</v>
      </c>
      <c r="AY253" s="324">
        <v>0</v>
      </c>
      <c r="AZ253" s="324">
        <v>20</v>
      </c>
      <c r="BA253" s="324">
        <v>0</v>
      </c>
      <c r="BB253" s="324">
        <v>30</v>
      </c>
      <c r="BC253" s="324">
        <v>0</v>
      </c>
      <c r="BD253" s="324">
        <v>30</v>
      </c>
      <c r="BE253" s="324">
        <v>25</v>
      </c>
      <c r="BF253" s="324">
        <v>50</v>
      </c>
      <c r="BG253" s="140">
        <f t="shared" si="119"/>
        <v>175</v>
      </c>
      <c r="BH253" s="324">
        <v>0</v>
      </c>
      <c r="BI253" s="324">
        <v>0</v>
      </c>
      <c r="BJ253" s="324">
        <v>20</v>
      </c>
      <c r="BK253" s="324">
        <v>30</v>
      </c>
      <c r="BL253" s="324">
        <v>0</v>
      </c>
      <c r="BM253" s="324">
        <v>20</v>
      </c>
      <c r="BN253" s="324">
        <v>0</v>
      </c>
      <c r="BO253" s="324">
        <v>30</v>
      </c>
      <c r="BP253" s="324">
        <v>0</v>
      </c>
      <c r="BQ253" s="324">
        <v>0</v>
      </c>
      <c r="BR253" s="324">
        <v>25</v>
      </c>
      <c r="BS253" s="324">
        <v>50</v>
      </c>
      <c r="BT253" s="140">
        <f t="shared" si="120"/>
        <v>175</v>
      </c>
      <c r="BU253" s="114">
        <f t="shared" si="121"/>
        <v>530</v>
      </c>
      <c r="BV253" s="432"/>
      <c r="BW253" s="432"/>
      <c r="BX253" s="432"/>
      <c r="BY253" s="432"/>
      <c r="BZ253" s="433"/>
      <c r="CA253" s="434"/>
      <c r="CB253" s="7" t="s">
        <v>1700</v>
      </c>
      <c r="CC253" s="3">
        <v>0</v>
      </c>
      <c r="CD253" s="3">
        <v>0</v>
      </c>
      <c r="CE253" s="3">
        <v>0</v>
      </c>
      <c r="CF253" s="3">
        <v>0</v>
      </c>
      <c r="CG253" s="3">
        <v>0</v>
      </c>
      <c r="CH253" s="3">
        <v>0</v>
      </c>
      <c r="CI253" s="3">
        <v>0</v>
      </c>
      <c r="CJ253" s="3">
        <v>0</v>
      </c>
      <c r="CK253" s="3">
        <v>0</v>
      </c>
      <c r="CL253" s="3">
        <v>0</v>
      </c>
      <c r="CM253" s="3">
        <v>0</v>
      </c>
      <c r="CN253" s="3">
        <v>0</v>
      </c>
      <c r="CO253" s="4">
        <f t="shared" si="126"/>
        <v>0</v>
      </c>
      <c r="CP253" s="3">
        <v>0</v>
      </c>
      <c r="CQ253" s="3">
        <v>0</v>
      </c>
      <c r="CR253" s="3">
        <v>0</v>
      </c>
      <c r="CS253" s="3">
        <v>0</v>
      </c>
      <c r="CT253" s="3">
        <v>0</v>
      </c>
      <c r="CU253" s="3">
        <v>0</v>
      </c>
      <c r="CV253" s="3">
        <v>0</v>
      </c>
      <c r="CW253" s="3">
        <v>0</v>
      </c>
      <c r="CX253" s="3">
        <v>0</v>
      </c>
      <c r="CY253" s="3">
        <v>0</v>
      </c>
      <c r="CZ253" s="3">
        <v>0</v>
      </c>
      <c r="DA253" s="3">
        <v>0</v>
      </c>
      <c r="DB253" s="4">
        <f t="shared" si="127"/>
        <v>0</v>
      </c>
      <c r="DC253" s="3">
        <v>0</v>
      </c>
      <c r="DD253" s="3">
        <v>0</v>
      </c>
      <c r="DE253" s="3">
        <v>57.142857142857146</v>
      </c>
      <c r="DF253" s="3">
        <v>0</v>
      </c>
      <c r="DG253" s="3">
        <v>0</v>
      </c>
      <c r="DH253" s="3">
        <v>57.142857142857146</v>
      </c>
      <c r="DI253" s="3">
        <v>0</v>
      </c>
      <c r="DJ253" s="3">
        <v>85.714285714285722</v>
      </c>
      <c r="DK253" s="3">
        <v>0</v>
      </c>
      <c r="DL253" s="3">
        <v>85.714285714285722</v>
      </c>
      <c r="DM253" s="3">
        <v>85.714285714285722</v>
      </c>
      <c r="DN253" s="3">
        <v>142.85714285714286</v>
      </c>
      <c r="DO253" s="4">
        <f t="shared" si="128"/>
        <v>514.28571428571433</v>
      </c>
      <c r="DP253" s="3">
        <v>0</v>
      </c>
      <c r="DQ253" s="3">
        <v>0</v>
      </c>
      <c r="DR253" s="3">
        <v>57.142857142857146</v>
      </c>
      <c r="DS253" s="3">
        <v>0</v>
      </c>
      <c r="DT253" s="3">
        <v>0</v>
      </c>
      <c r="DU253" s="3">
        <v>57.142857142857146</v>
      </c>
      <c r="DV253" s="3">
        <v>0</v>
      </c>
      <c r="DW253" s="3">
        <v>85.714285714285722</v>
      </c>
      <c r="DX253" s="3">
        <v>0</v>
      </c>
      <c r="DY253" s="3">
        <v>85.714285714285722</v>
      </c>
      <c r="DZ253" s="3">
        <v>71.428571428571431</v>
      </c>
      <c r="EA253" s="3">
        <v>142.85714285714286</v>
      </c>
      <c r="EB253" s="4">
        <f t="shared" si="129"/>
        <v>500</v>
      </c>
      <c r="EC253" s="3">
        <v>0</v>
      </c>
      <c r="ED253" s="3">
        <v>0</v>
      </c>
      <c r="EE253" s="3">
        <v>57.142857142857146</v>
      </c>
      <c r="EF253" s="3">
        <v>85.714285714285722</v>
      </c>
      <c r="EG253" s="3">
        <v>0</v>
      </c>
      <c r="EH253" s="3">
        <v>57.142857142857146</v>
      </c>
      <c r="EI253" s="3">
        <v>0</v>
      </c>
      <c r="EJ253" s="3">
        <v>85.714285714285722</v>
      </c>
      <c r="EK253" s="3">
        <v>0</v>
      </c>
      <c r="EL253" s="3">
        <v>0</v>
      </c>
      <c r="EM253" s="3">
        <v>71.428571428571431</v>
      </c>
      <c r="EN253" s="3">
        <v>142.85714285714286</v>
      </c>
      <c r="EO253" s="4">
        <f t="shared" si="130"/>
        <v>500</v>
      </c>
      <c r="EP253" s="8">
        <f t="shared" si="131"/>
        <v>1514.2857142857142</v>
      </c>
      <c r="EQ253" s="181">
        <f>IFERROR(VLOOKUP(I253,CEI_012018!$A$1:$U$509,9,FALSE),0)</f>
        <v>0</v>
      </c>
      <c r="ER253" s="181">
        <f>IFERROR(VLOOKUP(I253,CEI_022018!$A$1:$U$509,9,FALSE),0)</f>
        <v>0</v>
      </c>
      <c r="ES253" s="181">
        <f>IFERROR(VLOOKUP(I253,CEI_032018!$A$1:$U$509,9,FALSE),0)</f>
        <v>0</v>
      </c>
      <c r="ET253" s="181">
        <f>IFERROR(VLOOKUP(I253,CEI_042018!$A$1:$U$491,9,FALSE),0)</f>
        <v>0</v>
      </c>
      <c r="EU253" s="181">
        <f>IFERROR(VLOOKUP(I253,CEI_052018!$A$1:$U$489,9,FALSE),0)</f>
        <v>0</v>
      </c>
      <c r="EV253" s="181">
        <f>IFERROR(VLOOKUP(I253,CEI_062018!$A$1:$U$489,9,FALSE),0)</f>
        <v>0</v>
      </c>
      <c r="EW253" s="181">
        <f>IFERROR(VLOOKUP(I253,CEI_072018!$A$1:$U$489,9,FALSE),0)</f>
        <v>0</v>
      </c>
      <c r="EX253" s="181">
        <f>IFERROR(VLOOKUP(I253,CEI_082018!$A$1:$U$489,9,FALSE),0)</f>
        <v>0</v>
      </c>
      <c r="EY253" s="181">
        <f>IFERROR(VLOOKUP(I253,CEI_092018!$A$1:$U$489,9,FALSE),0)</f>
        <v>0</v>
      </c>
      <c r="EZ253" s="181"/>
      <c r="FA253" s="181"/>
      <c r="FB253" s="181"/>
      <c r="FC253" s="181">
        <f>IFERROR(VLOOKUP(I253,CEI_092018!$A$1:$U$489,12,FALSE),0)</f>
        <v>0</v>
      </c>
      <c r="FD253" s="181">
        <f t="shared" si="133"/>
        <v>0</v>
      </c>
      <c r="FE253" s="181">
        <f t="shared" si="134"/>
        <v>0</v>
      </c>
      <c r="FF253"/>
      <c r="FG253"/>
      <c r="FH253"/>
      <c r="FI253"/>
      <c r="FJ253"/>
      <c r="FK253"/>
      <c r="FL253"/>
      <c r="FM253"/>
      <c r="FN253"/>
      <c r="FO253"/>
      <c r="FP253"/>
      <c r="FQ253"/>
      <c r="FR253"/>
      <c r="FS253"/>
      <c r="FT253"/>
      <c r="FU253"/>
      <c r="FV253"/>
      <c r="FW253"/>
      <c r="FX253"/>
      <c r="FY253"/>
      <c r="FZ253"/>
      <c r="GA253"/>
      <c r="GB253"/>
      <c r="GC253"/>
    </row>
    <row r="254" spans="1:185" ht="12.75" customHeight="1" x14ac:dyDescent="0.25">
      <c r="A254" s="202"/>
      <c r="B254" s="22" t="s">
        <v>57</v>
      </c>
      <c r="C254" s="34" t="s">
        <v>44</v>
      </c>
      <c r="D254" s="22" t="s">
        <v>318</v>
      </c>
      <c r="E254" s="25" t="s">
        <v>1066</v>
      </c>
      <c r="F254" s="25" t="s">
        <v>318</v>
      </c>
      <c r="G254" s="25" t="s">
        <v>1066</v>
      </c>
      <c r="H254" s="22" t="s">
        <v>56</v>
      </c>
      <c r="I254" s="483" t="s">
        <v>565</v>
      </c>
      <c r="J254" s="255" t="s">
        <v>59</v>
      </c>
      <c r="K254" s="23" t="s">
        <v>1579</v>
      </c>
      <c r="L254" s="23"/>
      <c r="M254" s="23"/>
      <c r="N254" s="23" t="s">
        <v>1873</v>
      </c>
      <c r="O254" s="2">
        <v>0</v>
      </c>
      <c r="P254" s="2">
        <v>0</v>
      </c>
      <c r="Q254" s="2">
        <v>0</v>
      </c>
      <c r="R254" s="2">
        <v>0</v>
      </c>
      <c r="S254" s="2">
        <v>0</v>
      </c>
      <c r="T254" s="116">
        <f t="shared" si="116"/>
        <v>0</v>
      </c>
      <c r="U254" s="324">
        <v>0</v>
      </c>
      <c r="V254" s="324">
        <v>0</v>
      </c>
      <c r="W254" s="324">
        <v>0</v>
      </c>
      <c r="X254" s="324">
        <v>0</v>
      </c>
      <c r="Y254" s="324">
        <v>0</v>
      </c>
      <c r="Z254" s="324">
        <v>0</v>
      </c>
      <c r="AA254" s="324">
        <v>0</v>
      </c>
      <c r="AB254" s="324">
        <v>523</v>
      </c>
      <c r="AC254" s="324">
        <v>0</v>
      </c>
      <c r="AD254" s="324">
        <v>0</v>
      </c>
      <c r="AE254" s="324">
        <v>0</v>
      </c>
      <c r="AF254" s="324">
        <v>0</v>
      </c>
      <c r="AG254" s="140">
        <f t="shared" si="117"/>
        <v>523</v>
      </c>
      <c r="AH254" s="324">
        <v>0</v>
      </c>
      <c r="AI254" s="324">
        <v>0</v>
      </c>
      <c r="AJ254" s="324">
        <v>0</v>
      </c>
      <c r="AK254" s="324">
        <v>0</v>
      </c>
      <c r="AL254" s="324">
        <v>0</v>
      </c>
      <c r="AM254" s="324">
        <v>0</v>
      </c>
      <c r="AN254" s="324">
        <v>0</v>
      </c>
      <c r="AO254" s="324">
        <v>0</v>
      </c>
      <c r="AP254" s="324">
        <v>0</v>
      </c>
      <c r="AQ254" s="324">
        <v>0</v>
      </c>
      <c r="AR254" s="324">
        <v>0</v>
      </c>
      <c r="AS254" s="324">
        <v>0</v>
      </c>
      <c r="AT254" s="140">
        <f t="shared" si="118"/>
        <v>0</v>
      </c>
      <c r="AU254" s="324">
        <v>0</v>
      </c>
      <c r="AV254" s="324">
        <v>0</v>
      </c>
      <c r="AW254" s="324">
        <v>0</v>
      </c>
      <c r="AX254" s="324">
        <v>0</v>
      </c>
      <c r="AY254" s="324">
        <v>0</v>
      </c>
      <c r="AZ254" s="324">
        <v>0</v>
      </c>
      <c r="BA254" s="324">
        <v>0</v>
      </c>
      <c r="BB254" s="324">
        <v>0</v>
      </c>
      <c r="BC254" s="324">
        <v>0</v>
      </c>
      <c r="BD254" s="324">
        <v>0</v>
      </c>
      <c r="BE254" s="324">
        <v>0</v>
      </c>
      <c r="BF254" s="324">
        <v>0</v>
      </c>
      <c r="BG254" s="140">
        <f t="shared" si="119"/>
        <v>0</v>
      </c>
      <c r="BH254" s="324"/>
      <c r="BI254" s="324"/>
      <c r="BJ254" s="324"/>
      <c r="BK254" s="324"/>
      <c r="BL254" s="324"/>
      <c r="BM254" s="324"/>
      <c r="BN254" s="324"/>
      <c r="BO254" s="324"/>
      <c r="BP254" s="324"/>
      <c r="BQ254" s="324"/>
      <c r="BR254" s="324"/>
      <c r="BS254" s="324"/>
      <c r="BT254" s="140">
        <f t="shared" si="120"/>
        <v>0</v>
      </c>
      <c r="BU254" s="114">
        <f t="shared" si="121"/>
        <v>523</v>
      </c>
      <c r="BV254" s="432"/>
      <c r="BW254" s="432"/>
      <c r="BX254" s="432"/>
      <c r="BY254" s="432"/>
      <c r="BZ254" s="433"/>
      <c r="CA254" s="434"/>
      <c r="CB254" s="7" t="s">
        <v>1702</v>
      </c>
      <c r="CC254" s="3">
        <v>0</v>
      </c>
      <c r="CD254" s="3">
        <v>0</v>
      </c>
      <c r="CE254" s="3">
        <v>0</v>
      </c>
      <c r="CF254" s="3">
        <v>0</v>
      </c>
      <c r="CG254" s="3">
        <v>0</v>
      </c>
      <c r="CH254" s="3">
        <v>0</v>
      </c>
      <c r="CI254" s="3">
        <v>0</v>
      </c>
      <c r="CJ254" s="3">
        <v>0</v>
      </c>
      <c r="CK254" s="3">
        <v>0</v>
      </c>
      <c r="CL254" s="3">
        <v>0</v>
      </c>
      <c r="CM254" s="3">
        <v>0</v>
      </c>
      <c r="CN254" s="3">
        <v>0</v>
      </c>
      <c r="CO254" s="4">
        <f t="shared" si="126"/>
        <v>0</v>
      </c>
      <c r="CP254" s="3">
        <v>0</v>
      </c>
      <c r="CQ254" s="3">
        <v>0</v>
      </c>
      <c r="CR254" s="3">
        <v>0</v>
      </c>
      <c r="CS254" s="3">
        <v>0</v>
      </c>
      <c r="CT254" s="3">
        <v>0</v>
      </c>
      <c r="CU254" s="3">
        <v>0</v>
      </c>
      <c r="CV254" s="3">
        <v>0</v>
      </c>
      <c r="CW254" s="3">
        <v>1</v>
      </c>
      <c r="CX254" s="3">
        <v>0</v>
      </c>
      <c r="CY254" s="3">
        <v>0</v>
      </c>
      <c r="CZ254" s="3">
        <v>0</v>
      </c>
      <c r="DA254" s="3">
        <v>0</v>
      </c>
      <c r="DB254" s="4">
        <f t="shared" si="127"/>
        <v>1</v>
      </c>
      <c r="DC254" s="3">
        <v>0</v>
      </c>
      <c r="DD254" s="3">
        <v>0</v>
      </c>
      <c r="DE254" s="3">
        <v>0</v>
      </c>
      <c r="DF254" s="3">
        <v>0</v>
      </c>
      <c r="DG254" s="3">
        <v>0</v>
      </c>
      <c r="DH254" s="3">
        <v>0</v>
      </c>
      <c r="DI254" s="3">
        <v>0</v>
      </c>
      <c r="DJ254" s="3">
        <v>0</v>
      </c>
      <c r="DK254" s="3">
        <v>0</v>
      </c>
      <c r="DL254" s="3">
        <v>0</v>
      </c>
      <c r="DM254" s="3">
        <v>0</v>
      </c>
      <c r="DN254" s="3">
        <v>0</v>
      </c>
      <c r="DO254" s="4">
        <f t="shared" si="128"/>
        <v>0</v>
      </c>
      <c r="DP254" s="3">
        <v>0</v>
      </c>
      <c r="DQ254" s="3">
        <v>0</v>
      </c>
      <c r="DR254" s="3">
        <v>0</v>
      </c>
      <c r="DS254" s="3">
        <v>0</v>
      </c>
      <c r="DT254" s="3">
        <v>0</v>
      </c>
      <c r="DU254" s="3">
        <v>0</v>
      </c>
      <c r="DV254" s="3">
        <v>0</v>
      </c>
      <c r="DW254" s="3">
        <v>0</v>
      </c>
      <c r="DX254" s="3">
        <v>0</v>
      </c>
      <c r="DY254" s="3">
        <v>0</v>
      </c>
      <c r="DZ254" s="3">
        <v>0</v>
      </c>
      <c r="EA254" s="3">
        <v>0</v>
      </c>
      <c r="EB254" s="4">
        <f t="shared" si="129"/>
        <v>0</v>
      </c>
      <c r="EC254" s="3">
        <v>0</v>
      </c>
      <c r="ED254" s="3">
        <v>0</v>
      </c>
      <c r="EE254" s="3">
        <v>0</v>
      </c>
      <c r="EF254" s="3">
        <v>0</v>
      </c>
      <c r="EG254" s="3">
        <v>0</v>
      </c>
      <c r="EH254" s="3">
        <v>0</v>
      </c>
      <c r="EI254" s="3">
        <v>0</v>
      </c>
      <c r="EJ254" s="3">
        <v>0</v>
      </c>
      <c r="EK254" s="3">
        <v>0</v>
      </c>
      <c r="EL254" s="3">
        <v>0</v>
      </c>
      <c r="EM254" s="3">
        <v>0</v>
      </c>
      <c r="EN254" s="3">
        <v>0</v>
      </c>
      <c r="EO254" s="4">
        <f t="shared" si="130"/>
        <v>0</v>
      </c>
      <c r="EP254" s="8">
        <f t="shared" si="131"/>
        <v>1</v>
      </c>
      <c r="EQ254" s="181">
        <f>IFERROR(VLOOKUP(I254,CEI_012018!$A$1:$U$509,9,FALSE),0)</f>
        <v>0</v>
      </c>
      <c r="ER254" s="181">
        <f>IFERROR(VLOOKUP(I254,CEI_022018!$A$1:$U$509,9,FALSE),0)</f>
        <v>0</v>
      </c>
      <c r="ES254" s="181">
        <f>IFERROR(VLOOKUP(I254,CEI_032018!$A$1:$U$509,9,FALSE),0)</f>
        <v>0</v>
      </c>
      <c r="ET254" s="181">
        <f>IFERROR(VLOOKUP(I254,CEI_042018!$A$1:$U$491,9,FALSE),0)</f>
        <v>0</v>
      </c>
      <c r="EU254" s="181">
        <f>IFERROR(VLOOKUP(I254,CEI_052018!$A$1:$U$489,9,FALSE),0)</f>
        <v>0</v>
      </c>
      <c r="EV254" s="181">
        <f>IFERROR(VLOOKUP(I254,CEI_062018!$A$1:$U$489,9,FALSE),0)</f>
        <v>0</v>
      </c>
      <c r="EW254" s="181">
        <f>IFERROR(VLOOKUP(I254,CEI_072018!$A$1:$U$489,9,FALSE),0)</f>
        <v>0</v>
      </c>
      <c r="EX254" s="181">
        <f>IFERROR(VLOOKUP(I254,CEI_082018!$A$1:$U$489,9,FALSE),0)</f>
        <v>0</v>
      </c>
      <c r="EY254" s="181">
        <f>IFERROR(VLOOKUP(I254,CEI_092018!$A$1:$U$489,9,FALSE),0)</f>
        <v>0</v>
      </c>
      <c r="EZ254" s="181"/>
      <c r="FA254" s="181"/>
      <c r="FB254" s="181"/>
      <c r="FC254" s="181">
        <f>IFERROR(VLOOKUP(I254,CEI_092018!$A$1:$U$489,12,FALSE),0)</f>
        <v>0</v>
      </c>
      <c r="FD254" s="181">
        <f t="shared" si="133"/>
        <v>0</v>
      </c>
      <c r="FE254" s="181">
        <f t="shared" si="134"/>
        <v>0</v>
      </c>
      <c r="FF254"/>
      <c r="FG254"/>
      <c r="FH254"/>
      <c r="FI254"/>
      <c r="FJ254"/>
      <c r="FK254"/>
      <c r="FL254"/>
      <c r="FM254"/>
      <c r="FN254"/>
      <c r="FO254"/>
      <c r="FP254"/>
      <c r="FQ254"/>
      <c r="FR254"/>
      <c r="FS254"/>
      <c r="FT254"/>
      <c r="FU254"/>
      <c r="FV254"/>
      <c r="FW254"/>
      <c r="FX254"/>
      <c r="FY254"/>
      <c r="FZ254"/>
      <c r="GA254"/>
      <c r="GB254"/>
      <c r="GC254"/>
    </row>
    <row r="255" spans="1:185" ht="12.75" customHeight="1" x14ac:dyDescent="0.25">
      <c r="A255" s="202"/>
      <c r="B255" s="22" t="s">
        <v>57</v>
      </c>
      <c r="C255" s="34" t="s">
        <v>44</v>
      </c>
      <c r="D255" s="22" t="s">
        <v>318</v>
      </c>
      <c r="E255" s="25" t="s">
        <v>1066</v>
      </c>
      <c r="F255" s="25" t="s">
        <v>318</v>
      </c>
      <c r="G255" s="25" t="s">
        <v>1066</v>
      </c>
      <c r="H255" s="22" t="s">
        <v>56</v>
      </c>
      <c r="I255" s="483" t="s">
        <v>1350</v>
      </c>
      <c r="J255" s="255" t="s">
        <v>1352</v>
      </c>
      <c r="K255" s="23" t="s">
        <v>1006</v>
      </c>
      <c r="L255" s="23" t="s">
        <v>1007</v>
      </c>
      <c r="M255" s="23" t="s">
        <v>1008</v>
      </c>
      <c r="N255" s="23" t="s">
        <v>1877</v>
      </c>
      <c r="O255" s="2">
        <v>0</v>
      </c>
      <c r="P255" s="2">
        <v>0</v>
      </c>
      <c r="Q255" s="2">
        <v>0</v>
      </c>
      <c r="R255" s="2">
        <v>0</v>
      </c>
      <c r="S255" s="2">
        <v>0</v>
      </c>
      <c r="T255" s="116">
        <f t="shared" si="116"/>
        <v>0</v>
      </c>
      <c r="U255" s="324">
        <v>0</v>
      </c>
      <c r="V255" s="324">
        <v>0</v>
      </c>
      <c r="W255" s="324">
        <v>221</v>
      </c>
      <c r="X255" s="324">
        <v>58</v>
      </c>
      <c r="Y255" s="324">
        <v>0</v>
      </c>
      <c r="Z255" s="324">
        <v>0</v>
      </c>
      <c r="AA255" s="324">
        <v>0</v>
      </c>
      <c r="AB255" s="324">
        <v>0</v>
      </c>
      <c r="AC255" s="324">
        <v>0</v>
      </c>
      <c r="AD255" s="324">
        <v>0</v>
      </c>
      <c r="AE255" s="324">
        <v>0</v>
      </c>
      <c r="AF255" s="324">
        <v>0</v>
      </c>
      <c r="AG255" s="140">
        <f t="shared" si="117"/>
        <v>279</v>
      </c>
      <c r="AH255" s="324">
        <v>0</v>
      </c>
      <c r="AI255" s="324">
        <v>0</v>
      </c>
      <c r="AJ255" s="324">
        <v>193</v>
      </c>
      <c r="AK255" s="324">
        <v>36</v>
      </c>
      <c r="AL255" s="324">
        <v>0</v>
      </c>
      <c r="AM255" s="324">
        <v>0</v>
      </c>
      <c r="AN255" s="324">
        <v>0</v>
      </c>
      <c r="AO255" s="324">
        <v>0</v>
      </c>
      <c r="AP255" s="324">
        <v>0</v>
      </c>
      <c r="AQ255" s="324">
        <v>0</v>
      </c>
      <c r="AR255" s="324">
        <v>0</v>
      </c>
      <c r="AS255" s="324">
        <v>0</v>
      </c>
      <c r="AT255" s="140">
        <f t="shared" si="118"/>
        <v>229</v>
      </c>
      <c r="AU255" s="324">
        <v>0</v>
      </c>
      <c r="AV255" s="324">
        <v>0</v>
      </c>
      <c r="AW255" s="324">
        <v>0</v>
      </c>
      <c r="AX255" s="324">
        <v>0</v>
      </c>
      <c r="AY255" s="324">
        <v>0</v>
      </c>
      <c r="AZ255" s="324">
        <v>0</v>
      </c>
      <c r="BA255" s="324">
        <v>0</v>
      </c>
      <c r="BB255" s="324">
        <v>0</v>
      </c>
      <c r="BC255" s="324">
        <v>0</v>
      </c>
      <c r="BD255" s="324">
        <v>0</v>
      </c>
      <c r="BE255" s="324">
        <v>0</v>
      </c>
      <c r="BF255" s="324">
        <v>0</v>
      </c>
      <c r="BG255" s="140">
        <f t="shared" si="119"/>
        <v>0</v>
      </c>
      <c r="BH255" s="324">
        <v>0</v>
      </c>
      <c r="BI255" s="324">
        <v>0</v>
      </c>
      <c r="BJ255" s="324">
        <v>0</v>
      </c>
      <c r="BK255" s="324">
        <v>0</v>
      </c>
      <c r="BL255" s="324">
        <v>0</v>
      </c>
      <c r="BM255" s="324">
        <v>0</v>
      </c>
      <c r="BN255" s="324">
        <v>0</v>
      </c>
      <c r="BO255" s="324">
        <v>0</v>
      </c>
      <c r="BP255" s="324">
        <v>0</v>
      </c>
      <c r="BQ255" s="324">
        <v>0</v>
      </c>
      <c r="BR255" s="324">
        <v>0</v>
      </c>
      <c r="BS255" s="324">
        <v>0</v>
      </c>
      <c r="BT255" s="140">
        <f t="shared" si="120"/>
        <v>0</v>
      </c>
      <c r="BU255" s="114">
        <f t="shared" si="121"/>
        <v>508</v>
      </c>
      <c r="BV255" s="432"/>
      <c r="BW255" s="432"/>
      <c r="BX255" s="432"/>
      <c r="BY255" s="432"/>
      <c r="BZ255" s="436">
        <f>IFERROR((EX255/T255%),0)</f>
        <v>0</v>
      </c>
      <c r="CA255" s="434"/>
      <c r="CB255" s="7" t="s">
        <v>1702</v>
      </c>
      <c r="CC255" s="3">
        <v>0</v>
      </c>
      <c r="CD255" s="3">
        <v>0</v>
      </c>
      <c r="CE255" s="3">
        <v>0</v>
      </c>
      <c r="CF255" s="3">
        <v>0</v>
      </c>
      <c r="CG255" s="3">
        <v>0</v>
      </c>
      <c r="CH255" s="3">
        <v>0</v>
      </c>
      <c r="CI255" s="3">
        <v>0</v>
      </c>
      <c r="CJ255" s="3">
        <v>0</v>
      </c>
      <c r="CK255" s="3">
        <v>0</v>
      </c>
      <c r="CL255" s="3">
        <v>0</v>
      </c>
      <c r="CM255" s="3">
        <v>0</v>
      </c>
      <c r="CN255" s="3">
        <v>0</v>
      </c>
      <c r="CO255" s="4">
        <f t="shared" si="126"/>
        <v>0</v>
      </c>
      <c r="CP255" s="3">
        <v>0</v>
      </c>
      <c r="CQ255" s="3">
        <v>0</v>
      </c>
      <c r="CR255" s="3">
        <v>1</v>
      </c>
      <c r="CS255" s="3">
        <v>0</v>
      </c>
      <c r="CT255" s="3">
        <v>0</v>
      </c>
      <c r="CU255" s="3">
        <v>0</v>
      </c>
      <c r="CV255" s="3">
        <v>0</v>
      </c>
      <c r="CW255" s="3">
        <v>0</v>
      </c>
      <c r="CX255" s="3">
        <v>0</v>
      </c>
      <c r="CY255" s="3">
        <v>0</v>
      </c>
      <c r="CZ255" s="3">
        <v>0</v>
      </c>
      <c r="DA255" s="3">
        <v>0</v>
      </c>
      <c r="DB255" s="4">
        <f t="shared" si="127"/>
        <v>1</v>
      </c>
      <c r="DC255" s="3">
        <v>0</v>
      </c>
      <c r="DD255" s="3">
        <v>0</v>
      </c>
      <c r="DE255" s="3">
        <v>1</v>
      </c>
      <c r="DF255" s="3">
        <v>0</v>
      </c>
      <c r="DG255" s="3">
        <v>0</v>
      </c>
      <c r="DH255" s="3">
        <v>0</v>
      </c>
      <c r="DI255" s="3">
        <v>0</v>
      </c>
      <c r="DJ255" s="3">
        <v>0</v>
      </c>
      <c r="DK255" s="3">
        <v>0</v>
      </c>
      <c r="DL255" s="3">
        <v>0</v>
      </c>
      <c r="DM255" s="3">
        <v>0</v>
      </c>
      <c r="DN255" s="3">
        <v>0</v>
      </c>
      <c r="DO255" s="4">
        <f t="shared" si="128"/>
        <v>1</v>
      </c>
      <c r="DP255" s="3">
        <v>0</v>
      </c>
      <c r="DQ255" s="3">
        <v>0</v>
      </c>
      <c r="DR255" s="3">
        <v>0</v>
      </c>
      <c r="DS255" s="3">
        <v>0</v>
      </c>
      <c r="DT255" s="3">
        <v>0</v>
      </c>
      <c r="DU255" s="3">
        <v>0</v>
      </c>
      <c r="DV255" s="3">
        <v>0</v>
      </c>
      <c r="DW255" s="3">
        <v>0</v>
      </c>
      <c r="DX255" s="3">
        <v>0</v>
      </c>
      <c r="DY255" s="3">
        <v>0</v>
      </c>
      <c r="DZ255" s="3">
        <v>0</v>
      </c>
      <c r="EA255" s="3">
        <v>0</v>
      </c>
      <c r="EB255" s="4">
        <f t="shared" si="129"/>
        <v>0</v>
      </c>
      <c r="EC255" s="3">
        <v>0</v>
      </c>
      <c r="ED255" s="3">
        <v>0</v>
      </c>
      <c r="EE255" s="3">
        <v>0</v>
      </c>
      <c r="EF255" s="3">
        <v>0</v>
      </c>
      <c r="EG255" s="3">
        <v>0</v>
      </c>
      <c r="EH255" s="3">
        <v>0</v>
      </c>
      <c r="EI255" s="3">
        <v>0</v>
      </c>
      <c r="EJ255" s="3">
        <v>0</v>
      </c>
      <c r="EK255" s="3">
        <v>0</v>
      </c>
      <c r="EL255" s="3">
        <v>0</v>
      </c>
      <c r="EM255" s="3">
        <v>0</v>
      </c>
      <c r="EN255" s="3">
        <v>0</v>
      </c>
      <c r="EO255" s="4">
        <f t="shared" si="130"/>
        <v>0</v>
      </c>
      <c r="EP255" s="8">
        <f t="shared" si="131"/>
        <v>2</v>
      </c>
      <c r="EQ255" s="181">
        <f>IFERROR(VLOOKUP(I255,CEI_012018!$A$1:$U$509,9,FALSE),0)</f>
        <v>0</v>
      </c>
      <c r="ER255" s="181">
        <f>IFERROR(VLOOKUP(I255,CEI_022018!$A$1:$U$509,9,FALSE),0)</f>
        <v>0</v>
      </c>
      <c r="ES255" s="181">
        <f>IFERROR(VLOOKUP(I255,CEI_032018!$A$1:$U$509,9,FALSE),0)</f>
        <v>0</v>
      </c>
      <c r="ET255" s="181">
        <f>IFERROR(VLOOKUP(I255,CEI_042018!$A$1:$U$491,9,FALSE),0)</f>
        <v>0</v>
      </c>
      <c r="EU255" s="181">
        <f>IFERROR(VLOOKUP(I255,CEI_052018!$A$1:$U$489,9,FALSE),0)</f>
        <v>0</v>
      </c>
      <c r="EV255" s="181">
        <f>IFERROR(VLOOKUP(I255,CEI_062018!$A$1:$U$489,9,FALSE),0)</f>
        <v>0</v>
      </c>
      <c r="EW255" s="181">
        <f>IFERROR(VLOOKUP(I255,CEI_072018!$A$1:$U$489,9,FALSE),0)</f>
        <v>0</v>
      </c>
      <c r="EX255" s="181">
        <f>IFERROR(VLOOKUP(I255,CEI_082018!$A$1:$U$489,9,FALSE),0)</f>
        <v>0</v>
      </c>
      <c r="EY255" s="181">
        <f>IFERROR(VLOOKUP(I255,CEI_092018!$A$1:$U$489,9,FALSE),0)</f>
        <v>0</v>
      </c>
      <c r="EZ255" s="181"/>
      <c r="FA255" s="181"/>
      <c r="FB255" s="181"/>
      <c r="FC255" s="181">
        <f>IFERROR(VLOOKUP(I255,CEI_092018!$A$1:$U$489,12,FALSE),0)</f>
        <v>0</v>
      </c>
      <c r="FD255" s="181">
        <f t="shared" si="133"/>
        <v>0</v>
      </c>
      <c r="FE255" s="181">
        <f t="shared" si="134"/>
        <v>0</v>
      </c>
      <c r="FF255"/>
      <c r="FG255"/>
      <c r="FH255"/>
      <c r="FI255"/>
      <c r="FJ255"/>
      <c r="FK255"/>
      <c r="FL255"/>
      <c r="FM255"/>
      <c r="FN255"/>
      <c r="FO255"/>
      <c r="FP255"/>
      <c r="FQ255"/>
      <c r="FR255"/>
      <c r="FS255"/>
      <c r="FT255"/>
      <c r="FU255"/>
      <c r="FV255"/>
      <c r="FW255"/>
      <c r="FX255"/>
      <c r="FY255"/>
      <c r="FZ255"/>
      <c r="GA255"/>
      <c r="GB255"/>
      <c r="GC255"/>
    </row>
    <row r="256" spans="1:185" ht="12.75" customHeight="1" x14ac:dyDescent="0.25">
      <c r="A256" s="202"/>
      <c r="B256" s="22" t="s">
        <v>57</v>
      </c>
      <c r="C256" s="34" t="s">
        <v>44</v>
      </c>
      <c r="D256" s="22" t="s">
        <v>318</v>
      </c>
      <c r="E256" s="25" t="s">
        <v>1061</v>
      </c>
      <c r="F256" s="25" t="s">
        <v>318</v>
      </c>
      <c r="G256" s="25" t="s">
        <v>1061</v>
      </c>
      <c r="H256" s="22" t="s">
        <v>56</v>
      </c>
      <c r="I256" s="423" t="s">
        <v>565</v>
      </c>
      <c r="J256" s="37" t="s">
        <v>59</v>
      </c>
      <c r="K256" s="23" t="s">
        <v>844</v>
      </c>
      <c r="L256" s="23" t="s">
        <v>59</v>
      </c>
      <c r="M256" s="23" t="s">
        <v>59</v>
      </c>
      <c r="N256" s="23" t="s">
        <v>59</v>
      </c>
      <c r="O256" s="2">
        <v>0</v>
      </c>
      <c r="P256" s="2">
        <v>0</v>
      </c>
      <c r="Q256" s="2">
        <v>0</v>
      </c>
      <c r="R256" s="2">
        <v>0</v>
      </c>
      <c r="S256" s="2">
        <v>0</v>
      </c>
      <c r="T256" s="116">
        <f t="shared" si="116"/>
        <v>0</v>
      </c>
      <c r="U256" s="324">
        <v>0</v>
      </c>
      <c r="V256" s="324">
        <v>0</v>
      </c>
      <c r="W256" s="324">
        <v>0</v>
      </c>
      <c r="X256" s="324">
        <v>0</v>
      </c>
      <c r="Y256" s="324">
        <v>0</v>
      </c>
      <c r="Z256" s="324">
        <v>0</v>
      </c>
      <c r="AA256" s="324">
        <v>0</v>
      </c>
      <c r="AB256" s="324">
        <v>0</v>
      </c>
      <c r="AC256" s="324">
        <v>0</v>
      </c>
      <c r="AD256" s="324">
        <v>0</v>
      </c>
      <c r="AE256" s="324">
        <v>250</v>
      </c>
      <c r="AF256" s="324">
        <v>0</v>
      </c>
      <c r="AG256" s="140">
        <f t="shared" si="117"/>
        <v>250</v>
      </c>
      <c r="AH256" s="324">
        <v>0</v>
      </c>
      <c r="AI256" s="324">
        <v>0</v>
      </c>
      <c r="AJ256" s="324">
        <v>0</v>
      </c>
      <c r="AK256" s="324">
        <v>0</v>
      </c>
      <c r="AL256" s="324">
        <v>0</v>
      </c>
      <c r="AM256" s="324">
        <v>0</v>
      </c>
      <c r="AN256" s="324">
        <v>0</v>
      </c>
      <c r="AO256" s="324">
        <v>0</v>
      </c>
      <c r="AP256" s="324">
        <v>0</v>
      </c>
      <c r="AQ256" s="324">
        <v>0</v>
      </c>
      <c r="AR256" s="324">
        <v>250</v>
      </c>
      <c r="AS256" s="324">
        <v>0</v>
      </c>
      <c r="AT256" s="140">
        <f t="shared" si="118"/>
        <v>250</v>
      </c>
      <c r="AU256" s="324">
        <v>0</v>
      </c>
      <c r="AV256" s="324">
        <v>0</v>
      </c>
      <c r="AW256" s="324">
        <v>0</v>
      </c>
      <c r="AX256" s="324">
        <v>0</v>
      </c>
      <c r="AY256" s="324">
        <v>0</v>
      </c>
      <c r="AZ256" s="324">
        <v>0</v>
      </c>
      <c r="BA256" s="324">
        <v>0</v>
      </c>
      <c r="BB256" s="324">
        <v>0</v>
      </c>
      <c r="BC256" s="324">
        <v>0</v>
      </c>
      <c r="BD256" s="324">
        <v>0</v>
      </c>
      <c r="BE256" s="324">
        <v>0</v>
      </c>
      <c r="BF256" s="324">
        <v>0</v>
      </c>
      <c r="BG256" s="140">
        <f t="shared" si="119"/>
        <v>0</v>
      </c>
      <c r="BH256" s="324">
        <v>0</v>
      </c>
      <c r="BI256" s="324">
        <v>0</v>
      </c>
      <c r="BJ256" s="324">
        <v>0</v>
      </c>
      <c r="BK256" s="324">
        <v>0</v>
      </c>
      <c r="BL256" s="324">
        <v>0</v>
      </c>
      <c r="BM256" s="324">
        <v>0</v>
      </c>
      <c r="BN256" s="324">
        <v>0</v>
      </c>
      <c r="BO256" s="324">
        <v>0</v>
      </c>
      <c r="BP256" s="324">
        <v>0</v>
      </c>
      <c r="BQ256" s="324">
        <v>0</v>
      </c>
      <c r="BR256" s="324">
        <v>0</v>
      </c>
      <c r="BS256" s="324">
        <v>0</v>
      </c>
      <c r="BT256" s="140">
        <f t="shared" si="120"/>
        <v>0</v>
      </c>
      <c r="BU256" s="114">
        <f t="shared" si="121"/>
        <v>500</v>
      </c>
      <c r="BV256" s="432"/>
      <c r="BW256" s="432"/>
      <c r="BX256" s="432"/>
      <c r="BY256" s="432"/>
      <c r="BZ256" s="433"/>
      <c r="CA256" s="434"/>
      <c r="CB256" s="7" t="s">
        <v>1702</v>
      </c>
      <c r="CC256" s="3">
        <v>0</v>
      </c>
      <c r="CD256" s="3">
        <v>0</v>
      </c>
      <c r="CE256" s="3">
        <v>0</v>
      </c>
      <c r="CF256" s="3">
        <v>0</v>
      </c>
      <c r="CG256" s="3">
        <v>0</v>
      </c>
      <c r="CH256" s="3">
        <v>0</v>
      </c>
      <c r="CI256" s="3">
        <v>0</v>
      </c>
      <c r="CJ256" s="3">
        <v>0</v>
      </c>
      <c r="CK256" s="3">
        <v>0</v>
      </c>
      <c r="CL256" s="3">
        <v>0</v>
      </c>
      <c r="CM256" s="3">
        <v>0</v>
      </c>
      <c r="CN256" s="3">
        <v>0</v>
      </c>
      <c r="CO256" s="4">
        <f t="shared" si="126"/>
        <v>0</v>
      </c>
      <c r="CP256" s="3">
        <v>0</v>
      </c>
      <c r="CQ256" s="3">
        <v>0</v>
      </c>
      <c r="CR256" s="3">
        <v>0</v>
      </c>
      <c r="CS256" s="3">
        <v>0</v>
      </c>
      <c r="CT256" s="3">
        <v>0</v>
      </c>
      <c r="CU256" s="3">
        <v>0</v>
      </c>
      <c r="CV256" s="3">
        <v>0</v>
      </c>
      <c r="CW256" s="3">
        <v>0</v>
      </c>
      <c r="CX256" s="3">
        <v>0</v>
      </c>
      <c r="CY256" s="3">
        <v>0</v>
      </c>
      <c r="CZ256" s="3">
        <v>1</v>
      </c>
      <c r="DA256" s="3">
        <v>0</v>
      </c>
      <c r="DB256" s="4">
        <f t="shared" si="127"/>
        <v>1</v>
      </c>
      <c r="DC256" s="3">
        <v>0</v>
      </c>
      <c r="DD256" s="3">
        <v>0</v>
      </c>
      <c r="DE256" s="3">
        <v>0</v>
      </c>
      <c r="DF256" s="3">
        <v>0</v>
      </c>
      <c r="DG256" s="3">
        <v>0</v>
      </c>
      <c r="DH256" s="3">
        <v>0</v>
      </c>
      <c r="DI256" s="3">
        <v>0</v>
      </c>
      <c r="DJ256" s="3">
        <v>0</v>
      </c>
      <c r="DK256" s="3">
        <v>0</v>
      </c>
      <c r="DL256" s="3">
        <v>0</v>
      </c>
      <c r="DM256" s="3">
        <v>1</v>
      </c>
      <c r="DN256" s="3">
        <v>0</v>
      </c>
      <c r="DO256" s="4">
        <f t="shared" si="128"/>
        <v>1</v>
      </c>
      <c r="DP256" s="3">
        <v>0</v>
      </c>
      <c r="DQ256" s="3">
        <v>0</v>
      </c>
      <c r="DR256" s="3">
        <v>0</v>
      </c>
      <c r="DS256" s="3">
        <v>0</v>
      </c>
      <c r="DT256" s="3">
        <v>0</v>
      </c>
      <c r="DU256" s="3">
        <v>0</v>
      </c>
      <c r="DV256" s="3">
        <v>0</v>
      </c>
      <c r="DW256" s="3">
        <v>0</v>
      </c>
      <c r="DX256" s="3">
        <v>0</v>
      </c>
      <c r="DY256" s="3">
        <v>0</v>
      </c>
      <c r="DZ256" s="3">
        <v>0</v>
      </c>
      <c r="EA256" s="3">
        <v>0</v>
      </c>
      <c r="EB256" s="4">
        <f t="shared" si="129"/>
        <v>0</v>
      </c>
      <c r="EC256" s="3">
        <v>0</v>
      </c>
      <c r="ED256" s="3">
        <v>0</v>
      </c>
      <c r="EE256" s="3">
        <v>0</v>
      </c>
      <c r="EF256" s="3">
        <v>0</v>
      </c>
      <c r="EG256" s="3">
        <v>0</v>
      </c>
      <c r="EH256" s="3">
        <v>0</v>
      </c>
      <c r="EI256" s="3">
        <v>0</v>
      </c>
      <c r="EJ256" s="3">
        <v>0</v>
      </c>
      <c r="EK256" s="3">
        <v>0</v>
      </c>
      <c r="EL256" s="3">
        <v>0</v>
      </c>
      <c r="EM256" s="3">
        <v>0</v>
      </c>
      <c r="EN256" s="3">
        <v>0</v>
      </c>
      <c r="EO256" s="4">
        <f t="shared" si="130"/>
        <v>0</v>
      </c>
      <c r="EP256" s="8">
        <f t="shared" si="131"/>
        <v>2</v>
      </c>
      <c r="EQ256" s="181">
        <f>IFERROR(VLOOKUP(I256,CEI_012018!$A$1:$U$509,9,FALSE),0)</f>
        <v>0</v>
      </c>
      <c r="ER256" s="181">
        <f>IFERROR(VLOOKUP(I256,CEI_022018!$A$1:$U$509,9,FALSE),0)</f>
        <v>0</v>
      </c>
      <c r="ES256" s="181">
        <f>IFERROR(VLOOKUP(I256,CEI_032018!$A$1:$U$509,9,FALSE),0)</f>
        <v>0</v>
      </c>
      <c r="ET256" s="181">
        <f>IFERROR(VLOOKUP(I256,CEI_042018!$A$1:$U$491,9,FALSE),0)</f>
        <v>0</v>
      </c>
      <c r="EU256" s="181">
        <f>IFERROR(VLOOKUP(I256,CEI_052018!$A$1:$U$489,9,FALSE),0)</f>
        <v>0</v>
      </c>
      <c r="EV256" s="181">
        <f>IFERROR(VLOOKUP(I256,CEI_062018!$A$1:$U$489,9,FALSE),0)</f>
        <v>0</v>
      </c>
      <c r="EW256" s="181">
        <f>IFERROR(VLOOKUP(I256,CEI_072018!$A$1:$U$489,9,FALSE),0)</f>
        <v>0</v>
      </c>
      <c r="EX256" s="181">
        <f>IFERROR(VLOOKUP(I256,CEI_082018!$A$1:$U$489,9,FALSE),0)</f>
        <v>0</v>
      </c>
      <c r="EY256" s="181">
        <f>IFERROR(VLOOKUP(I256,CEI_092018!$A$1:$U$489,9,FALSE),0)</f>
        <v>0</v>
      </c>
      <c r="EZ256" s="181"/>
      <c r="FA256" s="181"/>
      <c r="FB256" s="181"/>
      <c r="FC256" s="181">
        <f>IFERROR(VLOOKUP(I256,CEI_092018!$A$1:$U$489,12,FALSE),0)</f>
        <v>0</v>
      </c>
      <c r="FD256" s="181">
        <f t="shared" si="133"/>
        <v>0</v>
      </c>
      <c r="FE256" s="181">
        <f t="shared" si="134"/>
        <v>0</v>
      </c>
      <c r="FF256"/>
      <c r="FG256"/>
      <c r="FH256"/>
      <c r="FI256"/>
      <c r="FJ256"/>
      <c r="FK256"/>
      <c r="FL256"/>
      <c r="FM256"/>
      <c r="FN256"/>
      <c r="FO256"/>
      <c r="FP256"/>
      <c r="FQ256"/>
      <c r="FR256"/>
      <c r="FS256"/>
      <c r="FT256"/>
      <c r="FU256"/>
      <c r="FV256"/>
      <c r="FW256"/>
      <c r="FX256"/>
      <c r="FY256"/>
      <c r="FZ256"/>
      <c r="GA256"/>
      <c r="GB256"/>
      <c r="GC256"/>
    </row>
    <row r="257" spans="1:185" ht="12.75" customHeight="1" x14ac:dyDescent="0.25">
      <c r="A257" s="202"/>
      <c r="B257" s="22" t="s">
        <v>57</v>
      </c>
      <c r="C257" s="34" t="s">
        <v>44</v>
      </c>
      <c r="D257" s="22" t="s">
        <v>318</v>
      </c>
      <c r="E257" s="25" t="s">
        <v>1066</v>
      </c>
      <c r="F257" s="25" t="s">
        <v>318</v>
      </c>
      <c r="G257" s="25" t="s">
        <v>1066</v>
      </c>
      <c r="H257" s="22" t="s">
        <v>62</v>
      </c>
      <c r="I257" s="483" t="s">
        <v>1645</v>
      </c>
      <c r="J257" s="255" t="s">
        <v>1646</v>
      </c>
      <c r="K257" s="23" t="s">
        <v>1605</v>
      </c>
      <c r="L257" s="23" t="s">
        <v>1682</v>
      </c>
      <c r="M257" s="23" t="s">
        <v>1683</v>
      </c>
      <c r="N257" s="23" t="s">
        <v>1886</v>
      </c>
      <c r="O257" s="2">
        <v>0</v>
      </c>
      <c r="P257" s="2">
        <v>0</v>
      </c>
      <c r="Q257" s="2">
        <v>60</v>
      </c>
      <c r="R257" s="2">
        <v>440</v>
      </c>
      <c r="S257" s="2">
        <v>0</v>
      </c>
      <c r="T257" s="116">
        <f t="shared" si="116"/>
        <v>500</v>
      </c>
      <c r="U257" s="324">
        <v>0</v>
      </c>
      <c r="V257" s="324">
        <v>0</v>
      </c>
      <c r="W257" s="324">
        <v>0</v>
      </c>
      <c r="X257" s="324">
        <v>0</v>
      </c>
      <c r="Y257" s="324">
        <v>0</v>
      </c>
      <c r="Z257" s="324">
        <v>0</v>
      </c>
      <c r="AA257" s="324">
        <v>0</v>
      </c>
      <c r="AB257" s="324">
        <v>0</v>
      </c>
      <c r="AC257" s="324">
        <v>0</v>
      </c>
      <c r="AD257" s="324">
        <v>0</v>
      </c>
      <c r="AE257" s="324">
        <v>0</v>
      </c>
      <c r="AF257" s="324">
        <v>0</v>
      </c>
      <c r="AG257" s="140">
        <f t="shared" si="117"/>
        <v>0</v>
      </c>
      <c r="AH257" s="324">
        <v>0</v>
      </c>
      <c r="AI257" s="324">
        <v>0</v>
      </c>
      <c r="AJ257" s="324">
        <v>0</v>
      </c>
      <c r="AK257" s="324">
        <v>0</v>
      </c>
      <c r="AL257" s="324">
        <v>0</v>
      </c>
      <c r="AM257" s="324">
        <v>0</v>
      </c>
      <c r="AN257" s="324">
        <v>0</v>
      </c>
      <c r="AO257" s="324">
        <v>0</v>
      </c>
      <c r="AP257" s="324">
        <v>0</v>
      </c>
      <c r="AQ257" s="324">
        <v>0</v>
      </c>
      <c r="AR257" s="324">
        <v>0</v>
      </c>
      <c r="AS257" s="324">
        <v>0</v>
      </c>
      <c r="AT257" s="140">
        <f t="shared" si="118"/>
        <v>0</v>
      </c>
      <c r="AU257" s="324">
        <v>0</v>
      </c>
      <c r="AV257" s="324">
        <v>0</v>
      </c>
      <c r="AW257" s="324">
        <v>0</v>
      </c>
      <c r="AX257" s="324">
        <v>0</v>
      </c>
      <c r="AY257" s="324">
        <v>0</v>
      </c>
      <c r="AZ257" s="324">
        <v>0</v>
      </c>
      <c r="BA257" s="324">
        <v>0</v>
      </c>
      <c r="BB257" s="324">
        <v>0</v>
      </c>
      <c r="BC257" s="324">
        <v>0</v>
      </c>
      <c r="BD257" s="324">
        <v>0</v>
      </c>
      <c r="BE257" s="324">
        <v>0</v>
      </c>
      <c r="BF257" s="324">
        <v>0</v>
      </c>
      <c r="BG257" s="140">
        <f t="shared" si="119"/>
        <v>0</v>
      </c>
      <c r="BH257" s="324">
        <v>0</v>
      </c>
      <c r="BI257" s="324">
        <v>0</v>
      </c>
      <c r="BJ257" s="324">
        <v>0</v>
      </c>
      <c r="BK257" s="324">
        <v>0</v>
      </c>
      <c r="BL257" s="324">
        <v>0</v>
      </c>
      <c r="BM257" s="324">
        <v>0</v>
      </c>
      <c r="BN257" s="324">
        <v>0</v>
      </c>
      <c r="BO257" s="324">
        <v>0</v>
      </c>
      <c r="BP257" s="324">
        <v>0</v>
      </c>
      <c r="BQ257" s="324">
        <v>0</v>
      </c>
      <c r="BR257" s="324">
        <v>0</v>
      </c>
      <c r="BS257" s="324">
        <v>0</v>
      </c>
      <c r="BT257" s="140">
        <f t="shared" si="120"/>
        <v>0</v>
      </c>
      <c r="BU257" s="114">
        <f t="shared" si="121"/>
        <v>500</v>
      </c>
      <c r="BV257" s="372">
        <v>1</v>
      </c>
      <c r="BW257" s="372">
        <v>1</v>
      </c>
      <c r="BX257" s="372">
        <v>1</v>
      </c>
      <c r="BY257" s="372">
        <v>-1</v>
      </c>
      <c r="BZ257" s="436">
        <f>IFERROR((EX257/T257%),0)</f>
        <v>0</v>
      </c>
      <c r="CA257" s="428">
        <f>IFERROR((FD257/T257%),0)</f>
        <v>87.999996948242185</v>
      </c>
      <c r="CB257" s="7" t="s">
        <v>1681</v>
      </c>
      <c r="CC257" s="3">
        <v>0</v>
      </c>
      <c r="CD257" s="3">
        <v>0</v>
      </c>
      <c r="CE257" s="3">
        <v>0</v>
      </c>
      <c r="CF257" s="3">
        <v>0</v>
      </c>
      <c r="CG257" s="3">
        <v>0</v>
      </c>
      <c r="CH257" s="3">
        <v>0</v>
      </c>
      <c r="CI257" s="3">
        <v>0</v>
      </c>
      <c r="CJ257" s="3">
        <v>0</v>
      </c>
      <c r="CK257" s="3">
        <v>0</v>
      </c>
      <c r="CL257" s="3">
        <v>0</v>
      </c>
      <c r="CM257" s="3">
        <v>1</v>
      </c>
      <c r="CN257" s="3">
        <v>0</v>
      </c>
      <c r="CO257" s="4">
        <f t="shared" ref="CO257:CO259" si="136">SUM(CC257:CN257)</f>
        <v>1</v>
      </c>
      <c r="CP257" s="3">
        <v>0</v>
      </c>
      <c r="CQ257" s="3">
        <v>0</v>
      </c>
      <c r="CR257" s="3">
        <v>0</v>
      </c>
      <c r="CS257" s="3">
        <v>0</v>
      </c>
      <c r="CT257" s="3">
        <v>0</v>
      </c>
      <c r="CU257" s="3">
        <v>0</v>
      </c>
      <c r="CV257" s="3">
        <v>0</v>
      </c>
      <c r="CW257" s="3">
        <v>0</v>
      </c>
      <c r="CX257" s="3">
        <v>0</v>
      </c>
      <c r="CY257" s="3">
        <v>0</v>
      </c>
      <c r="CZ257" s="3">
        <v>0</v>
      </c>
      <c r="DA257" s="3">
        <v>0</v>
      </c>
      <c r="DB257" s="4">
        <f t="shared" ref="DB257:DB259" si="137">SUM(CP257:DA257)</f>
        <v>0</v>
      </c>
      <c r="DC257" s="3">
        <v>0</v>
      </c>
      <c r="DD257" s="3">
        <v>0</v>
      </c>
      <c r="DE257" s="3">
        <v>0</v>
      </c>
      <c r="DF257" s="3">
        <v>0</v>
      </c>
      <c r="DG257" s="3">
        <v>0</v>
      </c>
      <c r="DH257" s="3">
        <v>0</v>
      </c>
      <c r="DI257" s="3">
        <v>0</v>
      </c>
      <c r="DJ257" s="3">
        <v>0</v>
      </c>
      <c r="DK257" s="3">
        <v>0</v>
      </c>
      <c r="DL257" s="3">
        <v>0</v>
      </c>
      <c r="DM257" s="3">
        <v>0</v>
      </c>
      <c r="DN257" s="3">
        <v>0</v>
      </c>
      <c r="DO257" s="4">
        <f t="shared" ref="DO257:DO259" si="138">SUM(DC257:DN257)</f>
        <v>0</v>
      </c>
      <c r="DP257" s="3">
        <v>0</v>
      </c>
      <c r="DQ257" s="3">
        <v>0</v>
      </c>
      <c r="DR257" s="3">
        <v>0</v>
      </c>
      <c r="DS257" s="3">
        <v>0</v>
      </c>
      <c r="DT257" s="3">
        <v>0</v>
      </c>
      <c r="DU257" s="3">
        <v>0</v>
      </c>
      <c r="DV257" s="3">
        <v>0</v>
      </c>
      <c r="DW257" s="3">
        <v>0</v>
      </c>
      <c r="DX257" s="3">
        <v>0</v>
      </c>
      <c r="DY257" s="3">
        <v>0</v>
      </c>
      <c r="DZ257" s="3">
        <v>0</v>
      </c>
      <c r="EA257" s="3">
        <v>0</v>
      </c>
      <c r="EB257" s="4">
        <f t="shared" ref="EB257:EB259" si="139">SUM(DP257:EA257)</f>
        <v>0</v>
      </c>
      <c r="EC257" s="3">
        <v>0</v>
      </c>
      <c r="ED257" s="3">
        <v>0</v>
      </c>
      <c r="EE257" s="3">
        <v>0</v>
      </c>
      <c r="EF257" s="3">
        <v>0</v>
      </c>
      <c r="EG257" s="3">
        <v>0</v>
      </c>
      <c r="EH257" s="3">
        <v>0</v>
      </c>
      <c r="EI257" s="3">
        <v>0</v>
      </c>
      <c r="EJ257" s="3">
        <v>0</v>
      </c>
      <c r="EK257" s="3">
        <v>0</v>
      </c>
      <c r="EL257" s="3">
        <v>0</v>
      </c>
      <c r="EM257" s="3">
        <v>0</v>
      </c>
      <c r="EN257" s="3">
        <v>0</v>
      </c>
      <c r="EO257" s="4">
        <f t="shared" ref="EO257:EO259" si="140">SUM(EC257:EN257)</f>
        <v>0</v>
      </c>
      <c r="EP257" s="8">
        <f t="shared" ref="EP257:EP259" si="141">SUM(EO257,EB257,DO257,DB257,CO257)</f>
        <v>1</v>
      </c>
      <c r="EQ257" s="181">
        <f>IFERROR(VLOOKUP(I257,CEI_012018!$A$1:$U$509,9,FALSE),0)</f>
        <v>0</v>
      </c>
      <c r="ER257" s="181">
        <f>IFERROR(VLOOKUP(I257,CEI_022018!$A$1:$U$509,9,FALSE),0)</f>
        <v>0</v>
      </c>
      <c r="ES257" s="181">
        <f>IFERROR(VLOOKUP(I257,CEI_032018!$A$1:$U$509,9,FALSE),0)</f>
        <v>0</v>
      </c>
      <c r="ET257" s="181">
        <f>IFERROR(VLOOKUP(I257,CEI_042018!$A$1:$U$491,9,FALSE),0)</f>
        <v>0</v>
      </c>
      <c r="EU257" s="181">
        <f>IFERROR(VLOOKUP(I257,CEI_052018!$A$1:$U$489,9,FALSE),0)</f>
        <v>0</v>
      </c>
      <c r="EV257" s="181">
        <f>IFERROR(VLOOKUP(I257,CEI_062018!$A$1:$U$489,9,FALSE),0)</f>
        <v>0</v>
      </c>
      <c r="EW257" s="181">
        <f>IFERROR(VLOOKUP(I257,CEI_072018!$A$1:$U$489,9,FALSE),0)</f>
        <v>0</v>
      </c>
      <c r="EX257" s="181">
        <f>IFERROR(VLOOKUP(I257,CEI_082018!$A$1:$U$489,9,FALSE),0)</f>
        <v>0</v>
      </c>
      <c r="EY257" s="181">
        <f>IFERROR(VLOOKUP(I257,CEI_092018!$A$1:$U$489,9,FALSE),0)</f>
        <v>0</v>
      </c>
      <c r="EZ257" s="181"/>
      <c r="FA257" s="181"/>
      <c r="FB257" s="181"/>
      <c r="FC257" s="181">
        <f>IFERROR(VLOOKUP(I257,CEI_092018!$A$1:$U$489,12,FALSE),0)</f>
        <v>439.99998474121094</v>
      </c>
      <c r="FD257" s="181">
        <f t="shared" si="133"/>
        <v>439.99998474121094</v>
      </c>
      <c r="FE257" s="181">
        <f t="shared" si="134"/>
        <v>60.000015258789063</v>
      </c>
      <c r="FF257"/>
      <c r="FG257"/>
      <c r="FH257"/>
      <c r="FI257"/>
      <c r="FJ257"/>
      <c r="FK257"/>
      <c r="FL257"/>
      <c r="FM257"/>
      <c r="FN257"/>
      <c r="FO257"/>
      <c r="FP257"/>
      <c r="FQ257"/>
      <c r="FR257"/>
      <c r="FS257"/>
      <c r="FT257"/>
      <c r="FU257"/>
      <c r="FV257"/>
      <c r="FW257"/>
      <c r="FX257"/>
      <c r="FY257"/>
      <c r="FZ257"/>
      <c r="GA257"/>
      <c r="GB257"/>
      <c r="GC257"/>
    </row>
    <row r="258" spans="1:185" ht="12.75" customHeight="1" x14ac:dyDescent="0.25">
      <c r="A258" s="202"/>
      <c r="B258" s="22" t="s">
        <v>57</v>
      </c>
      <c r="C258" s="34" t="s">
        <v>44</v>
      </c>
      <c r="D258" s="22" t="s">
        <v>1059</v>
      </c>
      <c r="E258" s="25" t="s">
        <v>1063</v>
      </c>
      <c r="F258" s="25" t="s">
        <v>1059</v>
      </c>
      <c r="G258" s="25" t="s">
        <v>1063</v>
      </c>
      <c r="H258" s="22" t="s">
        <v>56</v>
      </c>
      <c r="I258" s="423" t="s">
        <v>565</v>
      </c>
      <c r="J258" s="37" t="s">
        <v>59</v>
      </c>
      <c r="K258" s="23" t="s">
        <v>419</v>
      </c>
      <c r="L258" s="23" t="s">
        <v>420</v>
      </c>
      <c r="M258" s="23" t="s">
        <v>421</v>
      </c>
      <c r="N258" s="23" t="s">
        <v>1864</v>
      </c>
      <c r="O258" s="2">
        <v>0</v>
      </c>
      <c r="P258" s="2">
        <v>0</v>
      </c>
      <c r="Q258" s="2">
        <v>0</v>
      </c>
      <c r="R258" s="2">
        <v>0</v>
      </c>
      <c r="S258" s="2">
        <v>0</v>
      </c>
      <c r="T258" s="116">
        <f t="shared" si="116"/>
        <v>0</v>
      </c>
      <c r="U258" s="324">
        <v>0</v>
      </c>
      <c r="V258" s="324">
        <v>0</v>
      </c>
      <c r="W258" s="324">
        <v>0</v>
      </c>
      <c r="X258" s="324">
        <v>0</v>
      </c>
      <c r="Y258" s="324">
        <v>0</v>
      </c>
      <c r="Z258" s="324">
        <v>0</v>
      </c>
      <c r="AA258" s="324">
        <v>0</v>
      </c>
      <c r="AB258" s="324">
        <v>0</v>
      </c>
      <c r="AC258" s="324">
        <v>0</v>
      </c>
      <c r="AD258" s="324">
        <v>0</v>
      </c>
      <c r="AE258" s="324">
        <v>0</v>
      </c>
      <c r="AF258" s="324">
        <v>0</v>
      </c>
      <c r="AG258" s="140">
        <f t="shared" si="117"/>
        <v>0</v>
      </c>
      <c r="AH258" s="324">
        <v>0</v>
      </c>
      <c r="AI258" s="324">
        <v>0</v>
      </c>
      <c r="AJ258" s="324">
        <v>0</v>
      </c>
      <c r="AK258" s="324">
        <v>0</v>
      </c>
      <c r="AL258" s="324">
        <v>0</v>
      </c>
      <c r="AM258" s="324">
        <v>0</v>
      </c>
      <c r="AN258" s="324">
        <v>0</v>
      </c>
      <c r="AO258" s="324">
        <v>50</v>
      </c>
      <c r="AP258" s="324">
        <v>0</v>
      </c>
      <c r="AQ258" s="324">
        <v>0</v>
      </c>
      <c r="AR258" s="324">
        <v>50</v>
      </c>
      <c r="AS258" s="324">
        <v>150</v>
      </c>
      <c r="AT258" s="140">
        <f t="shared" si="118"/>
        <v>250</v>
      </c>
      <c r="AU258" s="324">
        <v>0</v>
      </c>
      <c r="AV258" s="324">
        <v>0</v>
      </c>
      <c r="AW258" s="324">
        <v>0</v>
      </c>
      <c r="AX258" s="324">
        <v>0</v>
      </c>
      <c r="AY258" s="324">
        <v>0</v>
      </c>
      <c r="AZ258" s="324">
        <v>0</v>
      </c>
      <c r="BA258" s="324">
        <v>0</v>
      </c>
      <c r="BB258" s="324">
        <v>50</v>
      </c>
      <c r="BC258" s="324">
        <v>0</v>
      </c>
      <c r="BD258" s="324">
        <v>0</v>
      </c>
      <c r="BE258" s="324">
        <v>50</v>
      </c>
      <c r="BF258" s="324">
        <v>150</v>
      </c>
      <c r="BG258" s="140">
        <f t="shared" si="119"/>
        <v>250</v>
      </c>
      <c r="BH258" s="324">
        <v>0</v>
      </c>
      <c r="BI258" s="324">
        <v>0</v>
      </c>
      <c r="BJ258" s="324">
        <v>0</v>
      </c>
      <c r="BK258" s="324">
        <v>0</v>
      </c>
      <c r="BL258" s="324">
        <v>0</v>
      </c>
      <c r="BM258" s="324">
        <v>0</v>
      </c>
      <c r="BN258" s="324">
        <v>0</v>
      </c>
      <c r="BO258" s="324">
        <v>0</v>
      </c>
      <c r="BP258" s="324">
        <v>0</v>
      </c>
      <c r="BQ258" s="324">
        <v>0</v>
      </c>
      <c r="BR258" s="324">
        <v>0</v>
      </c>
      <c r="BS258" s="324">
        <v>0</v>
      </c>
      <c r="BT258" s="140">
        <f t="shared" si="120"/>
        <v>0</v>
      </c>
      <c r="BU258" s="114">
        <f t="shared" si="121"/>
        <v>500</v>
      </c>
      <c r="BV258" s="432"/>
      <c r="BW258" s="432"/>
      <c r="BX258" s="432"/>
      <c r="BY258" s="432"/>
      <c r="BZ258" s="433"/>
      <c r="CA258" s="434"/>
      <c r="CB258" s="7" t="s">
        <v>1699</v>
      </c>
      <c r="CC258" s="3">
        <v>0</v>
      </c>
      <c r="CD258" s="3">
        <v>0</v>
      </c>
      <c r="CE258" s="3">
        <v>0</v>
      </c>
      <c r="CF258" s="3">
        <v>0</v>
      </c>
      <c r="CG258" s="3">
        <v>0</v>
      </c>
      <c r="CH258" s="3">
        <v>0</v>
      </c>
      <c r="CI258" s="3">
        <v>0</v>
      </c>
      <c r="CJ258" s="3">
        <v>0</v>
      </c>
      <c r="CK258" s="3">
        <v>0</v>
      </c>
      <c r="CL258" s="3">
        <v>0</v>
      </c>
      <c r="CM258" s="3">
        <v>0</v>
      </c>
      <c r="CN258" s="3">
        <v>0</v>
      </c>
      <c r="CO258" s="4">
        <f t="shared" si="136"/>
        <v>0</v>
      </c>
      <c r="CP258" s="3">
        <v>0</v>
      </c>
      <c r="CQ258" s="3">
        <v>0</v>
      </c>
      <c r="CR258" s="3">
        <v>0</v>
      </c>
      <c r="CS258" s="3">
        <v>0</v>
      </c>
      <c r="CT258" s="3">
        <v>0</v>
      </c>
      <c r="CU258" s="3">
        <v>0</v>
      </c>
      <c r="CV258" s="3">
        <v>0</v>
      </c>
      <c r="CW258" s="3">
        <v>0</v>
      </c>
      <c r="CX258" s="3">
        <v>0</v>
      </c>
      <c r="CY258" s="3">
        <v>0</v>
      </c>
      <c r="CZ258" s="3">
        <v>0</v>
      </c>
      <c r="DA258" s="3">
        <v>0</v>
      </c>
      <c r="DB258" s="4">
        <f t="shared" si="137"/>
        <v>0</v>
      </c>
      <c r="DC258" s="3">
        <v>0</v>
      </c>
      <c r="DD258" s="3">
        <v>0</v>
      </c>
      <c r="DE258" s="3">
        <v>0</v>
      </c>
      <c r="DF258" s="3">
        <v>0</v>
      </c>
      <c r="DG258" s="3">
        <v>0</v>
      </c>
      <c r="DH258" s="3">
        <v>0</v>
      </c>
      <c r="DI258" s="3">
        <v>0</v>
      </c>
      <c r="DJ258" s="3">
        <v>0</v>
      </c>
      <c r="DK258" s="3">
        <v>0</v>
      </c>
      <c r="DL258" s="3">
        <v>0</v>
      </c>
      <c r="DM258" s="3">
        <v>0</v>
      </c>
      <c r="DN258" s="3">
        <v>1</v>
      </c>
      <c r="DO258" s="4">
        <f t="shared" si="138"/>
        <v>1</v>
      </c>
      <c r="DP258" s="3">
        <v>0</v>
      </c>
      <c r="DQ258" s="3">
        <v>0</v>
      </c>
      <c r="DR258" s="3">
        <v>0</v>
      </c>
      <c r="DS258" s="3">
        <v>0</v>
      </c>
      <c r="DT258" s="3">
        <v>0</v>
      </c>
      <c r="DU258" s="3">
        <v>0</v>
      </c>
      <c r="DV258" s="3">
        <v>0</v>
      </c>
      <c r="DW258" s="3">
        <v>0</v>
      </c>
      <c r="DX258" s="3">
        <v>0</v>
      </c>
      <c r="DY258" s="3">
        <v>0</v>
      </c>
      <c r="DZ258" s="3">
        <v>0</v>
      </c>
      <c r="EA258" s="3">
        <v>1</v>
      </c>
      <c r="EB258" s="4">
        <f t="shared" si="139"/>
        <v>1</v>
      </c>
      <c r="EC258" s="3">
        <v>0</v>
      </c>
      <c r="ED258" s="3">
        <v>0</v>
      </c>
      <c r="EE258" s="3">
        <v>0</v>
      </c>
      <c r="EF258" s="3">
        <v>0</v>
      </c>
      <c r="EG258" s="3">
        <v>0</v>
      </c>
      <c r="EH258" s="3">
        <v>0</v>
      </c>
      <c r="EI258" s="3">
        <v>0</v>
      </c>
      <c r="EJ258" s="3">
        <v>0</v>
      </c>
      <c r="EK258" s="3">
        <v>0</v>
      </c>
      <c r="EL258" s="3">
        <v>0</v>
      </c>
      <c r="EM258" s="3">
        <v>0</v>
      </c>
      <c r="EN258" s="3">
        <v>0</v>
      </c>
      <c r="EO258" s="4">
        <f t="shared" si="140"/>
        <v>0</v>
      </c>
      <c r="EP258" s="8">
        <f t="shared" si="141"/>
        <v>2</v>
      </c>
      <c r="EQ258" s="181">
        <f>IFERROR(VLOOKUP(I258,CEI_012018!$A$1:$U$509,9,FALSE),0)</f>
        <v>0</v>
      </c>
      <c r="ER258" s="181">
        <f>IFERROR(VLOOKUP(I258,CEI_022018!$A$1:$U$509,9,FALSE),0)</f>
        <v>0</v>
      </c>
      <c r="ES258" s="181">
        <f>IFERROR(VLOOKUP(I258,CEI_032018!$A$1:$U$509,9,FALSE),0)</f>
        <v>0</v>
      </c>
      <c r="ET258" s="181">
        <f>IFERROR(VLOOKUP(I258,CEI_042018!$A$1:$U$491,9,FALSE),0)</f>
        <v>0</v>
      </c>
      <c r="EU258" s="181">
        <f>IFERROR(VLOOKUP(I258,CEI_052018!$A$1:$U$489,9,FALSE),0)</f>
        <v>0</v>
      </c>
      <c r="EV258" s="181">
        <f>IFERROR(VLOOKUP(I258,CEI_062018!$A$1:$U$489,9,FALSE),0)</f>
        <v>0</v>
      </c>
      <c r="EW258" s="181">
        <f>IFERROR(VLOOKUP(I258,CEI_072018!$A$1:$U$489,9,FALSE),0)</f>
        <v>0</v>
      </c>
      <c r="EX258" s="181">
        <f>IFERROR(VLOOKUP(I258,CEI_082018!$A$1:$U$489,9,FALSE),0)</f>
        <v>0</v>
      </c>
      <c r="EY258" s="181">
        <f>IFERROR(VLOOKUP(I258,CEI_092018!$A$1:$U$489,9,FALSE),0)</f>
        <v>0</v>
      </c>
      <c r="EZ258" s="181"/>
      <c r="FA258" s="181"/>
      <c r="FB258" s="181"/>
      <c r="FC258" s="181">
        <f>IFERROR(VLOOKUP(I258,CEI_092018!$A$1:$U$489,12,FALSE),0)</f>
        <v>0</v>
      </c>
      <c r="FD258" s="181">
        <f t="shared" si="133"/>
        <v>0</v>
      </c>
      <c r="FE258" s="181">
        <f t="shared" si="134"/>
        <v>0</v>
      </c>
      <c r="FF258"/>
      <c r="FG258"/>
      <c r="FH258"/>
      <c r="FI258"/>
      <c r="FJ258"/>
      <c r="FK258"/>
      <c r="FL258"/>
      <c r="FM258"/>
      <c r="FN258"/>
      <c r="FO258"/>
      <c r="FP258"/>
      <c r="FQ258"/>
      <c r="FR258"/>
      <c r="FS258"/>
      <c r="FT258"/>
      <c r="FU258"/>
      <c r="FV258"/>
      <c r="FW258"/>
      <c r="FX258"/>
      <c r="FY258"/>
      <c r="FZ258"/>
      <c r="GA258"/>
      <c r="GB258"/>
      <c r="GC258"/>
    </row>
    <row r="259" spans="1:185" ht="12.75" customHeight="1" x14ac:dyDescent="0.25">
      <c r="A259" s="202"/>
      <c r="B259" s="22" t="s">
        <v>57</v>
      </c>
      <c r="C259" s="34" t="s">
        <v>44</v>
      </c>
      <c r="D259" s="22" t="s">
        <v>1059</v>
      </c>
      <c r="E259" s="25" t="s">
        <v>1063</v>
      </c>
      <c r="F259" s="25" t="s">
        <v>1661</v>
      </c>
      <c r="G259" s="25" t="s">
        <v>1853</v>
      </c>
      <c r="H259" s="22" t="s">
        <v>62</v>
      </c>
      <c r="I259" s="423" t="s">
        <v>565</v>
      </c>
      <c r="J259" s="37" t="s">
        <v>59</v>
      </c>
      <c r="K259" s="23" t="s">
        <v>545</v>
      </c>
      <c r="L259" s="23" t="s">
        <v>546</v>
      </c>
      <c r="M259" s="23" t="s">
        <v>547</v>
      </c>
      <c r="N259" s="23" t="s">
        <v>1864</v>
      </c>
      <c r="O259" s="2">
        <v>0</v>
      </c>
      <c r="P259" s="2">
        <v>0</v>
      </c>
      <c r="Q259" s="2">
        <v>0</v>
      </c>
      <c r="R259" s="2">
        <v>0</v>
      </c>
      <c r="S259" s="2">
        <v>0</v>
      </c>
      <c r="T259" s="116">
        <f t="shared" si="116"/>
        <v>0</v>
      </c>
      <c r="U259" s="324">
        <v>0</v>
      </c>
      <c r="V259" s="324">
        <v>0</v>
      </c>
      <c r="W259" s="324">
        <v>0</v>
      </c>
      <c r="X259" s="324">
        <v>0</v>
      </c>
      <c r="Y259" s="324">
        <v>0</v>
      </c>
      <c r="Z259" s="324">
        <v>300</v>
      </c>
      <c r="AA259" s="324">
        <v>0</v>
      </c>
      <c r="AB259" s="324">
        <v>0</v>
      </c>
      <c r="AC259" s="324">
        <v>0</v>
      </c>
      <c r="AD259" s="324">
        <v>0</v>
      </c>
      <c r="AE259" s="324">
        <v>0</v>
      </c>
      <c r="AF259" s="324">
        <v>200</v>
      </c>
      <c r="AG259" s="140">
        <f t="shared" si="117"/>
        <v>500</v>
      </c>
      <c r="AH259" s="324">
        <v>0</v>
      </c>
      <c r="AI259" s="324">
        <v>0</v>
      </c>
      <c r="AJ259" s="324">
        <v>0</v>
      </c>
      <c r="AK259" s="324">
        <v>0</v>
      </c>
      <c r="AL259" s="324">
        <v>0</v>
      </c>
      <c r="AM259" s="324">
        <v>0</v>
      </c>
      <c r="AN259" s="324">
        <v>0</v>
      </c>
      <c r="AO259" s="324">
        <v>0</v>
      </c>
      <c r="AP259" s="324">
        <v>0</v>
      </c>
      <c r="AQ259" s="324">
        <v>0</v>
      </c>
      <c r="AR259" s="324">
        <v>0</v>
      </c>
      <c r="AS259" s="324">
        <v>0</v>
      </c>
      <c r="AT259" s="140">
        <f t="shared" si="118"/>
        <v>0</v>
      </c>
      <c r="AU259" s="324">
        <v>0</v>
      </c>
      <c r="AV259" s="324">
        <v>0</v>
      </c>
      <c r="AW259" s="324">
        <v>0</v>
      </c>
      <c r="AX259" s="324">
        <v>0</v>
      </c>
      <c r="AY259" s="324">
        <v>0</v>
      </c>
      <c r="AZ259" s="324">
        <v>0</v>
      </c>
      <c r="BA259" s="324">
        <v>0</v>
      </c>
      <c r="BB259" s="324">
        <v>0</v>
      </c>
      <c r="BC259" s="324">
        <v>0</v>
      </c>
      <c r="BD259" s="324">
        <v>0</v>
      </c>
      <c r="BE259" s="324">
        <v>0</v>
      </c>
      <c r="BF259" s="324">
        <v>0</v>
      </c>
      <c r="BG259" s="140">
        <f t="shared" si="119"/>
        <v>0</v>
      </c>
      <c r="BH259" s="324">
        <v>0</v>
      </c>
      <c r="BI259" s="324">
        <v>0</v>
      </c>
      <c r="BJ259" s="324">
        <v>0</v>
      </c>
      <c r="BK259" s="324">
        <v>0</v>
      </c>
      <c r="BL259" s="324">
        <v>0</v>
      </c>
      <c r="BM259" s="324">
        <v>0</v>
      </c>
      <c r="BN259" s="324">
        <v>0</v>
      </c>
      <c r="BO259" s="324">
        <v>0</v>
      </c>
      <c r="BP259" s="324">
        <v>0</v>
      </c>
      <c r="BQ259" s="324">
        <v>0</v>
      </c>
      <c r="BR259" s="324">
        <v>0</v>
      </c>
      <c r="BS259" s="324">
        <v>0</v>
      </c>
      <c r="BT259" s="140">
        <f t="shared" si="120"/>
        <v>0</v>
      </c>
      <c r="BU259" s="114">
        <f t="shared" si="121"/>
        <v>500</v>
      </c>
      <c r="BV259" s="432"/>
      <c r="BW259" s="432"/>
      <c r="BX259" s="432"/>
      <c r="BY259" s="432"/>
      <c r="BZ259" s="433"/>
      <c r="CA259" s="434"/>
      <c r="CB259" s="7" t="s">
        <v>1699</v>
      </c>
      <c r="CC259" s="3">
        <v>0</v>
      </c>
      <c r="CD259" s="3">
        <v>0</v>
      </c>
      <c r="CE259" s="3">
        <v>0</v>
      </c>
      <c r="CF259" s="3">
        <v>0</v>
      </c>
      <c r="CG259" s="3">
        <v>0</v>
      </c>
      <c r="CH259" s="3">
        <v>0</v>
      </c>
      <c r="CI259" s="3">
        <v>0</v>
      </c>
      <c r="CJ259" s="3">
        <v>0</v>
      </c>
      <c r="CK259" s="3">
        <v>0</v>
      </c>
      <c r="CL259" s="3">
        <v>0</v>
      </c>
      <c r="CM259" s="3">
        <v>0</v>
      </c>
      <c r="CN259" s="3">
        <v>0</v>
      </c>
      <c r="CO259" s="4">
        <f t="shared" si="136"/>
        <v>0</v>
      </c>
      <c r="CP259" s="3">
        <v>0</v>
      </c>
      <c r="CQ259" s="3">
        <v>0</v>
      </c>
      <c r="CR259" s="3">
        <v>0</v>
      </c>
      <c r="CS259" s="3">
        <v>0</v>
      </c>
      <c r="CT259" s="3">
        <v>0</v>
      </c>
      <c r="CU259" s="3">
        <v>0</v>
      </c>
      <c r="CV259" s="3">
        <v>0</v>
      </c>
      <c r="CW259" s="3">
        <v>0</v>
      </c>
      <c r="CX259" s="3">
        <v>0</v>
      </c>
      <c r="CY259" s="3">
        <v>0</v>
      </c>
      <c r="CZ259" s="3">
        <v>0</v>
      </c>
      <c r="DA259" s="3">
        <v>1</v>
      </c>
      <c r="DB259" s="4">
        <f t="shared" si="137"/>
        <v>1</v>
      </c>
      <c r="DC259" s="3">
        <v>0</v>
      </c>
      <c r="DD259" s="3">
        <v>0</v>
      </c>
      <c r="DE259" s="3">
        <v>0</v>
      </c>
      <c r="DF259" s="3">
        <v>0</v>
      </c>
      <c r="DG259" s="3">
        <v>0</v>
      </c>
      <c r="DH259" s="3">
        <v>0</v>
      </c>
      <c r="DI259" s="3">
        <v>0</v>
      </c>
      <c r="DJ259" s="3">
        <v>0</v>
      </c>
      <c r="DK259" s="3">
        <v>0</v>
      </c>
      <c r="DL259" s="3">
        <v>0</v>
      </c>
      <c r="DM259" s="3">
        <v>0</v>
      </c>
      <c r="DN259" s="3">
        <v>0</v>
      </c>
      <c r="DO259" s="4">
        <f t="shared" si="138"/>
        <v>0</v>
      </c>
      <c r="DP259" s="3">
        <v>0</v>
      </c>
      <c r="DQ259" s="3">
        <v>0</v>
      </c>
      <c r="DR259" s="3">
        <v>0</v>
      </c>
      <c r="DS259" s="3">
        <v>0</v>
      </c>
      <c r="DT259" s="3">
        <v>0</v>
      </c>
      <c r="DU259" s="3">
        <v>0</v>
      </c>
      <c r="DV259" s="3">
        <v>0</v>
      </c>
      <c r="DW259" s="3">
        <v>0</v>
      </c>
      <c r="DX259" s="3">
        <v>0</v>
      </c>
      <c r="DY259" s="3">
        <v>0</v>
      </c>
      <c r="DZ259" s="3">
        <v>0</v>
      </c>
      <c r="EA259" s="3">
        <v>0</v>
      </c>
      <c r="EB259" s="4">
        <f t="shared" si="139"/>
        <v>0</v>
      </c>
      <c r="EC259" s="3">
        <v>0</v>
      </c>
      <c r="ED259" s="3">
        <v>0</v>
      </c>
      <c r="EE259" s="3">
        <v>0</v>
      </c>
      <c r="EF259" s="3">
        <v>0</v>
      </c>
      <c r="EG259" s="3">
        <v>0</v>
      </c>
      <c r="EH259" s="3">
        <v>0</v>
      </c>
      <c r="EI259" s="3">
        <v>0</v>
      </c>
      <c r="EJ259" s="3">
        <v>0</v>
      </c>
      <c r="EK259" s="3">
        <v>0</v>
      </c>
      <c r="EL259" s="3">
        <v>0</v>
      </c>
      <c r="EM259" s="3">
        <v>0</v>
      </c>
      <c r="EN259" s="3">
        <v>0</v>
      </c>
      <c r="EO259" s="4">
        <f t="shared" si="140"/>
        <v>0</v>
      </c>
      <c r="EP259" s="8">
        <f t="shared" si="141"/>
        <v>1</v>
      </c>
      <c r="EQ259" s="181">
        <f>IFERROR(VLOOKUP(I259,CEI_012018!$A$1:$U$509,9,FALSE),0)</f>
        <v>0</v>
      </c>
      <c r="ER259" s="181">
        <f>IFERROR(VLOOKUP(I259,CEI_022018!$A$1:$U$509,9,FALSE),0)</f>
        <v>0</v>
      </c>
      <c r="ES259" s="181">
        <f>IFERROR(VLOOKUP(I259,CEI_032018!$A$1:$U$509,9,FALSE),0)</f>
        <v>0</v>
      </c>
      <c r="ET259" s="181">
        <f>IFERROR(VLOOKUP(I259,CEI_042018!$A$1:$U$491,9,FALSE),0)</f>
        <v>0</v>
      </c>
      <c r="EU259" s="181">
        <f>IFERROR(VLOOKUP(I259,CEI_052018!$A$1:$U$489,9,FALSE),0)</f>
        <v>0</v>
      </c>
      <c r="EV259" s="181">
        <f>IFERROR(VLOOKUP(I259,CEI_062018!$A$1:$U$489,9,FALSE),0)</f>
        <v>0</v>
      </c>
      <c r="EW259" s="181">
        <f>IFERROR(VLOOKUP(I259,CEI_072018!$A$1:$U$489,9,FALSE),0)</f>
        <v>0</v>
      </c>
      <c r="EX259" s="181">
        <f>IFERROR(VLOOKUP(I259,CEI_082018!$A$1:$U$489,9,FALSE),0)</f>
        <v>0</v>
      </c>
      <c r="EY259" s="181">
        <f>IFERROR(VLOOKUP(I259,CEI_092018!$A$1:$U$489,9,FALSE),0)</f>
        <v>0</v>
      </c>
      <c r="EZ259" s="181"/>
      <c r="FA259" s="181"/>
      <c r="FB259" s="181"/>
      <c r="FC259" s="181">
        <f>IFERROR(VLOOKUP(I259,CEI_092018!$A$1:$U$489,12,FALSE),0)</f>
        <v>0</v>
      </c>
      <c r="FD259" s="181">
        <f t="shared" si="133"/>
        <v>0</v>
      </c>
      <c r="FE259" s="181">
        <f t="shared" si="134"/>
        <v>0</v>
      </c>
      <c r="FF259"/>
      <c r="FG259"/>
      <c r="FH259"/>
      <c r="FI259"/>
      <c r="FJ259"/>
      <c r="FK259"/>
      <c r="FL259"/>
      <c r="FM259"/>
      <c r="FN259"/>
      <c r="FO259"/>
      <c r="FP259"/>
      <c r="FQ259"/>
      <c r="FR259"/>
      <c r="FS259"/>
      <c r="FT259"/>
      <c r="FU259"/>
      <c r="FV259"/>
      <c r="FW259"/>
      <c r="FX259"/>
      <c r="FY259"/>
      <c r="FZ259"/>
      <c r="GA259"/>
      <c r="GB259"/>
      <c r="GC259"/>
    </row>
    <row r="260" spans="1:185" ht="12.75" customHeight="1" x14ac:dyDescent="0.25">
      <c r="A260" s="202"/>
      <c r="B260" s="22" t="s">
        <v>57</v>
      </c>
      <c r="C260" s="34" t="s">
        <v>44</v>
      </c>
      <c r="D260" s="22" t="s">
        <v>1059</v>
      </c>
      <c r="E260" s="25" t="s">
        <v>1063</v>
      </c>
      <c r="F260" s="438" t="s">
        <v>1855</v>
      </c>
      <c r="G260" s="438" t="s">
        <v>1856</v>
      </c>
      <c r="H260" s="22" t="s">
        <v>56</v>
      </c>
      <c r="I260" s="423" t="s">
        <v>565</v>
      </c>
      <c r="J260" s="37"/>
      <c r="K260" s="23" t="s">
        <v>1984</v>
      </c>
      <c r="L260" s="23"/>
      <c r="M260" s="23"/>
      <c r="N260" s="23"/>
      <c r="O260" s="2">
        <v>0</v>
      </c>
      <c r="P260" s="2">
        <v>0</v>
      </c>
      <c r="Q260" s="2">
        <v>0</v>
      </c>
      <c r="R260" s="2">
        <v>0</v>
      </c>
      <c r="S260" s="2">
        <v>100</v>
      </c>
      <c r="T260" s="116">
        <f t="shared" si="116"/>
        <v>100</v>
      </c>
      <c r="U260" s="324">
        <v>0</v>
      </c>
      <c r="V260" s="324">
        <v>0</v>
      </c>
      <c r="W260" s="324">
        <v>50</v>
      </c>
      <c r="X260" s="324">
        <v>0</v>
      </c>
      <c r="Y260" s="324">
        <v>0</v>
      </c>
      <c r="Z260" s="324">
        <v>75</v>
      </c>
      <c r="AA260" s="324">
        <v>0</v>
      </c>
      <c r="AB260" s="324">
        <v>0</v>
      </c>
      <c r="AC260" s="324">
        <v>75</v>
      </c>
      <c r="AD260" s="324">
        <v>0</v>
      </c>
      <c r="AE260" s="324">
        <v>0</v>
      </c>
      <c r="AF260" s="324">
        <v>0</v>
      </c>
      <c r="AG260" s="140">
        <f t="shared" si="117"/>
        <v>200</v>
      </c>
      <c r="AH260" s="324">
        <v>0</v>
      </c>
      <c r="AI260" s="324">
        <v>50</v>
      </c>
      <c r="AJ260" s="324">
        <v>0</v>
      </c>
      <c r="AK260" s="324">
        <v>50</v>
      </c>
      <c r="AL260" s="324">
        <v>0</v>
      </c>
      <c r="AM260" s="324">
        <v>50</v>
      </c>
      <c r="AN260" s="324">
        <v>0</v>
      </c>
      <c r="AO260" s="324">
        <v>50</v>
      </c>
      <c r="AP260" s="324">
        <v>0</v>
      </c>
      <c r="AQ260" s="324">
        <v>0</v>
      </c>
      <c r="AR260" s="324">
        <v>0</v>
      </c>
      <c r="AS260" s="324">
        <v>0</v>
      </c>
      <c r="AT260" s="140">
        <f t="shared" si="118"/>
        <v>200</v>
      </c>
      <c r="AU260" s="324">
        <v>0</v>
      </c>
      <c r="AV260" s="324">
        <v>0</v>
      </c>
      <c r="AW260" s="324">
        <v>0</v>
      </c>
      <c r="AX260" s="324">
        <v>0</v>
      </c>
      <c r="AY260" s="324">
        <v>0</v>
      </c>
      <c r="AZ260" s="324">
        <v>0</v>
      </c>
      <c r="BA260" s="324">
        <v>0</v>
      </c>
      <c r="BB260" s="324">
        <v>0</v>
      </c>
      <c r="BC260" s="324">
        <v>0</v>
      </c>
      <c r="BD260" s="324">
        <v>0</v>
      </c>
      <c r="BE260" s="324">
        <v>0</v>
      </c>
      <c r="BF260" s="324">
        <v>0</v>
      </c>
      <c r="BG260" s="140">
        <f t="shared" si="119"/>
        <v>0</v>
      </c>
      <c r="BH260" s="324">
        <v>0</v>
      </c>
      <c r="BI260" s="324">
        <v>0</v>
      </c>
      <c r="BJ260" s="324">
        <v>0</v>
      </c>
      <c r="BK260" s="324">
        <v>0</v>
      </c>
      <c r="BL260" s="324">
        <v>0</v>
      </c>
      <c r="BM260" s="324">
        <v>0</v>
      </c>
      <c r="BN260" s="324">
        <v>0</v>
      </c>
      <c r="BO260" s="324">
        <v>0</v>
      </c>
      <c r="BP260" s="324">
        <v>0</v>
      </c>
      <c r="BQ260" s="324">
        <v>0</v>
      </c>
      <c r="BR260" s="324">
        <v>0</v>
      </c>
      <c r="BS260" s="324">
        <v>0</v>
      </c>
      <c r="BT260" s="140">
        <f t="shared" si="120"/>
        <v>0</v>
      </c>
      <c r="BU260" s="114">
        <f t="shared" si="121"/>
        <v>500</v>
      </c>
      <c r="BV260" s="372"/>
      <c r="BW260" s="372"/>
      <c r="BX260" s="372"/>
      <c r="BY260" s="372"/>
      <c r="BZ260" s="436">
        <f>IFERROR((EX260/T260%),0)</f>
        <v>0</v>
      </c>
      <c r="CA260" s="428"/>
      <c r="CB260" s="7"/>
      <c r="CC260" s="3"/>
      <c r="CD260" s="3"/>
      <c r="CE260" s="3"/>
      <c r="CF260" s="3"/>
      <c r="CG260" s="3"/>
      <c r="CH260" s="3"/>
      <c r="CI260" s="3"/>
      <c r="CJ260" s="3"/>
      <c r="CK260" s="3"/>
      <c r="CL260" s="3"/>
      <c r="CM260" s="3"/>
      <c r="CN260" s="3"/>
      <c r="CO260" s="4"/>
      <c r="CP260" s="3"/>
      <c r="CQ260" s="3"/>
      <c r="CR260" s="3"/>
      <c r="CS260" s="3"/>
      <c r="CT260" s="3"/>
      <c r="CU260" s="3"/>
      <c r="CV260" s="3"/>
      <c r="CW260" s="3"/>
      <c r="CX260" s="3"/>
      <c r="CY260" s="3"/>
      <c r="CZ260" s="3"/>
      <c r="DA260" s="3"/>
      <c r="DB260" s="4"/>
      <c r="DC260" s="3"/>
      <c r="DD260" s="3"/>
      <c r="DE260" s="3"/>
      <c r="DF260" s="3"/>
      <c r="DG260" s="3"/>
      <c r="DH260" s="3"/>
      <c r="DI260" s="3"/>
      <c r="DJ260" s="3"/>
      <c r="DK260" s="3"/>
      <c r="DL260" s="3"/>
      <c r="DM260" s="3"/>
      <c r="DN260" s="3"/>
      <c r="DO260" s="4"/>
      <c r="DP260" s="3"/>
      <c r="DQ260" s="3"/>
      <c r="DR260" s="3"/>
      <c r="DS260" s="3"/>
      <c r="DT260" s="3"/>
      <c r="DU260" s="3"/>
      <c r="DV260" s="3"/>
      <c r="DW260" s="3"/>
      <c r="DX260" s="3"/>
      <c r="DY260" s="3"/>
      <c r="DZ260" s="3"/>
      <c r="EA260" s="3"/>
      <c r="EB260" s="4"/>
      <c r="EC260" s="3"/>
      <c r="ED260" s="3"/>
      <c r="EE260" s="3"/>
      <c r="EF260" s="3"/>
      <c r="EG260" s="3"/>
      <c r="EH260" s="3"/>
      <c r="EI260" s="3"/>
      <c r="EJ260" s="3"/>
      <c r="EK260" s="3"/>
      <c r="EL260" s="3"/>
      <c r="EM260" s="3"/>
      <c r="EN260" s="3"/>
      <c r="EO260" s="4"/>
      <c r="EP260" s="8"/>
      <c r="EQ260" s="181">
        <f>IFERROR(VLOOKUP(I260,CEI_012018!$A$1:$U$509,9,FALSE),0)</f>
        <v>0</v>
      </c>
      <c r="ER260" s="181">
        <f>IFERROR(VLOOKUP(I260,CEI_022018!$A$1:$U$509,9,FALSE),0)</f>
        <v>0</v>
      </c>
      <c r="ES260" s="181">
        <f>IFERROR(VLOOKUP(I260,CEI_032018!$A$1:$U$509,9,FALSE),0)</f>
        <v>0</v>
      </c>
      <c r="ET260" s="181">
        <f>IFERROR(VLOOKUP(I260,CEI_042018!$A$1:$U$491,9,FALSE),0)</f>
        <v>0</v>
      </c>
      <c r="EU260" s="181">
        <f>IFERROR(VLOOKUP(I260,CEI_052018!$A$1:$U$489,9,FALSE),0)</f>
        <v>0</v>
      </c>
      <c r="EV260" s="181">
        <f>IFERROR(VLOOKUP(I260,CEI_062018!$A$1:$U$489,9,FALSE),0)</f>
        <v>0</v>
      </c>
      <c r="EW260" s="181">
        <f>IFERROR(VLOOKUP(I260,CEI_072018!$A$1:$U$489,9,FALSE),0)</f>
        <v>0</v>
      </c>
      <c r="EX260" s="181">
        <f>IFERROR(VLOOKUP(I260,CEI_082018!$A$1:$U$489,9,FALSE),0)</f>
        <v>0</v>
      </c>
      <c r="EY260" s="181">
        <f>IFERROR(VLOOKUP(I260,CEI_092018!$A$1:$U$489,9,FALSE),0)</f>
        <v>0</v>
      </c>
      <c r="EZ260" s="181"/>
      <c r="FA260" s="181"/>
      <c r="FB260" s="181"/>
      <c r="FC260" s="181">
        <f>IFERROR(VLOOKUP(I260,CEI_092018!$A$1:$U$489,12,FALSE),0)</f>
        <v>0</v>
      </c>
      <c r="FD260" s="181">
        <f t="shared" si="133"/>
        <v>0</v>
      </c>
      <c r="FE260" s="181">
        <f t="shared" si="134"/>
        <v>100</v>
      </c>
      <c r="FF260"/>
      <c r="FG260"/>
      <c r="FH260"/>
      <c r="FI260"/>
      <c r="FJ260"/>
      <c r="FK260"/>
      <c r="FL260"/>
      <c r="FM260"/>
      <c r="FN260"/>
      <c r="FO260"/>
      <c r="FP260"/>
      <c r="FQ260"/>
      <c r="FR260"/>
      <c r="FS260"/>
      <c r="FT260"/>
      <c r="FU260"/>
      <c r="FV260"/>
      <c r="FW260"/>
      <c r="FX260"/>
      <c r="FY260"/>
      <c r="FZ260"/>
      <c r="GA260"/>
      <c r="GB260"/>
      <c r="GC260"/>
    </row>
    <row r="261" spans="1:185" ht="12.75" customHeight="1" x14ac:dyDescent="0.25">
      <c r="A261" s="202"/>
      <c r="B261" s="22" t="s">
        <v>57</v>
      </c>
      <c r="C261" s="34" t="s">
        <v>44</v>
      </c>
      <c r="D261" s="22" t="s">
        <v>1059</v>
      </c>
      <c r="E261" s="25" t="s">
        <v>1063</v>
      </c>
      <c r="F261" s="25" t="s">
        <v>1661</v>
      </c>
      <c r="G261" s="25" t="s">
        <v>1854</v>
      </c>
      <c r="H261" s="22" t="s">
        <v>62</v>
      </c>
      <c r="I261" s="423" t="s">
        <v>1918</v>
      </c>
      <c r="J261" s="37" t="s">
        <v>59</v>
      </c>
      <c r="K261" s="23" t="s">
        <v>536</v>
      </c>
      <c r="L261" s="23" t="s">
        <v>537</v>
      </c>
      <c r="M261" s="23" t="s">
        <v>538</v>
      </c>
      <c r="N261" s="23" t="s">
        <v>59</v>
      </c>
      <c r="O261" s="2">
        <v>0</v>
      </c>
      <c r="P261" s="2">
        <v>0</v>
      </c>
      <c r="Q261" s="2">
        <v>485</v>
      </c>
      <c r="R261" s="2">
        <v>0</v>
      </c>
      <c r="S261" s="2">
        <v>0</v>
      </c>
      <c r="T261" s="116">
        <f t="shared" si="116"/>
        <v>485</v>
      </c>
      <c r="U261" s="324">
        <v>0</v>
      </c>
      <c r="V261" s="324">
        <v>0</v>
      </c>
      <c r="W261" s="324">
        <v>0</v>
      </c>
      <c r="X261" s="324">
        <v>0</v>
      </c>
      <c r="Y261" s="324">
        <v>0</v>
      </c>
      <c r="Z261" s="324">
        <v>0</v>
      </c>
      <c r="AA261" s="324">
        <v>0</v>
      </c>
      <c r="AB261" s="324">
        <v>0</v>
      </c>
      <c r="AC261" s="324">
        <v>0</v>
      </c>
      <c r="AD261" s="324">
        <v>0</v>
      </c>
      <c r="AE261" s="324">
        <v>0</v>
      </c>
      <c r="AF261" s="324">
        <v>0</v>
      </c>
      <c r="AG261" s="140">
        <f t="shared" si="117"/>
        <v>0</v>
      </c>
      <c r="AH261" s="324">
        <v>0</v>
      </c>
      <c r="AI261" s="324">
        <v>0</v>
      </c>
      <c r="AJ261" s="324">
        <v>0</v>
      </c>
      <c r="AK261" s="324">
        <v>0</v>
      </c>
      <c r="AL261" s="324">
        <v>0</v>
      </c>
      <c r="AM261" s="324">
        <v>0</v>
      </c>
      <c r="AN261" s="324">
        <v>0</v>
      </c>
      <c r="AO261" s="324">
        <v>0</v>
      </c>
      <c r="AP261" s="324">
        <v>0</v>
      </c>
      <c r="AQ261" s="324">
        <v>0</v>
      </c>
      <c r="AR261" s="324">
        <v>0</v>
      </c>
      <c r="AS261" s="324">
        <v>0</v>
      </c>
      <c r="AT261" s="140">
        <f t="shared" si="118"/>
        <v>0</v>
      </c>
      <c r="AU261" s="324">
        <v>0</v>
      </c>
      <c r="AV261" s="324">
        <v>0</v>
      </c>
      <c r="AW261" s="324">
        <v>0</v>
      </c>
      <c r="AX261" s="324">
        <v>0</v>
      </c>
      <c r="AY261" s="324">
        <v>0</v>
      </c>
      <c r="AZ261" s="324">
        <v>0</v>
      </c>
      <c r="BA261" s="324">
        <v>0</v>
      </c>
      <c r="BB261" s="324">
        <v>0</v>
      </c>
      <c r="BC261" s="324">
        <v>0</v>
      </c>
      <c r="BD261" s="324">
        <v>0</v>
      </c>
      <c r="BE261" s="324">
        <v>0</v>
      </c>
      <c r="BF261" s="324">
        <v>0</v>
      </c>
      <c r="BG261" s="140">
        <f t="shared" si="119"/>
        <v>0</v>
      </c>
      <c r="BH261" s="324">
        <v>0</v>
      </c>
      <c r="BI261" s="324">
        <v>0</v>
      </c>
      <c r="BJ261" s="324">
        <v>0</v>
      </c>
      <c r="BK261" s="324">
        <v>0</v>
      </c>
      <c r="BL261" s="324">
        <v>0</v>
      </c>
      <c r="BM261" s="324">
        <v>0</v>
      </c>
      <c r="BN261" s="324">
        <v>0</v>
      </c>
      <c r="BO261" s="324">
        <v>0</v>
      </c>
      <c r="BP261" s="324">
        <v>0</v>
      </c>
      <c r="BQ261" s="324">
        <v>0</v>
      </c>
      <c r="BR261" s="324">
        <v>0</v>
      </c>
      <c r="BS261" s="324">
        <v>0</v>
      </c>
      <c r="BT261" s="140">
        <f t="shared" si="120"/>
        <v>0</v>
      </c>
      <c r="BU261" s="114">
        <f t="shared" si="121"/>
        <v>485</v>
      </c>
      <c r="BV261" s="372">
        <v>-1</v>
      </c>
      <c r="BW261" s="372">
        <v>-1</v>
      </c>
      <c r="BX261" s="372">
        <v>-1</v>
      </c>
      <c r="BY261" s="372">
        <v>-1</v>
      </c>
      <c r="BZ261" s="436">
        <f t="shared" ref="BZ261:BZ266" si="142">IFERROR((EX261/T261%),0)</f>
        <v>0</v>
      </c>
      <c r="CA261" s="428">
        <f>IFERROR((FD261/T261%),0)</f>
        <v>100.00000000000001</v>
      </c>
      <c r="CB261" s="7" t="s">
        <v>1699</v>
      </c>
      <c r="CC261" s="3">
        <v>0</v>
      </c>
      <c r="CD261" s="3">
        <v>0</v>
      </c>
      <c r="CE261" s="3">
        <v>0</v>
      </c>
      <c r="CF261" s="3">
        <v>0</v>
      </c>
      <c r="CG261" s="3">
        <v>0</v>
      </c>
      <c r="CH261" s="3">
        <v>0</v>
      </c>
      <c r="CI261" s="3">
        <v>0</v>
      </c>
      <c r="CJ261" s="3">
        <v>0</v>
      </c>
      <c r="CK261" s="3">
        <v>0</v>
      </c>
      <c r="CL261" s="3">
        <v>1</v>
      </c>
      <c r="CM261" s="3">
        <v>0</v>
      </c>
      <c r="CN261" s="3">
        <v>0</v>
      </c>
      <c r="CO261" s="4">
        <f>SUM(CC261:CN261)</f>
        <v>1</v>
      </c>
      <c r="CP261" s="3">
        <v>0</v>
      </c>
      <c r="CQ261" s="3">
        <v>0</v>
      </c>
      <c r="CR261" s="3">
        <v>0</v>
      </c>
      <c r="CS261" s="3">
        <v>0</v>
      </c>
      <c r="CT261" s="3">
        <v>0</v>
      </c>
      <c r="CU261" s="3">
        <v>0</v>
      </c>
      <c r="CV261" s="3">
        <v>0</v>
      </c>
      <c r="CW261" s="3">
        <v>0</v>
      </c>
      <c r="CX261" s="3">
        <v>0</v>
      </c>
      <c r="CY261" s="3">
        <v>0</v>
      </c>
      <c r="CZ261" s="3">
        <v>0</v>
      </c>
      <c r="DA261" s="3">
        <v>0</v>
      </c>
      <c r="DB261" s="4">
        <f>SUM(CP261:DA261)</f>
        <v>0</v>
      </c>
      <c r="DC261" s="3">
        <v>0</v>
      </c>
      <c r="DD261" s="3">
        <v>0</v>
      </c>
      <c r="DE261" s="3">
        <v>0</v>
      </c>
      <c r="DF261" s="3">
        <v>0</v>
      </c>
      <c r="DG261" s="3">
        <v>0</v>
      </c>
      <c r="DH261" s="3">
        <v>0</v>
      </c>
      <c r="DI261" s="3">
        <v>0</v>
      </c>
      <c r="DJ261" s="3">
        <v>0</v>
      </c>
      <c r="DK261" s="3">
        <v>0</v>
      </c>
      <c r="DL261" s="3">
        <v>0</v>
      </c>
      <c r="DM261" s="3">
        <v>0</v>
      </c>
      <c r="DN261" s="3">
        <v>0</v>
      </c>
      <c r="DO261" s="4">
        <f>SUM(DC261:DN261)</f>
        <v>0</v>
      </c>
      <c r="DP261" s="3">
        <v>0</v>
      </c>
      <c r="DQ261" s="3">
        <v>0</v>
      </c>
      <c r="DR261" s="3">
        <v>0</v>
      </c>
      <c r="DS261" s="3">
        <v>0</v>
      </c>
      <c r="DT261" s="3">
        <v>0</v>
      </c>
      <c r="DU261" s="3">
        <v>0</v>
      </c>
      <c r="DV261" s="3">
        <v>0</v>
      </c>
      <c r="DW261" s="3">
        <v>0</v>
      </c>
      <c r="DX261" s="3">
        <v>0</v>
      </c>
      <c r="DY261" s="3">
        <v>0</v>
      </c>
      <c r="DZ261" s="3">
        <v>0</v>
      </c>
      <c r="EA261" s="3">
        <v>0</v>
      </c>
      <c r="EB261" s="4">
        <f>SUM(DP261:EA261)</f>
        <v>0</v>
      </c>
      <c r="EC261" s="3">
        <v>0</v>
      </c>
      <c r="ED261" s="3">
        <v>0</v>
      </c>
      <c r="EE261" s="3">
        <v>0</v>
      </c>
      <c r="EF261" s="3">
        <v>0</v>
      </c>
      <c r="EG261" s="3">
        <v>0</v>
      </c>
      <c r="EH261" s="3">
        <v>0</v>
      </c>
      <c r="EI261" s="3">
        <v>0</v>
      </c>
      <c r="EJ261" s="3">
        <v>0</v>
      </c>
      <c r="EK261" s="3">
        <v>0</v>
      </c>
      <c r="EL261" s="3">
        <v>0</v>
      </c>
      <c r="EM261" s="3">
        <v>0</v>
      </c>
      <c r="EN261" s="3">
        <v>0</v>
      </c>
      <c r="EO261" s="4">
        <f>SUM(EC261:EN261)</f>
        <v>0</v>
      </c>
      <c r="EP261" s="8">
        <f>SUM(EO261,EB261,DO261,DB261,CO261)</f>
        <v>1</v>
      </c>
      <c r="EQ261" s="181">
        <f>IFERROR(VLOOKUP(I261,CEI_012018!$A$1:$U$509,9,FALSE),0)</f>
        <v>0</v>
      </c>
      <c r="ER261" s="181">
        <f>IFERROR(VLOOKUP(I261,CEI_022018!$A$1:$U$509,9,FALSE),0)</f>
        <v>0</v>
      </c>
      <c r="ES261" s="181">
        <f>IFERROR(VLOOKUP(I261,CEI_032018!$A$1:$U$509,9,FALSE),0)</f>
        <v>0</v>
      </c>
      <c r="ET261" s="181">
        <f>IFERROR(VLOOKUP(I261,CEI_042018!$A$1:$U$491,9,FALSE),0)</f>
        <v>0</v>
      </c>
      <c r="EU261" s="181">
        <f>IFERROR(VLOOKUP(I261,CEI_052018!$A$1:$U$489,9,FALSE),0)</f>
        <v>0</v>
      </c>
      <c r="EV261" s="181">
        <f>IFERROR(VLOOKUP(I261,CEI_062018!$A$1:$U$489,9,FALSE),0)</f>
        <v>0</v>
      </c>
      <c r="EW261" s="181">
        <f>IFERROR(VLOOKUP(I261,CEI_072018!$A$1:$U$489,9,FALSE),0)</f>
        <v>0</v>
      </c>
      <c r="EX261" s="181">
        <f>IFERROR(VLOOKUP(I261,CEI_082018!$A$1:$U$489,9,FALSE),0)</f>
        <v>0</v>
      </c>
      <c r="EY261" s="181">
        <f>IFERROR(VLOOKUP(I261,CEI_092018!$A$1:$U$489,9,FALSE),0)</f>
        <v>0</v>
      </c>
      <c r="EZ261" s="181"/>
      <c r="FA261" s="181"/>
      <c r="FB261" s="181"/>
      <c r="FC261" s="181">
        <f>IFERROR(VLOOKUP(I261,CEI_092018!$A$1:$U$489,12,FALSE),0)</f>
        <v>485</v>
      </c>
      <c r="FD261" s="181">
        <f t="shared" si="133"/>
        <v>485</v>
      </c>
      <c r="FE261" s="181">
        <f t="shared" si="134"/>
        <v>0</v>
      </c>
      <c r="FF261"/>
      <c r="FG261"/>
      <c r="FH261"/>
      <c r="FI261"/>
      <c r="FJ261"/>
      <c r="FK261"/>
      <c r="FL261"/>
      <c r="FM261"/>
      <c r="FN261"/>
      <c r="FO261"/>
      <c r="FP261"/>
      <c r="FQ261"/>
      <c r="FR261"/>
      <c r="FS261"/>
      <c r="FT261"/>
      <c r="FU261"/>
      <c r="FV261"/>
      <c r="FW261"/>
      <c r="FX261"/>
      <c r="FY261"/>
      <c r="FZ261"/>
      <c r="GA261"/>
      <c r="GB261"/>
      <c r="GC261"/>
    </row>
    <row r="262" spans="1:185" ht="12.75" customHeight="1" x14ac:dyDescent="0.25">
      <c r="A262" s="202"/>
      <c r="B262" s="22" t="s">
        <v>57</v>
      </c>
      <c r="C262" s="34" t="s">
        <v>44</v>
      </c>
      <c r="D262" s="22" t="s">
        <v>1059</v>
      </c>
      <c r="E262" s="25" t="s">
        <v>1063</v>
      </c>
      <c r="F262" s="25" t="s">
        <v>1059</v>
      </c>
      <c r="G262" s="25" t="s">
        <v>1063</v>
      </c>
      <c r="H262" s="22" t="s">
        <v>56</v>
      </c>
      <c r="I262" s="423" t="s">
        <v>1746</v>
      </c>
      <c r="J262" s="37" t="s">
        <v>1747</v>
      </c>
      <c r="K262" s="23" t="s">
        <v>1684</v>
      </c>
      <c r="L262" s="23" t="s">
        <v>1685</v>
      </c>
      <c r="M262" s="23" t="s">
        <v>1693</v>
      </c>
      <c r="N262" s="23" t="s">
        <v>1873</v>
      </c>
      <c r="O262" s="2">
        <v>0</v>
      </c>
      <c r="P262" s="2">
        <v>0</v>
      </c>
      <c r="Q262" s="2">
        <v>0</v>
      </c>
      <c r="R262" s="2">
        <v>0</v>
      </c>
      <c r="S262" s="2">
        <v>0</v>
      </c>
      <c r="T262" s="116">
        <f t="shared" si="116"/>
        <v>0</v>
      </c>
      <c r="U262" s="324">
        <v>23.965199999999999</v>
      </c>
      <c r="V262" s="324">
        <v>23.965199999999999</v>
      </c>
      <c r="W262" s="324">
        <v>23.965199999999999</v>
      </c>
      <c r="X262" s="324">
        <v>23.965199999999999</v>
      </c>
      <c r="Y262" s="324">
        <v>23.965199999999999</v>
      </c>
      <c r="Z262" s="324">
        <v>23.965199999999999</v>
      </c>
      <c r="AA262" s="324">
        <v>23.965199999999999</v>
      </c>
      <c r="AB262" s="324">
        <v>23.965199999999999</v>
      </c>
      <c r="AC262" s="324">
        <v>23.965199999999999</v>
      </c>
      <c r="AD262" s="324">
        <v>23.965199999999999</v>
      </c>
      <c r="AE262" s="324">
        <v>23.965199999999999</v>
      </c>
      <c r="AF262" s="324">
        <v>27.3888</v>
      </c>
      <c r="AG262" s="140">
        <f t="shared" si="117"/>
        <v>291.00600000000003</v>
      </c>
      <c r="AH262" s="324">
        <v>29.956499999999998</v>
      </c>
      <c r="AI262" s="324">
        <v>29.956499999999998</v>
      </c>
      <c r="AJ262" s="324">
        <v>29.956499999999998</v>
      </c>
      <c r="AK262" s="324">
        <v>29.956499999999998</v>
      </c>
      <c r="AL262" s="324">
        <v>29.956499999999998</v>
      </c>
      <c r="AM262" s="324">
        <v>29.956499999999998</v>
      </c>
      <c r="AN262" s="324">
        <v>0</v>
      </c>
      <c r="AO262" s="324">
        <v>0</v>
      </c>
      <c r="AP262" s="324">
        <v>0</v>
      </c>
      <c r="AQ262" s="324">
        <v>0</v>
      </c>
      <c r="AR262" s="324">
        <v>0</v>
      </c>
      <c r="AS262" s="324">
        <v>0</v>
      </c>
      <c r="AT262" s="140">
        <f t="shared" si="118"/>
        <v>179.739</v>
      </c>
      <c r="AU262" s="324">
        <v>0</v>
      </c>
      <c r="AV262" s="324">
        <v>0</v>
      </c>
      <c r="AW262" s="324">
        <v>0</v>
      </c>
      <c r="AX262" s="324">
        <v>0</v>
      </c>
      <c r="AY262" s="324">
        <v>0</v>
      </c>
      <c r="AZ262" s="324">
        <v>0</v>
      </c>
      <c r="BA262" s="324">
        <v>0</v>
      </c>
      <c r="BB262" s="324">
        <v>0</v>
      </c>
      <c r="BC262" s="324">
        <v>0</v>
      </c>
      <c r="BD262" s="324">
        <v>0</v>
      </c>
      <c r="BE262" s="324">
        <v>0</v>
      </c>
      <c r="BF262" s="324">
        <v>0</v>
      </c>
      <c r="BG262" s="140">
        <f t="shared" si="119"/>
        <v>0</v>
      </c>
      <c r="BH262" s="324">
        <v>0</v>
      </c>
      <c r="BI262" s="324">
        <v>0</v>
      </c>
      <c r="BJ262" s="324">
        <v>0</v>
      </c>
      <c r="BK262" s="324">
        <v>0</v>
      </c>
      <c r="BL262" s="324">
        <v>0</v>
      </c>
      <c r="BM262" s="324">
        <v>0</v>
      </c>
      <c r="BN262" s="324">
        <v>0</v>
      </c>
      <c r="BO262" s="324">
        <v>0</v>
      </c>
      <c r="BP262" s="324">
        <v>0</v>
      </c>
      <c r="BQ262" s="324">
        <v>0</v>
      </c>
      <c r="BR262" s="324">
        <v>0</v>
      </c>
      <c r="BS262" s="324">
        <v>0</v>
      </c>
      <c r="BT262" s="140">
        <f t="shared" si="120"/>
        <v>0</v>
      </c>
      <c r="BU262" s="114">
        <f t="shared" si="121"/>
        <v>470.745</v>
      </c>
      <c r="BV262" s="432"/>
      <c r="BW262" s="432"/>
      <c r="BX262" s="432"/>
      <c r="BY262" s="432"/>
      <c r="BZ262" s="436">
        <f t="shared" si="142"/>
        <v>0</v>
      </c>
      <c r="CA262" s="434"/>
      <c r="CB262" s="7" t="s">
        <v>1700</v>
      </c>
      <c r="CC262" s="3">
        <v>0</v>
      </c>
      <c r="CD262" s="3">
        <v>0</v>
      </c>
      <c r="CE262" s="3">
        <v>0</v>
      </c>
      <c r="CF262" s="3">
        <v>0</v>
      </c>
      <c r="CG262" s="3">
        <v>0</v>
      </c>
      <c r="CH262" s="3">
        <v>0</v>
      </c>
      <c r="CI262" s="3">
        <v>0</v>
      </c>
      <c r="CJ262" s="3">
        <v>0</v>
      </c>
      <c r="CK262" s="3">
        <v>0</v>
      </c>
      <c r="CL262" s="3">
        <v>0</v>
      </c>
      <c r="CM262" s="3">
        <v>0</v>
      </c>
      <c r="CN262" s="3">
        <v>0</v>
      </c>
      <c r="CO262" s="4">
        <f>SUM(CC262:CN262)</f>
        <v>0</v>
      </c>
      <c r="CP262" s="3">
        <v>55.733023255813954</v>
      </c>
      <c r="CQ262" s="3">
        <v>55.733023255813954</v>
      </c>
      <c r="CR262" s="3">
        <v>55.733023255813954</v>
      </c>
      <c r="CS262" s="3">
        <v>55.733023255813954</v>
      </c>
      <c r="CT262" s="3">
        <v>55.733023255813954</v>
      </c>
      <c r="CU262" s="3">
        <v>55.733023255813954</v>
      </c>
      <c r="CV262" s="3">
        <v>55.733023255813954</v>
      </c>
      <c r="CW262" s="3">
        <v>55.733023255813954</v>
      </c>
      <c r="CX262" s="3">
        <v>55.733023255813954</v>
      </c>
      <c r="CY262" s="3">
        <v>55.733023255813954</v>
      </c>
      <c r="CZ262" s="3">
        <v>55.733023255813954</v>
      </c>
      <c r="DA262" s="3">
        <v>63.694883720930235</v>
      </c>
      <c r="DB262" s="4">
        <f>SUM(CP262:DA262)</f>
        <v>676.75813953488375</v>
      </c>
      <c r="DC262" s="3">
        <v>69.666279069767441</v>
      </c>
      <c r="DD262" s="3">
        <v>69.666279069767441</v>
      </c>
      <c r="DE262" s="3">
        <v>69.666279069767441</v>
      </c>
      <c r="DF262" s="3">
        <v>69.666279069767441</v>
      </c>
      <c r="DG262" s="3">
        <v>69.666279069767441</v>
      </c>
      <c r="DH262" s="3">
        <v>69.666279069767441</v>
      </c>
      <c r="DI262" s="3">
        <v>0</v>
      </c>
      <c r="DJ262" s="3">
        <v>0</v>
      </c>
      <c r="DK262" s="3">
        <v>0</v>
      </c>
      <c r="DL262" s="3">
        <v>0</v>
      </c>
      <c r="DM262" s="3">
        <v>0</v>
      </c>
      <c r="DN262" s="3">
        <v>0</v>
      </c>
      <c r="DO262" s="4">
        <f>SUM(DC262:DN262)</f>
        <v>417.99767441860462</v>
      </c>
      <c r="DP262" s="3">
        <v>0</v>
      </c>
      <c r="DQ262" s="3">
        <v>0</v>
      </c>
      <c r="DR262" s="3">
        <v>0</v>
      </c>
      <c r="DS262" s="3">
        <v>0</v>
      </c>
      <c r="DT262" s="3">
        <v>0</v>
      </c>
      <c r="DU262" s="3">
        <v>0</v>
      </c>
      <c r="DV262" s="3">
        <v>0</v>
      </c>
      <c r="DW262" s="3">
        <v>0</v>
      </c>
      <c r="DX262" s="3">
        <v>0</v>
      </c>
      <c r="DY262" s="3">
        <v>0</v>
      </c>
      <c r="DZ262" s="3">
        <v>0</v>
      </c>
      <c r="EA262" s="3">
        <v>0</v>
      </c>
      <c r="EB262" s="4">
        <f>SUM(DP262:EA262)</f>
        <v>0</v>
      </c>
      <c r="EC262" s="3">
        <v>0</v>
      </c>
      <c r="ED262" s="3">
        <v>0</v>
      </c>
      <c r="EE262" s="3">
        <v>0</v>
      </c>
      <c r="EF262" s="3">
        <v>0</v>
      </c>
      <c r="EG262" s="3">
        <v>0</v>
      </c>
      <c r="EH262" s="3">
        <v>0</v>
      </c>
      <c r="EI262" s="3">
        <v>0</v>
      </c>
      <c r="EJ262" s="3">
        <v>0</v>
      </c>
      <c r="EK262" s="3">
        <v>0</v>
      </c>
      <c r="EL262" s="3">
        <v>0</v>
      </c>
      <c r="EM262" s="3">
        <v>0</v>
      </c>
      <c r="EN262" s="3">
        <v>0</v>
      </c>
      <c r="EO262" s="4">
        <f>SUM(EC262:EN262)</f>
        <v>0</v>
      </c>
      <c r="EP262" s="8">
        <f>SUM(EO262,EB262,DO262,DB262,CO262)</f>
        <v>1094.7558139534883</v>
      </c>
      <c r="EQ262" s="181">
        <f>IFERROR(VLOOKUP(I262,CEI_012018!$A$1:$U$509,9,FALSE),0)</f>
        <v>0</v>
      </c>
      <c r="ER262" s="181">
        <f>IFERROR(VLOOKUP(I262,CEI_022018!$A$1:$U$509,9,FALSE),0)</f>
        <v>0</v>
      </c>
      <c r="ES262" s="181">
        <f>IFERROR(VLOOKUP(I262,CEI_032018!$A$1:$U$509,9,FALSE),0)</f>
        <v>0</v>
      </c>
      <c r="ET262" s="181">
        <f>IFERROR(VLOOKUP(I262,CEI_042018!$A$1:$U$491,9,FALSE),0)</f>
        <v>0</v>
      </c>
      <c r="EU262" s="181">
        <f>IFERROR(VLOOKUP(I262,CEI_052018!$A$1:$U$489,9,FALSE),0)</f>
        <v>0</v>
      </c>
      <c r="EV262" s="181">
        <f>IFERROR(VLOOKUP(I262,CEI_062018!$A$1:$U$489,9,FALSE),0)</f>
        <v>0</v>
      </c>
      <c r="EW262" s="181">
        <f>IFERROR(VLOOKUP(I262,CEI_072018!$A$1:$U$489,9,FALSE),0)</f>
        <v>0</v>
      </c>
      <c r="EX262" s="181">
        <f>IFERROR(VLOOKUP(I262,CEI_082018!$A$1:$U$489,9,FALSE),0)</f>
        <v>0</v>
      </c>
      <c r="EY262" s="181">
        <f>IFERROR(VLOOKUP(I262,CEI_092018!$A$1:$U$489,9,FALSE),0)</f>
        <v>0</v>
      </c>
      <c r="EZ262" s="181"/>
      <c r="FA262" s="181"/>
      <c r="FB262" s="181"/>
      <c r="FC262" s="181">
        <f>IFERROR(VLOOKUP(I262,CEI_092018!$A$1:$U$489,12,FALSE),0)</f>
        <v>0</v>
      </c>
      <c r="FD262" s="181">
        <f t="shared" si="133"/>
        <v>0</v>
      </c>
      <c r="FE262" s="181">
        <f t="shared" si="134"/>
        <v>0</v>
      </c>
      <c r="FF262"/>
      <c r="FG262"/>
      <c r="FH262"/>
      <c r="FI262"/>
      <c r="FJ262"/>
      <c r="FK262"/>
      <c r="FL262"/>
      <c r="FM262"/>
      <c r="FN262"/>
      <c r="FO262"/>
      <c r="FP262"/>
      <c r="FQ262"/>
      <c r="FR262"/>
      <c r="FS262"/>
      <c r="FT262"/>
      <c r="FU262"/>
      <c r="FV262"/>
      <c r="FW262"/>
      <c r="FX262"/>
      <c r="FY262"/>
      <c r="FZ262"/>
      <c r="GA262"/>
      <c r="GB262"/>
      <c r="GC262"/>
    </row>
    <row r="263" spans="1:185" ht="12.75" customHeight="1" x14ac:dyDescent="0.25">
      <c r="A263" s="202"/>
      <c r="B263" s="22" t="s">
        <v>57</v>
      </c>
      <c r="C263" s="34" t="s">
        <v>44</v>
      </c>
      <c r="D263" s="22" t="s">
        <v>1059</v>
      </c>
      <c r="E263" s="25" t="s">
        <v>1063</v>
      </c>
      <c r="F263" s="438" t="s">
        <v>515</v>
      </c>
      <c r="G263" s="438" t="s">
        <v>1981</v>
      </c>
      <c r="H263" s="22" t="s">
        <v>56</v>
      </c>
      <c r="I263" s="439" t="s">
        <v>1947</v>
      </c>
      <c r="J263" s="37"/>
      <c r="K263" s="23" t="s">
        <v>1948</v>
      </c>
      <c r="L263" s="23"/>
      <c r="M263" s="23"/>
      <c r="N263" s="23"/>
      <c r="O263" s="2">
        <v>0</v>
      </c>
      <c r="P263" s="2">
        <v>0</v>
      </c>
      <c r="Q263" s="2">
        <v>0</v>
      </c>
      <c r="R263" s="2">
        <v>50</v>
      </c>
      <c r="S263" s="2">
        <v>65</v>
      </c>
      <c r="T263" s="116">
        <f t="shared" ref="T263:T318" si="143">SUM(O263:S263)</f>
        <v>115</v>
      </c>
      <c r="U263" s="324">
        <v>0</v>
      </c>
      <c r="V263" s="324">
        <v>25</v>
      </c>
      <c r="W263" s="324">
        <v>0</v>
      </c>
      <c r="X263" s="324">
        <v>25</v>
      </c>
      <c r="Y263" s="324">
        <v>50</v>
      </c>
      <c r="Z263" s="324">
        <v>0</v>
      </c>
      <c r="AA263" s="324">
        <v>0</v>
      </c>
      <c r="AB263" s="324">
        <v>25</v>
      </c>
      <c r="AC263" s="324">
        <v>25</v>
      </c>
      <c r="AD263" s="324">
        <v>25</v>
      </c>
      <c r="AE263" s="324">
        <v>25</v>
      </c>
      <c r="AF263" s="324">
        <v>29</v>
      </c>
      <c r="AG263" s="140">
        <f t="shared" si="117"/>
        <v>229</v>
      </c>
      <c r="AH263" s="324">
        <v>50</v>
      </c>
      <c r="AI263" s="324">
        <v>65</v>
      </c>
      <c r="AJ263" s="324">
        <v>0</v>
      </c>
      <c r="AK263" s="324">
        <v>0</v>
      </c>
      <c r="AL263" s="324">
        <v>0</v>
      </c>
      <c r="AM263" s="324">
        <v>0</v>
      </c>
      <c r="AN263" s="324">
        <v>0</v>
      </c>
      <c r="AO263" s="324">
        <v>0</v>
      </c>
      <c r="AP263" s="324">
        <v>0</v>
      </c>
      <c r="AQ263" s="324">
        <v>0</v>
      </c>
      <c r="AR263" s="324">
        <v>0</v>
      </c>
      <c r="AS263" s="324">
        <v>0</v>
      </c>
      <c r="AT263" s="140">
        <f t="shared" si="118"/>
        <v>115</v>
      </c>
      <c r="AU263" s="324"/>
      <c r="AV263" s="324"/>
      <c r="AW263" s="324"/>
      <c r="AX263" s="324"/>
      <c r="AY263" s="324"/>
      <c r="AZ263" s="324"/>
      <c r="BA263" s="324"/>
      <c r="BB263" s="324"/>
      <c r="BC263" s="324"/>
      <c r="BD263" s="324"/>
      <c r="BE263" s="324"/>
      <c r="BF263" s="324"/>
      <c r="BG263" s="140">
        <f t="shared" si="119"/>
        <v>0</v>
      </c>
      <c r="BH263" s="324"/>
      <c r="BI263" s="324"/>
      <c r="BJ263" s="324"/>
      <c r="BK263" s="324"/>
      <c r="BL263" s="324"/>
      <c r="BM263" s="324"/>
      <c r="BN263" s="324"/>
      <c r="BO263" s="324"/>
      <c r="BP263" s="324"/>
      <c r="BQ263" s="324"/>
      <c r="BR263" s="324"/>
      <c r="BS263" s="324"/>
      <c r="BT263" s="140">
        <f t="shared" si="120"/>
        <v>0</v>
      </c>
      <c r="BU263" s="114">
        <f t="shared" si="121"/>
        <v>459</v>
      </c>
      <c r="BV263" s="432"/>
      <c r="BW263" s="432"/>
      <c r="BX263" s="432"/>
      <c r="BY263" s="432"/>
      <c r="BZ263" s="436">
        <f t="shared" si="142"/>
        <v>0</v>
      </c>
      <c r="CA263" s="434"/>
      <c r="CB263" s="7"/>
      <c r="CC263" s="3"/>
      <c r="CD263" s="3"/>
      <c r="CE263" s="3"/>
      <c r="CF263" s="3"/>
      <c r="CG263" s="3"/>
      <c r="CH263" s="3"/>
      <c r="CI263" s="3"/>
      <c r="CJ263" s="3"/>
      <c r="CK263" s="3"/>
      <c r="CL263" s="3"/>
      <c r="CM263" s="3"/>
      <c r="CN263" s="3"/>
      <c r="CO263" s="4"/>
      <c r="CP263" s="3"/>
      <c r="CQ263" s="3"/>
      <c r="CR263" s="3"/>
      <c r="CS263" s="3"/>
      <c r="CT263" s="3"/>
      <c r="CU263" s="3"/>
      <c r="CV263" s="3"/>
      <c r="CW263" s="3"/>
      <c r="CX263" s="3"/>
      <c r="CY263" s="3"/>
      <c r="CZ263" s="3"/>
      <c r="DA263" s="3"/>
      <c r="DB263" s="4"/>
      <c r="DC263" s="3"/>
      <c r="DD263" s="3"/>
      <c r="DE263" s="3"/>
      <c r="DF263" s="3"/>
      <c r="DG263" s="3"/>
      <c r="DH263" s="3"/>
      <c r="DI263" s="3"/>
      <c r="DJ263" s="3"/>
      <c r="DK263" s="3"/>
      <c r="DL263" s="3"/>
      <c r="DM263" s="3"/>
      <c r="DN263" s="3"/>
      <c r="DO263" s="4"/>
      <c r="DP263" s="3"/>
      <c r="DQ263" s="3"/>
      <c r="DR263" s="3"/>
      <c r="DS263" s="3"/>
      <c r="DT263" s="3"/>
      <c r="DU263" s="3"/>
      <c r="DV263" s="3"/>
      <c r="DW263" s="3"/>
      <c r="DX263" s="3"/>
      <c r="DY263" s="3"/>
      <c r="DZ263" s="3"/>
      <c r="EA263" s="3"/>
      <c r="EB263" s="4"/>
      <c r="EC263" s="3"/>
      <c r="ED263" s="3"/>
      <c r="EE263" s="3"/>
      <c r="EF263" s="3"/>
      <c r="EG263" s="3"/>
      <c r="EH263" s="3"/>
      <c r="EI263" s="3"/>
      <c r="EJ263" s="3"/>
      <c r="EK263" s="3"/>
      <c r="EL263" s="3"/>
      <c r="EM263" s="3"/>
      <c r="EN263" s="3"/>
      <c r="EO263" s="4"/>
      <c r="EP263" s="8"/>
      <c r="EQ263" s="181">
        <f>IFERROR(VLOOKUP(I263,CEI_012018!$A$1:$U$509,9,FALSE),0)</f>
        <v>0</v>
      </c>
      <c r="ER263" s="181">
        <f>IFERROR(VLOOKUP(I263,CEI_022018!$A$1:$U$509,9,FALSE),0)</f>
        <v>0</v>
      </c>
      <c r="ES263" s="181">
        <f>IFERROR(VLOOKUP(I263,CEI_032018!$A$1:$U$509,9,FALSE),0)</f>
        <v>0</v>
      </c>
      <c r="ET263" s="181">
        <f>IFERROR(VLOOKUP(I263,CEI_042018!$A$1:$U$491,9,FALSE),0)</f>
        <v>0</v>
      </c>
      <c r="EU263" s="181">
        <f>IFERROR(VLOOKUP(I263,CEI_052018!$A$1:$U$489,9,FALSE),0)</f>
        <v>0</v>
      </c>
      <c r="EV263" s="181">
        <f>IFERROR(VLOOKUP(I263,CEI_062018!$A$1:$U$489,9,FALSE),0)</f>
        <v>0</v>
      </c>
      <c r="EW263" s="181">
        <f>IFERROR(VLOOKUP(I263,CEI_072018!$A$1:$U$489,9,FALSE),0)</f>
        <v>0</v>
      </c>
      <c r="EX263" s="181">
        <f>IFERROR(VLOOKUP(I263,CEI_082018!$A$1:$U$489,9,FALSE),0)</f>
        <v>0</v>
      </c>
      <c r="EY263" s="181">
        <f>IFERROR(VLOOKUP(I263,CEI_092018!$A$1:$U$489,9,FALSE),0)</f>
        <v>0</v>
      </c>
      <c r="EZ263" s="181"/>
      <c r="FA263" s="181"/>
      <c r="FB263" s="181"/>
      <c r="FC263" s="181">
        <f>IFERROR(VLOOKUP(I263,CEI_092018!$A$1:$U$489,12,FALSE),0)</f>
        <v>114.364501953125</v>
      </c>
      <c r="FD263" s="181">
        <f t="shared" si="133"/>
        <v>114.364501953125</v>
      </c>
      <c r="FE263" s="181">
        <f t="shared" si="134"/>
        <v>0.635498046875</v>
      </c>
      <c r="FF263"/>
      <c r="FG263"/>
      <c r="FH263"/>
      <c r="FI263"/>
      <c r="FJ263"/>
      <c r="FK263"/>
      <c r="FL263"/>
      <c r="FM263"/>
      <c r="FN263"/>
      <c r="FO263"/>
      <c r="FP263"/>
      <c r="FQ263"/>
      <c r="FR263"/>
      <c r="FS263"/>
      <c r="FT263"/>
      <c r="FU263"/>
      <c r="FV263"/>
      <c r="FW263"/>
      <c r="FX263"/>
      <c r="FY263"/>
      <c r="FZ263"/>
      <c r="GA263"/>
      <c r="GB263"/>
      <c r="GC263"/>
    </row>
    <row r="264" spans="1:185" ht="12.75" customHeight="1" x14ac:dyDescent="0.25">
      <c r="A264" s="202"/>
      <c r="B264" s="22" t="s">
        <v>57</v>
      </c>
      <c r="C264" s="34" t="s">
        <v>44</v>
      </c>
      <c r="D264" s="22" t="s">
        <v>1059</v>
      </c>
      <c r="E264" s="25" t="s">
        <v>1065</v>
      </c>
      <c r="F264" s="25" t="s">
        <v>1059</v>
      </c>
      <c r="G264" s="25" t="s">
        <v>1065</v>
      </c>
      <c r="H264" s="22" t="s">
        <v>56</v>
      </c>
      <c r="I264" s="423" t="s">
        <v>566</v>
      </c>
      <c r="J264" s="37" t="s">
        <v>1374</v>
      </c>
      <c r="K264" s="23" t="s">
        <v>713</v>
      </c>
      <c r="L264" s="23" t="s">
        <v>714</v>
      </c>
      <c r="M264" s="23" t="s">
        <v>715</v>
      </c>
      <c r="N264" s="23" t="s">
        <v>59</v>
      </c>
      <c r="O264" s="2">
        <v>0</v>
      </c>
      <c r="P264" s="2">
        <v>0</v>
      </c>
      <c r="Q264" s="2">
        <v>50</v>
      </c>
      <c r="R264" s="2">
        <v>175</v>
      </c>
      <c r="S264" s="2">
        <v>224</v>
      </c>
      <c r="T264" s="116">
        <f t="shared" si="143"/>
        <v>449</v>
      </c>
      <c r="U264" s="324">
        <v>0</v>
      </c>
      <c r="V264" s="324">
        <v>0</v>
      </c>
      <c r="W264" s="324">
        <v>0</v>
      </c>
      <c r="X264" s="324">
        <v>0</v>
      </c>
      <c r="Y264" s="324">
        <v>0</v>
      </c>
      <c r="Z264" s="324">
        <v>0</v>
      </c>
      <c r="AA264" s="324">
        <v>0</v>
      </c>
      <c r="AB264" s="324">
        <v>0</v>
      </c>
      <c r="AC264" s="324">
        <v>0</v>
      </c>
      <c r="AD264" s="324">
        <v>0</v>
      </c>
      <c r="AE264" s="324">
        <v>0</v>
      </c>
      <c r="AF264" s="324">
        <v>0</v>
      </c>
      <c r="AG264" s="140">
        <f t="shared" si="117"/>
        <v>0</v>
      </c>
      <c r="AH264" s="324">
        <v>0</v>
      </c>
      <c r="AI264" s="324">
        <v>0</v>
      </c>
      <c r="AJ264" s="324">
        <v>0</v>
      </c>
      <c r="AK264" s="324">
        <v>0</v>
      </c>
      <c r="AL264" s="324">
        <v>0</v>
      </c>
      <c r="AM264" s="324">
        <v>0</v>
      </c>
      <c r="AN264" s="324">
        <v>0</v>
      </c>
      <c r="AO264" s="324">
        <v>0</v>
      </c>
      <c r="AP264" s="324">
        <v>0</v>
      </c>
      <c r="AQ264" s="324">
        <v>0</v>
      </c>
      <c r="AR264" s="324">
        <v>0</v>
      </c>
      <c r="AS264" s="324">
        <v>0</v>
      </c>
      <c r="AT264" s="140">
        <f t="shared" si="118"/>
        <v>0</v>
      </c>
      <c r="AU264" s="324">
        <v>0</v>
      </c>
      <c r="AV264" s="324">
        <v>0</v>
      </c>
      <c r="AW264" s="324">
        <v>0</v>
      </c>
      <c r="AX264" s="324">
        <v>0</v>
      </c>
      <c r="AY264" s="324">
        <v>0</v>
      </c>
      <c r="AZ264" s="324">
        <v>0</v>
      </c>
      <c r="BA264" s="324">
        <v>0</v>
      </c>
      <c r="BB264" s="324">
        <v>0</v>
      </c>
      <c r="BC264" s="324">
        <v>0</v>
      </c>
      <c r="BD264" s="324">
        <v>0</v>
      </c>
      <c r="BE264" s="324">
        <v>0</v>
      </c>
      <c r="BF264" s="324">
        <v>0</v>
      </c>
      <c r="BG264" s="140">
        <f t="shared" si="119"/>
        <v>0</v>
      </c>
      <c r="BH264" s="324">
        <v>0</v>
      </c>
      <c r="BI264" s="324">
        <v>0</v>
      </c>
      <c r="BJ264" s="324">
        <v>0</v>
      </c>
      <c r="BK264" s="324">
        <v>0</v>
      </c>
      <c r="BL264" s="324">
        <v>0</v>
      </c>
      <c r="BM264" s="324">
        <v>0</v>
      </c>
      <c r="BN264" s="324">
        <v>0</v>
      </c>
      <c r="BO264" s="324">
        <v>0</v>
      </c>
      <c r="BP264" s="324">
        <v>0</v>
      </c>
      <c r="BQ264" s="324">
        <v>0</v>
      </c>
      <c r="BR264" s="324">
        <v>0</v>
      </c>
      <c r="BS264" s="324">
        <v>0</v>
      </c>
      <c r="BT264" s="140">
        <f t="shared" si="120"/>
        <v>0</v>
      </c>
      <c r="BU264" s="114">
        <f t="shared" si="121"/>
        <v>449</v>
      </c>
      <c r="BV264" s="372">
        <v>1</v>
      </c>
      <c r="BW264" s="372">
        <v>1</v>
      </c>
      <c r="BX264" s="372">
        <v>1</v>
      </c>
      <c r="BY264" s="372">
        <v>1</v>
      </c>
      <c r="BZ264" s="436">
        <f t="shared" si="142"/>
        <v>0</v>
      </c>
      <c r="CA264" s="428">
        <f>IFERROR((FD264/T264%),0)</f>
        <v>33.119599272254312</v>
      </c>
      <c r="CB264" s="7" t="s">
        <v>1699</v>
      </c>
      <c r="CC264" s="3">
        <v>0</v>
      </c>
      <c r="CD264" s="3">
        <v>0</v>
      </c>
      <c r="CE264" s="3">
        <v>0</v>
      </c>
      <c r="CF264" s="3">
        <v>0</v>
      </c>
      <c r="CG264" s="3">
        <v>0</v>
      </c>
      <c r="CH264" s="3">
        <v>0</v>
      </c>
      <c r="CI264" s="3">
        <v>0</v>
      </c>
      <c r="CJ264" s="3">
        <v>0</v>
      </c>
      <c r="CK264" s="3">
        <v>0</v>
      </c>
      <c r="CL264" s="3">
        <v>0</v>
      </c>
      <c r="CM264" s="3">
        <v>0</v>
      </c>
      <c r="CN264" s="3">
        <v>1</v>
      </c>
      <c r="CO264" s="4">
        <f t="shared" ref="CO264:CO288" si="144">SUM(CC264:CN264)</f>
        <v>1</v>
      </c>
      <c r="CP264" s="3">
        <v>0</v>
      </c>
      <c r="CQ264" s="3">
        <v>0</v>
      </c>
      <c r="CR264" s="3">
        <v>0</v>
      </c>
      <c r="CS264" s="3">
        <v>0</v>
      </c>
      <c r="CT264" s="3">
        <v>0</v>
      </c>
      <c r="CU264" s="3">
        <v>0</v>
      </c>
      <c r="CV264" s="3">
        <v>0</v>
      </c>
      <c r="CW264" s="3">
        <v>0</v>
      </c>
      <c r="CX264" s="3">
        <v>0</v>
      </c>
      <c r="CY264" s="3">
        <v>0</v>
      </c>
      <c r="CZ264" s="3">
        <v>0</v>
      </c>
      <c r="DA264" s="3">
        <v>0</v>
      </c>
      <c r="DB264" s="4">
        <f t="shared" ref="DB264:DB288" si="145">SUM(CP264:DA264)</f>
        <v>0</v>
      </c>
      <c r="DC264" s="3">
        <v>0</v>
      </c>
      <c r="DD264" s="3">
        <v>0</v>
      </c>
      <c r="DE264" s="3">
        <v>0</v>
      </c>
      <c r="DF264" s="3">
        <v>0</v>
      </c>
      <c r="DG264" s="3">
        <v>0</v>
      </c>
      <c r="DH264" s="3">
        <v>0</v>
      </c>
      <c r="DI264" s="3">
        <v>0</v>
      </c>
      <c r="DJ264" s="3">
        <v>0</v>
      </c>
      <c r="DK264" s="3">
        <v>0</v>
      </c>
      <c r="DL264" s="3">
        <v>0</v>
      </c>
      <c r="DM264" s="3">
        <v>0</v>
      </c>
      <c r="DN264" s="3">
        <v>0</v>
      </c>
      <c r="DO264" s="4">
        <f t="shared" ref="DO264:DO288" si="146">SUM(DC264:DN264)</f>
        <v>0</v>
      </c>
      <c r="DP264" s="3">
        <v>0</v>
      </c>
      <c r="DQ264" s="3">
        <v>0</v>
      </c>
      <c r="DR264" s="3">
        <v>0</v>
      </c>
      <c r="DS264" s="3">
        <v>0</v>
      </c>
      <c r="DT264" s="3">
        <v>0</v>
      </c>
      <c r="DU264" s="3">
        <v>0</v>
      </c>
      <c r="DV264" s="3">
        <v>0</v>
      </c>
      <c r="DW264" s="3">
        <v>0</v>
      </c>
      <c r="DX264" s="3">
        <v>0</v>
      </c>
      <c r="DY264" s="3">
        <v>0</v>
      </c>
      <c r="DZ264" s="3">
        <v>0</v>
      </c>
      <c r="EA264" s="3">
        <v>0</v>
      </c>
      <c r="EB264" s="4">
        <f t="shared" ref="EB264:EB288" si="147">SUM(DP264:EA264)</f>
        <v>0</v>
      </c>
      <c r="EC264" s="3">
        <v>0</v>
      </c>
      <c r="ED264" s="3">
        <v>0</v>
      </c>
      <c r="EE264" s="3">
        <v>0</v>
      </c>
      <c r="EF264" s="3">
        <v>0</v>
      </c>
      <c r="EG264" s="3">
        <v>0</v>
      </c>
      <c r="EH264" s="3">
        <v>0</v>
      </c>
      <c r="EI264" s="3">
        <v>0</v>
      </c>
      <c r="EJ264" s="3">
        <v>0</v>
      </c>
      <c r="EK264" s="3">
        <v>0</v>
      </c>
      <c r="EL264" s="3">
        <v>0</v>
      </c>
      <c r="EM264" s="3">
        <v>0</v>
      </c>
      <c r="EN264" s="3">
        <v>0</v>
      </c>
      <c r="EO264" s="4">
        <f t="shared" ref="EO264:EO288" si="148">SUM(EC264:EN264)</f>
        <v>0</v>
      </c>
      <c r="EP264" s="8">
        <f t="shared" ref="EP264:EP288" si="149">SUM(EO264,EB264,DO264,DB264,CO264)</f>
        <v>1</v>
      </c>
      <c r="EQ264" s="181">
        <f>IFERROR(VLOOKUP(I264,CEI_012018!$A$1:$U$509,9,FALSE),0)</f>
        <v>0</v>
      </c>
      <c r="ER264" s="181">
        <f>IFERROR(VLOOKUP(I264,CEI_022018!$A$1:$U$509,9,FALSE),0)</f>
        <v>0</v>
      </c>
      <c r="ES264" s="181">
        <f>IFERROR(VLOOKUP(I264,CEI_032018!$A$1:$U$509,9,FALSE),0)</f>
        <v>0</v>
      </c>
      <c r="ET264" s="181">
        <f>IFERROR(VLOOKUP(I264,CEI_042018!$A$1:$U$491,9,FALSE),0)</f>
        <v>0</v>
      </c>
      <c r="EU264" s="181">
        <f>IFERROR(VLOOKUP(I264,CEI_052018!$A$1:$U$489,9,FALSE),0)</f>
        <v>0</v>
      </c>
      <c r="EV264" s="181">
        <f>IFERROR(VLOOKUP(I264,CEI_062018!$A$1:$U$489,9,FALSE),0)</f>
        <v>0</v>
      </c>
      <c r="EW264" s="181">
        <f>IFERROR(VLOOKUP(I264,CEI_072018!$A$1:$U$489,9,FALSE),0)</f>
        <v>0</v>
      </c>
      <c r="EX264" s="181">
        <f>IFERROR(VLOOKUP(I264,CEI_082018!$A$1:$U$489,9,FALSE),0)</f>
        <v>0</v>
      </c>
      <c r="EY264" s="181">
        <f>IFERROR(VLOOKUP(I264,CEI_092018!$A$1:$U$489,9,FALSE),0)</f>
        <v>0</v>
      </c>
      <c r="EZ264" s="181"/>
      <c r="FA264" s="181"/>
      <c r="FB264" s="181"/>
      <c r="FC264" s="181">
        <f>IFERROR(VLOOKUP(I264,CEI_092018!$A$1:$U$489,12,FALSE),0)</f>
        <v>148.70700073242187</v>
      </c>
      <c r="FD264" s="181">
        <f t="shared" si="133"/>
        <v>148.70700073242187</v>
      </c>
      <c r="FE264" s="181">
        <f t="shared" si="134"/>
        <v>300.29299926757812</v>
      </c>
      <c r="FF264"/>
      <c r="FG264"/>
      <c r="FH264"/>
      <c r="FI264"/>
      <c r="FJ264"/>
      <c r="FK264"/>
      <c r="FL264"/>
      <c r="FM264"/>
      <c r="FN264"/>
      <c r="FO264"/>
      <c r="FP264"/>
      <c r="FQ264"/>
      <c r="FR264"/>
      <c r="FS264"/>
      <c r="FT264"/>
      <c r="FU264"/>
      <c r="FV264"/>
      <c r="FW264"/>
      <c r="FX264"/>
      <c r="FY264"/>
      <c r="FZ264"/>
      <c r="GA264"/>
      <c r="GB264"/>
      <c r="GC264"/>
    </row>
    <row r="265" spans="1:185" ht="12.75" customHeight="1" x14ac:dyDescent="0.25">
      <c r="A265" s="202"/>
      <c r="B265" s="22" t="s">
        <v>57</v>
      </c>
      <c r="C265" s="34" t="s">
        <v>44</v>
      </c>
      <c r="D265" s="22" t="s">
        <v>1059</v>
      </c>
      <c r="E265" s="25" t="s">
        <v>1063</v>
      </c>
      <c r="F265" s="25" t="s">
        <v>1059</v>
      </c>
      <c r="G265" s="25" t="s">
        <v>1063</v>
      </c>
      <c r="H265" s="22" t="s">
        <v>56</v>
      </c>
      <c r="I265" s="423" t="s">
        <v>1050</v>
      </c>
      <c r="J265" s="37" t="s">
        <v>1389</v>
      </c>
      <c r="K265" s="23" t="s">
        <v>1022</v>
      </c>
      <c r="L265" s="23" t="s">
        <v>1053</v>
      </c>
      <c r="M265" s="23" t="s">
        <v>1054</v>
      </c>
      <c r="N265" s="23" t="s">
        <v>59</v>
      </c>
      <c r="O265" s="2">
        <v>110.67523956298828</v>
      </c>
      <c r="P265" s="2">
        <v>30</v>
      </c>
      <c r="Q265" s="2">
        <v>30</v>
      </c>
      <c r="R265" s="2">
        <v>31.8</v>
      </c>
      <c r="S265" s="2">
        <v>44.724759829101572</v>
      </c>
      <c r="T265" s="116">
        <f t="shared" si="143"/>
        <v>247.19999939208986</v>
      </c>
      <c r="U265" s="324">
        <v>0</v>
      </c>
      <c r="V265" s="324">
        <v>0</v>
      </c>
      <c r="W265" s="324">
        <v>92.7</v>
      </c>
      <c r="X265" s="324">
        <v>0</v>
      </c>
      <c r="Y265" s="324">
        <v>0</v>
      </c>
      <c r="Z265" s="324">
        <v>92.7</v>
      </c>
      <c r="AA265" s="324">
        <v>0</v>
      </c>
      <c r="AB265" s="324">
        <v>0</v>
      </c>
      <c r="AC265" s="324">
        <v>0</v>
      </c>
      <c r="AD265" s="324">
        <v>0</v>
      </c>
      <c r="AE265" s="324">
        <v>0</v>
      </c>
      <c r="AF265" s="324">
        <v>0</v>
      </c>
      <c r="AG265" s="140">
        <f t="shared" si="117"/>
        <v>185.4</v>
      </c>
      <c r="AH265" s="324">
        <v>0</v>
      </c>
      <c r="AI265" s="324">
        <v>0</v>
      </c>
      <c r="AJ265" s="324">
        <v>0</v>
      </c>
      <c r="AK265" s="324">
        <v>0</v>
      </c>
      <c r="AL265" s="324">
        <v>0</v>
      </c>
      <c r="AM265" s="324">
        <v>0</v>
      </c>
      <c r="AN265" s="324">
        <v>0</v>
      </c>
      <c r="AO265" s="324">
        <v>0</v>
      </c>
      <c r="AP265" s="324">
        <v>0</v>
      </c>
      <c r="AQ265" s="324">
        <v>0</v>
      </c>
      <c r="AR265" s="324">
        <v>0</v>
      </c>
      <c r="AS265" s="324">
        <v>0</v>
      </c>
      <c r="AT265" s="140">
        <f t="shared" si="118"/>
        <v>0</v>
      </c>
      <c r="AU265" s="324">
        <v>0</v>
      </c>
      <c r="AV265" s="324">
        <v>0</v>
      </c>
      <c r="AW265" s="324">
        <v>0</v>
      </c>
      <c r="AX265" s="324">
        <v>0</v>
      </c>
      <c r="AY265" s="324">
        <v>0</v>
      </c>
      <c r="AZ265" s="324">
        <v>0</v>
      </c>
      <c r="BA265" s="324">
        <v>0</v>
      </c>
      <c r="BB265" s="324">
        <v>0</v>
      </c>
      <c r="BC265" s="324">
        <v>0</v>
      </c>
      <c r="BD265" s="324">
        <v>0</v>
      </c>
      <c r="BE265" s="324">
        <v>0</v>
      </c>
      <c r="BF265" s="324">
        <v>0</v>
      </c>
      <c r="BG265" s="140">
        <f t="shared" si="119"/>
        <v>0</v>
      </c>
      <c r="BH265" s="324">
        <v>0</v>
      </c>
      <c r="BI265" s="324">
        <v>0</v>
      </c>
      <c r="BJ265" s="324">
        <v>0</v>
      </c>
      <c r="BK265" s="324">
        <v>0</v>
      </c>
      <c r="BL265" s="324">
        <v>0</v>
      </c>
      <c r="BM265" s="324">
        <v>0</v>
      </c>
      <c r="BN265" s="324">
        <v>0</v>
      </c>
      <c r="BO265" s="324">
        <v>0</v>
      </c>
      <c r="BP265" s="324">
        <v>0</v>
      </c>
      <c r="BQ265" s="324">
        <v>0</v>
      </c>
      <c r="BR265" s="324">
        <v>0</v>
      </c>
      <c r="BS265" s="324">
        <v>0</v>
      </c>
      <c r="BT265" s="140">
        <f t="shared" si="120"/>
        <v>0</v>
      </c>
      <c r="BU265" s="114">
        <f t="shared" si="121"/>
        <v>432.5999993920899</v>
      </c>
      <c r="BV265" s="372">
        <v>1</v>
      </c>
      <c r="BW265" s="372">
        <v>1</v>
      </c>
      <c r="BX265" s="372">
        <v>1</v>
      </c>
      <c r="BY265" s="372">
        <v>1</v>
      </c>
      <c r="BZ265" s="436">
        <f t="shared" si="142"/>
        <v>44.771537150145221</v>
      </c>
      <c r="CA265" s="428">
        <f>IFERROR((FD265/T265%),0)</f>
        <v>84.517275453287766</v>
      </c>
      <c r="CB265" s="7" t="s">
        <v>1700</v>
      </c>
      <c r="CC265" s="3">
        <v>0</v>
      </c>
      <c r="CD265" s="3">
        <v>0</v>
      </c>
      <c r="CE265" s="3">
        <v>0</v>
      </c>
      <c r="CF265" s="3">
        <v>0</v>
      </c>
      <c r="CG265" s="3">
        <v>0</v>
      </c>
      <c r="CH265" s="3">
        <v>115.03048543689319</v>
      </c>
      <c r="CI265" s="3">
        <v>84.969514563106799</v>
      </c>
      <c r="CJ265" s="3">
        <v>102.91262135922331</v>
      </c>
      <c r="CK265" s="3">
        <v>97.087378640776706</v>
      </c>
      <c r="CL265" s="3">
        <v>97.087378640776706</v>
      </c>
      <c r="CM265" s="3">
        <v>102.91262135922331</v>
      </c>
      <c r="CN265" s="3">
        <v>200</v>
      </c>
      <c r="CO265" s="4">
        <f t="shared" si="144"/>
        <v>800</v>
      </c>
      <c r="CP265" s="3">
        <v>0</v>
      </c>
      <c r="CQ265" s="3">
        <v>0</v>
      </c>
      <c r="CR265" s="3">
        <v>300</v>
      </c>
      <c r="CS265" s="3">
        <v>0</v>
      </c>
      <c r="CT265" s="3">
        <v>0</v>
      </c>
      <c r="CU265" s="3">
        <v>300</v>
      </c>
      <c r="CV265" s="3">
        <v>0</v>
      </c>
      <c r="CW265" s="3">
        <v>0</v>
      </c>
      <c r="CX265" s="3">
        <v>0</v>
      </c>
      <c r="CY265" s="3">
        <v>0</v>
      </c>
      <c r="CZ265" s="3">
        <v>0</v>
      </c>
      <c r="DA265" s="3">
        <v>0</v>
      </c>
      <c r="DB265" s="4">
        <f t="shared" si="145"/>
        <v>600</v>
      </c>
      <c r="DC265" s="3">
        <v>0</v>
      </c>
      <c r="DD265" s="3">
        <v>0</v>
      </c>
      <c r="DE265" s="3">
        <v>0</v>
      </c>
      <c r="DF265" s="3">
        <v>0</v>
      </c>
      <c r="DG265" s="3">
        <v>0</v>
      </c>
      <c r="DH265" s="3">
        <v>0</v>
      </c>
      <c r="DI265" s="3">
        <v>0</v>
      </c>
      <c r="DJ265" s="3">
        <v>0</v>
      </c>
      <c r="DK265" s="3">
        <v>0</v>
      </c>
      <c r="DL265" s="3">
        <v>0</v>
      </c>
      <c r="DM265" s="3">
        <v>0</v>
      </c>
      <c r="DN265" s="3">
        <v>0</v>
      </c>
      <c r="DO265" s="4">
        <f t="shared" si="146"/>
        <v>0</v>
      </c>
      <c r="DP265" s="3">
        <v>0</v>
      </c>
      <c r="DQ265" s="3">
        <v>0</v>
      </c>
      <c r="DR265" s="3">
        <v>0</v>
      </c>
      <c r="DS265" s="3">
        <v>0</v>
      </c>
      <c r="DT265" s="3">
        <v>0</v>
      </c>
      <c r="DU265" s="3">
        <v>0</v>
      </c>
      <c r="DV265" s="3">
        <v>0</v>
      </c>
      <c r="DW265" s="3">
        <v>0</v>
      </c>
      <c r="DX265" s="3">
        <v>0</v>
      </c>
      <c r="DY265" s="3">
        <v>0</v>
      </c>
      <c r="DZ265" s="3">
        <v>0</v>
      </c>
      <c r="EA265" s="3">
        <v>0</v>
      </c>
      <c r="EB265" s="4">
        <f t="shared" si="147"/>
        <v>0</v>
      </c>
      <c r="EC265" s="3">
        <v>0</v>
      </c>
      <c r="ED265" s="3">
        <v>0</v>
      </c>
      <c r="EE265" s="3">
        <v>0</v>
      </c>
      <c r="EF265" s="3">
        <v>0</v>
      </c>
      <c r="EG265" s="3">
        <v>0</v>
      </c>
      <c r="EH265" s="3">
        <v>0</v>
      </c>
      <c r="EI265" s="3">
        <v>0</v>
      </c>
      <c r="EJ265" s="3">
        <v>0</v>
      </c>
      <c r="EK265" s="3">
        <v>0</v>
      </c>
      <c r="EL265" s="3">
        <v>0</v>
      </c>
      <c r="EM265" s="3">
        <v>0</v>
      </c>
      <c r="EN265" s="3">
        <v>0</v>
      </c>
      <c r="EO265" s="4">
        <f t="shared" si="148"/>
        <v>0</v>
      </c>
      <c r="EP265" s="8">
        <f t="shared" si="149"/>
        <v>1400</v>
      </c>
      <c r="EQ265" s="181">
        <f>IFERROR(VLOOKUP(I265,CEI_012018!$A$1:$U$509,9,FALSE),0)</f>
        <v>0</v>
      </c>
      <c r="ER265" s="181">
        <f>IFERROR(VLOOKUP(I265,CEI_022018!$A$1:$U$509,9,FALSE),0)</f>
        <v>0</v>
      </c>
      <c r="ES265" s="181">
        <f>IFERROR(VLOOKUP(I265,CEI_032018!$A$1:$U$509,9,FALSE),0)</f>
        <v>0</v>
      </c>
      <c r="ET265" s="181">
        <f>IFERROR(VLOOKUP(I265,CEI_042018!$A$1:$U$491,9,FALSE),0)</f>
        <v>0</v>
      </c>
      <c r="EU265" s="181">
        <f>IFERROR(VLOOKUP(I265,CEI_052018!$A$1:$U$489,9,FALSE),0)</f>
        <v>0</v>
      </c>
      <c r="EV265" s="181">
        <f>IFERROR(VLOOKUP(I265,CEI_062018!$A$1:$U$489,9,FALSE),0)</f>
        <v>35.544418334960938</v>
      </c>
      <c r="EW265" s="181">
        <f>IFERROR(VLOOKUP(I265,CEI_072018!$A$1:$U$489,9,FALSE),0)</f>
        <v>72.401939392089844</v>
      </c>
      <c r="EX265" s="181">
        <f>IFERROR(VLOOKUP(I265,CEI_082018!$A$1:$U$489,9,FALSE),0)</f>
        <v>110.67523956298828</v>
      </c>
      <c r="EY265" s="181">
        <f>IFERROR(VLOOKUP(I265,CEI_092018!$A$1:$U$489,9,FALSE),0)</f>
        <v>110.67523956298828</v>
      </c>
      <c r="EZ265" s="181"/>
      <c r="FA265" s="181"/>
      <c r="FB265" s="181"/>
      <c r="FC265" s="181">
        <f>IFERROR(VLOOKUP(I265,CEI_092018!$A$1:$U$489,12,FALSE),0)</f>
        <v>136.52476501464844</v>
      </c>
      <c r="FD265" s="181">
        <f t="shared" si="133"/>
        <v>208.92670440673828</v>
      </c>
      <c r="FE265" s="181">
        <f t="shared" si="134"/>
        <v>38.273294985351583</v>
      </c>
      <c r="FF265"/>
      <c r="FG265"/>
      <c r="FH265"/>
      <c r="FI265"/>
      <c r="FJ265"/>
      <c r="FK265"/>
      <c r="FL265"/>
      <c r="FM265"/>
      <c r="FN265"/>
      <c r="FO265"/>
      <c r="FP265"/>
      <c r="FQ265"/>
      <c r="FR265"/>
      <c r="FS265"/>
      <c r="FT265"/>
      <c r="FU265"/>
      <c r="FV265"/>
      <c r="FW265"/>
      <c r="FX265"/>
      <c r="FY265"/>
      <c r="FZ265"/>
      <c r="GA265"/>
      <c r="GB265"/>
      <c r="GC265"/>
    </row>
    <row r="266" spans="1:185" ht="12.75" customHeight="1" x14ac:dyDescent="0.25">
      <c r="A266" s="202"/>
      <c r="B266" s="22" t="s">
        <v>57</v>
      </c>
      <c r="C266" s="34" t="s">
        <v>44</v>
      </c>
      <c r="D266" s="22" t="s">
        <v>1059</v>
      </c>
      <c r="E266" s="25" t="s">
        <v>1063</v>
      </c>
      <c r="F266" s="25" t="s">
        <v>1059</v>
      </c>
      <c r="G266" s="25" t="s">
        <v>1063</v>
      </c>
      <c r="H266" s="22" t="s">
        <v>56</v>
      </c>
      <c r="I266" s="423" t="s">
        <v>1051</v>
      </c>
      <c r="J266" s="37" t="s">
        <v>1385</v>
      </c>
      <c r="K266" s="23" t="s">
        <v>1024</v>
      </c>
      <c r="L266" s="23" t="s">
        <v>1055</v>
      </c>
      <c r="M266" s="23" t="s">
        <v>1056</v>
      </c>
      <c r="N266" s="23" t="s">
        <v>59</v>
      </c>
      <c r="O266" s="2">
        <v>108.51967239379883</v>
      </c>
      <c r="P266" s="2">
        <v>26</v>
      </c>
      <c r="Q266" s="2">
        <v>0</v>
      </c>
      <c r="R266" s="2">
        <v>39</v>
      </c>
      <c r="S266" s="2">
        <v>0</v>
      </c>
      <c r="T266" s="116">
        <f t="shared" si="143"/>
        <v>173.51967239379883</v>
      </c>
      <c r="U266" s="324">
        <v>14</v>
      </c>
      <c r="V266" s="324">
        <v>0</v>
      </c>
      <c r="W266" s="324">
        <v>20</v>
      </c>
      <c r="X266" s="324">
        <v>15</v>
      </c>
      <c r="Y266" s="324">
        <v>15</v>
      </c>
      <c r="Z266" s="324">
        <v>30</v>
      </c>
      <c r="AA266" s="324">
        <v>30</v>
      </c>
      <c r="AB266" s="324">
        <v>20</v>
      </c>
      <c r="AC266" s="324">
        <v>20</v>
      </c>
      <c r="AD266" s="324">
        <v>20</v>
      </c>
      <c r="AE266" s="324">
        <v>20</v>
      </c>
      <c r="AF266" s="324">
        <v>24</v>
      </c>
      <c r="AG266" s="140">
        <f t="shared" ref="AG266:AG318" si="150">SUM(U266:AF266)</f>
        <v>228</v>
      </c>
      <c r="AH266" s="324">
        <v>0</v>
      </c>
      <c r="AI266" s="324">
        <v>0</v>
      </c>
      <c r="AJ266" s="324">
        <v>0</v>
      </c>
      <c r="AK266" s="324">
        <v>0</v>
      </c>
      <c r="AL266" s="324">
        <v>0</v>
      </c>
      <c r="AM266" s="324">
        <v>0</v>
      </c>
      <c r="AN266" s="324">
        <v>0</v>
      </c>
      <c r="AO266" s="324">
        <v>0</v>
      </c>
      <c r="AP266" s="324">
        <v>0</v>
      </c>
      <c r="AQ266" s="324">
        <v>0</v>
      </c>
      <c r="AR266" s="324">
        <v>0</v>
      </c>
      <c r="AS266" s="324">
        <v>0</v>
      </c>
      <c r="AT266" s="140">
        <f t="shared" ref="AT266:AT317" si="151">SUM(AH266:AS266)</f>
        <v>0</v>
      </c>
      <c r="AU266" s="324">
        <v>0</v>
      </c>
      <c r="AV266" s="324">
        <v>0</v>
      </c>
      <c r="AW266" s="324">
        <v>0</v>
      </c>
      <c r="AX266" s="324">
        <v>0</v>
      </c>
      <c r="AY266" s="324">
        <v>0</v>
      </c>
      <c r="AZ266" s="324">
        <v>0</v>
      </c>
      <c r="BA266" s="324">
        <v>0</v>
      </c>
      <c r="BB266" s="324">
        <v>0</v>
      </c>
      <c r="BC266" s="324">
        <v>0</v>
      </c>
      <c r="BD266" s="324">
        <v>0</v>
      </c>
      <c r="BE266" s="324">
        <v>0</v>
      </c>
      <c r="BF266" s="324">
        <v>0</v>
      </c>
      <c r="BG266" s="140">
        <f t="shared" ref="BG266:BG317" si="152">SUM(AU266:BF266)</f>
        <v>0</v>
      </c>
      <c r="BH266" s="324">
        <v>0</v>
      </c>
      <c r="BI266" s="324">
        <v>0</v>
      </c>
      <c r="BJ266" s="324">
        <v>0</v>
      </c>
      <c r="BK266" s="324">
        <v>0</v>
      </c>
      <c r="BL266" s="324">
        <v>0</v>
      </c>
      <c r="BM266" s="324">
        <v>0</v>
      </c>
      <c r="BN266" s="324">
        <v>0</v>
      </c>
      <c r="BO266" s="324">
        <v>0</v>
      </c>
      <c r="BP266" s="324">
        <v>0</v>
      </c>
      <c r="BQ266" s="324">
        <v>0</v>
      </c>
      <c r="BR266" s="324">
        <v>0</v>
      </c>
      <c r="BS266" s="324">
        <v>0</v>
      </c>
      <c r="BT266" s="140">
        <f t="shared" ref="BT266:BT318" si="153">SUM(BH266:BS266)</f>
        <v>0</v>
      </c>
      <c r="BU266" s="114">
        <f t="shared" ref="BU266:BU318" si="154">SUM(BT266,BG266,AT266,AG266,T266)</f>
        <v>401.51967239379883</v>
      </c>
      <c r="BV266" s="372">
        <v>1</v>
      </c>
      <c r="BW266" s="372">
        <v>1</v>
      </c>
      <c r="BX266" s="372">
        <v>1</v>
      </c>
      <c r="BY266" s="372">
        <v>1</v>
      </c>
      <c r="BZ266" s="436">
        <f t="shared" si="142"/>
        <v>62.540270446981928</v>
      </c>
      <c r="CA266" s="428">
        <f>IFERROR((FD266/T266%),0)</f>
        <v>160.27113464880108</v>
      </c>
      <c r="CB266" s="7" t="s">
        <v>1700</v>
      </c>
      <c r="CC266" s="3">
        <v>0</v>
      </c>
      <c r="CD266" s="3">
        <v>0</v>
      </c>
      <c r="CE266" s="3">
        <v>144.25825242718446</v>
      </c>
      <c r="CF266" s="3">
        <v>0</v>
      </c>
      <c r="CG266" s="3">
        <v>206.93809061488673</v>
      </c>
      <c r="CH266" s="3">
        <v>0</v>
      </c>
      <c r="CI266" s="3">
        <v>126.21359223300971</v>
      </c>
      <c r="CJ266" s="3">
        <v>0</v>
      </c>
      <c r="CK266" s="3">
        <v>126.21359223300971</v>
      </c>
      <c r="CL266" s="3">
        <v>97.087378640776706</v>
      </c>
      <c r="CM266" s="3">
        <v>97.087378640776706</v>
      </c>
      <c r="CN266" s="3">
        <v>102.20171521035597</v>
      </c>
      <c r="CO266" s="4">
        <f t="shared" si="144"/>
        <v>899.99999999999989</v>
      </c>
      <c r="CP266" s="3">
        <v>45.307443365695796</v>
      </c>
      <c r="CQ266" s="3">
        <v>0</v>
      </c>
      <c r="CR266" s="3">
        <v>64.724919093851128</v>
      </c>
      <c r="CS266" s="3">
        <v>48.543689320388353</v>
      </c>
      <c r="CT266" s="3">
        <v>48.543689320388353</v>
      </c>
      <c r="CU266" s="3">
        <v>97.087378640776706</v>
      </c>
      <c r="CV266" s="3">
        <v>97.087378640776706</v>
      </c>
      <c r="CW266" s="3">
        <v>0</v>
      </c>
      <c r="CX266" s="3">
        <v>0</v>
      </c>
      <c r="CY266" s="3">
        <v>0</v>
      </c>
      <c r="CZ266" s="3">
        <v>0</v>
      </c>
      <c r="DA266" s="3">
        <v>0</v>
      </c>
      <c r="DB266" s="4">
        <f t="shared" si="145"/>
        <v>401.29449838187702</v>
      </c>
      <c r="DC266" s="3">
        <v>0</v>
      </c>
      <c r="DD266" s="3">
        <v>0</v>
      </c>
      <c r="DE266" s="3">
        <v>0</v>
      </c>
      <c r="DF266" s="3">
        <v>0</v>
      </c>
      <c r="DG266" s="3">
        <v>0</v>
      </c>
      <c r="DH266" s="3">
        <v>0</v>
      </c>
      <c r="DI266" s="3">
        <v>0</v>
      </c>
      <c r="DJ266" s="3">
        <v>0</v>
      </c>
      <c r="DK266" s="3">
        <v>0</v>
      </c>
      <c r="DL266" s="3">
        <v>0</v>
      </c>
      <c r="DM266" s="3">
        <v>0</v>
      </c>
      <c r="DN266" s="3">
        <v>0</v>
      </c>
      <c r="DO266" s="4">
        <f t="shared" si="146"/>
        <v>0</v>
      </c>
      <c r="DP266" s="3">
        <v>0</v>
      </c>
      <c r="DQ266" s="3">
        <v>0</v>
      </c>
      <c r="DR266" s="3">
        <v>0</v>
      </c>
      <c r="DS266" s="3">
        <v>0</v>
      </c>
      <c r="DT266" s="3">
        <v>0</v>
      </c>
      <c r="DU266" s="3">
        <v>0</v>
      </c>
      <c r="DV266" s="3">
        <v>0</v>
      </c>
      <c r="DW266" s="3">
        <v>0</v>
      </c>
      <c r="DX266" s="3">
        <v>0</v>
      </c>
      <c r="DY266" s="3">
        <v>0</v>
      </c>
      <c r="DZ266" s="3">
        <v>0</v>
      </c>
      <c r="EA266" s="3">
        <v>0</v>
      </c>
      <c r="EB266" s="4">
        <f t="shared" si="147"/>
        <v>0</v>
      </c>
      <c r="EC266" s="3">
        <v>0</v>
      </c>
      <c r="ED266" s="3">
        <v>0</v>
      </c>
      <c r="EE266" s="3">
        <v>0</v>
      </c>
      <c r="EF266" s="3">
        <v>0</v>
      </c>
      <c r="EG266" s="3">
        <v>0</v>
      </c>
      <c r="EH266" s="3">
        <v>0</v>
      </c>
      <c r="EI266" s="3">
        <v>0</v>
      </c>
      <c r="EJ266" s="3">
        <v>0</v>
      </c>
      <c r="EK266" s="3">
        <v>0</v>
      </c>
      <c r="EL266" s="3">
        <v>0</v>
      </c>
      <c r="EM266" s="3">
        <v>0</v>
      </c>
      <c r="EN266" s="3">
        <v>0</v>
      </c>
      <c r="EO266" s="4">
        <f t="shared" si="148"/>
        <v>0</v>
      </c>
      <c r="EP266" s="8">
        <f t="shared" si="149"/>
        <v>1301.294498381877</v>
      </c>
      <c r="EQ266" s="181">
        <f>IFERROR(VLOOKUP(I266,CEI_012018!$A$1:$U$509,9,FALSE),0)</f>
        <v>0</v>
      </c>
      <c r="ER266" s="181">
        <f>IFERROR(VLOOKUP(I266,CEI_022018!$A$1:$U$509,9,FALSE),0)</f>
        <v>0</v>
      </c>
      <c r="ES266" s="181">
        <f>IFERROR(VLOOKUP(I266,CEI_032018!$A$1:$U$509,9,FALSE),0)</f>
        <v>44.575801849365234</v>
      </c>
      <c r="ET266" s="181">
        <f>IFERROR(VLOOKUP(I266,CEI_042018!$A$1:$U$491,9,FALSE),0)</f>
        <v>44.575801849365234</v>
      </c>
      <c r="EU266" s="181">
        <f>IFERROR(VLOOKUP(I266,CEI_052018!$A$1:$U$489,9,FALSE),0)</f>
        <v>108.51967239379883</v>
      </c>
      <c r="EV266" s="181">
        <f>IFERROR(VLOOKUP(I266,CEI_062018!$A$1:$U$489,9,FALSE),0)</f>
        <v>108.51967239379883</v>
      </c>
      <c r="EW266" s="181">
        <f>IFERROR(VLOOKUP(I266,CEI_072018!$A$1:$U$489,9,FALSE),0)</f>
        <v>108.51967239379883</v>
      </c>
      <c r="EX266" s="181">
        <f>IFERROR(VLOOKUP(I266,CEI_082018!$A$1:$U$489,9,FALSE),0)</f>
        <v>108.51967239379883</v>
      </c>
      <c r="EY266" s="181">
        <f>IFERROR(VLOOKUP(I266,CEI_092018!$A$1:$U$489,9,FALSE),0)</f>
        <v>108.51967239379883</v>
      </c>
      <c r="EZ266" s="181"/>
      <c r="FA266" s="181"/>
      <c r="FB266" s="181"/>
      <c r="FC266" s="181">
        <f>IFERROR(VLOOKUP(I266,CEI_092018!$A$1:$U$489,12,FALSE),0)</f>
        <v>169.582275390625</v>
      </c>
      <c r="FD266" s="181">
        <f t="shared" si="133"/>
        <v>278.10194778442383</v>
      </c>
      <c r="FE266" s="181">
        <f t="shared" si="134"/>
        <v>-104.582275390625</v>
      </c>
      <c r="FF266"/>
      <c r="FG266"/>
      <c r="FH266"/>
      <c r="FI266"/>
      <c r="FJ266"/>
      <c r="FK266"/>
      <c r="FL266"/>
      <c r="FM266"/>
      <c r="FN266"/>
      <c r="FO266"/>
      <c r="FP266"/>
      <c r="FQ266"/>
      <c r="FR266"/>
      <c r="FS266"/>
      <c r="FT266"/>
      <c r="FU266"/>
      <c r="FV266"/>
      <c r="FW266"/>
      <c r="FX266"/>
      <c r="FY266"/>
      <c r="FZ266"/>
      <c r="GA266"/>
      <c r="GB266"/>
      <c r="GC266"/>
    </row>
    <row r="267" spans="1:185" ht="12.75" customHeight="1" x14ac:dyDescent="0.25">
      <c r="A267" s="202"/>
      <c r="B267" s="22" t="s">
        <v>57</v>
      </c>
      <c r="C267" s="34" t="s">
        <v>44</v>
      </c>
      <c r="D267" s="22" t="s">
        <v>1059</v>
      </c>
      <c r="E267" s="25" t="s">
        <v>1063</v>
      </c>
      <c r="F267" s="25" t="s">
        <v>1059</v>
      </c>
      <c r="G267" s="25" t="s">
        <v>1063</v>
      </c>
      <c r="H267" s="22" t="s">
        <v>56</v>
      </c>
      <c r="I267" s="423" t="s">
        <v>565</v>
      </c>
      <c r="J267" s="37" t="s">
        <v>59</v>
      </c>
      <c r="K267" s="23" t="s">
        <v>412</v>
      </c>
      <c r="L267" s="23" t="s">
        <v>784</v>
      </c>
      <c r="M267" s="23" t="s">
        <v>785</v>
      </c>
      <c r="N267" s="23" t="s">
        <v>1872</v>
      </c>
      <c r="O267" s="2">
        <v>0</v>
      </c>
      <c r="P267" s="2">
        <v>0</v>
      </c>
      <c r="Q267" s="2">
        <v>0</v>
      </c>
      <c r="R267" s="2">
        <v>0</v>
      </c>
      <c r="S267" s="2">
        <v>0</v>
      </c>
      <c r="T267" s="116">
        <f t="shared" si="143"/>
        <v>0</v>
      </c>
      <c r="U267" s="324">
        <v>0</v>
      </c>
      <c r="V267" s="324">
        <v>0</v>
      </c>
      <c r="W267" s="324">
        <v>0</v>
      </c>
      <c r="X267" s="324">
        <v>0</v>
      </c>
      <c r="Y267" s="324">
        <v>0</v>
      </c>
      <c r="Z267" s="324">
        <v>0</v>
      </c>
      <c r="AA267" s="324">
        <v>0</v>
      </c>
      <c r="AB267" s="324">
        <v>0</v>
      </c>
      <c r="AC267" s="324">
        <v>0</v>
      </c>
      <c r="AD267" s="324">
        <v>0</v>
      </c>
      <c r="AE267" s="324">
        <v>0</v>
      </c>
      <c r="AF267" s="324">
        <v>0</v>
      </c>
      <c r="AG267" s="140">
        <f t="shared" si="150"/>
        <v>0</v>
      </c>
      <c r="AH267" s="324">
        <v>0</v>
      </c>
      <c r="AI267" s="324">
        <v>0</v>
      </c>
      <c r="AJ267" s="324">
        <v>0</v>
      </c>
      <c r="AK267" s="324">
        <v>0</v>
      </c>
      <c r="AL267" s="324">
        <v>0</v>
      </c>
      <c r="AM267" s="324">
        <v>0</v>
      </c>
      <c r="AN267" s="324">
        <v>200</v>
      </c>
      <c r="AO267" s="324">
        <v>0</v>
      </c>
      <c r="AP267" s="324">
        <v>0</v>
      </c>
      <c r="AQ267" s="324">
        <v>0</v>
      </c>
      <c r="AR267" s="324">
        <v>0</v>
      </c>
      <c r="AS267" s="324">
        <v>0</v>
      </c>
      <c r="AT267" s="140">
        <f t="shared" si="151"/>
        <v>200</v>
      </c>
      <c r="AU267" s="324">
        <v>0</v>
      </c>
      <c r="AV267" s="324">
        <v>0</v>
      </c>
      <c r="AW267" s="324">
        <v>0</v>
      </c>
      <c r="AX267" s="324">
        <v>0</v>
      </c>
      <c r="AY267" s="324">
        <v>0</v>
      </c>
      <c r="AZ267" s="324">
        <v>0</v>
      </c>
      <c r="BA267" s="324">
        <v>200</v>
      </c>
      <c r="BB267" s="324">
        <v>0</v>
      </c>
      <c r="BC267" s="324">
        <v>0</v>
      </c>
      <c r="BD267" s="324">
        <v>0</v>
      </c>
      <c r="BE267" s="324">
        <v>0</v>
      </c>
      <c r="BF267" s="324">
        <v>0</v>
      </c>
      <c r="BG267" s="140">
        <f t="shared" si="152"/>
        <v>200</v>
      </c>
      <c r="BH267" s="324">
        <v>0</v>
      </c>
      <c r="BI267" s="324">
        <v>0</v>
      </c>
      <c r="BJ267" s="324">
        <v>0</v>
      </c>
      <c r="BK267" s="324">
        <v>0</v>
      </c>
      <c r="BL267" s="324">
        <v>0</v>
      </c>
      <c r="BM267" s="324">
        <v>0</v>
      </c>
      <c r="BN267" s="324">
        <v>0</v>
      </c>
      <c r="BO267" s="324">
        <v>0</v>
      </c>
      <c r="BP267" s="324">
        <v>0</v>
      </c>
      <c r="BQ267" s="324">
        <v>0</v>
      </c>
      <c r="BR267" s="324">
        <v>0</v>
      </c>
      <c r="BS267" s="324">
        <v>0</v>
      </c>
      <c r="BT267" s="140">
        <f t="shared" si="153"/>
        <v>0</v>
      </c>
      <c r="BU267" s="114">
        <f t="shared" si="154"/>
        <v>400</v>
      </c>
      <c r="BV267" s="432"/>
      <c r="BW267" s="432"/>
      <c r="BX267" s="432"/>
      <c r="BY267" s="432"/>
      <c r="BZ267" s="433"/>
      <c r="CA267" s="434"/>
      <c r="CB267" s="7" t="s">
        <v>1702</v>
      </c>
      <c r="CC267" s="3">
        <v>0</v>
      </c>
      <c r="CD267" s="3">
        <v>0</v>
      </c>
      <c r="CE267" s="3">
        <v>0</v>
      </c>
      <c r="CF267" s="3">
        <v>0</v>
      </c>
      <c r="CG267" s="3">
        <v>0</v>
      </c>
      <c r="CH267" s="3">
        <v>0</v>
      </c>
      <c r="CI267" s="3">
        <v>0</v>
      </c>
      <c r="CJ267" s="3">
        <v>0</v>
      </c>
      <c r="CK267" s="3">
        <v>0</v>
      </c>
      <c r="CL267" s="3">
        <v>0</v>
      </c>
      <c r="CM267" s="3">
        <v>0</v>
      </c>
      <c r="CN267" s="3">
        <v>0</v>
      </c>
      <c r="CO267" s="4">
        <f t="shared" si="144"/>
        <v>0</v>
      </c>
      <c r="CP267" s="3">
        <v>0</v>
      </c>
      <c r="CQ267" s="3">
        <v>0</v>
      </c>
      <c r="CR267" s="3">
        <v>0</v>
      </c>
      <c r="CS267" s="3">
        <v>0</v>
      </c>
      <c r="CT267" s="3">
        <v>0</v>
      </c>
      <c r="CU267" s="3">
        <v>0</v>
      </c>
      <c r="CV267" s="3">
        <v>0</v>
      </c>
      <c r="CW267" s="3">
        <v>0</v>
      </c>
      <c r="CX267" s="3">
        <v>0</v>
      </c>
      <c r="CY267" s="3">
        <v>0</v>
      </c>
      <c r="CZ267" s="3">
        <v>0</v>
      </c>
      <c r="DA267" s="3">
        <v>0</v>
      </c>
      <c r="DB267" s="4">
        <f t="shared" si="145"/>
        <v>0</v>
      </c>
      <c r="DC267" s="3">
        <v>0</v>
      </c>
      <c r="DD267" s="3">
        <v>0</v>
      </c>
      <c r="DE267" s="3">
        <v>0</v>
      </c>
      <c r="DF267" s="3">
        <v>0</v>
      </c>
      <c r="DG267" s="3">
        <v>0</v>
      </c>
      <c r="DH267" s="3">
        <v>0</v>
      </c>
      <c r="DI267" s="3">
        <v>10</v>
      </c>
      <c r="DJ267" s="3">
        <v>0</v>
      </c>
      <c r="DK267" s="3">
        <v>0</v>
      </c>
      <c r="DL267" s="3">
        <v>0</v>
      </c>
      <c r="DM267" s="3">
        <v>0</v>
      </c>
      <c r="DN267" s="3">
        <v>0</v>
      </c>
      <c r="DO267" s="4">
        <f t="shared" si="146"/>
        <v>10</v>
      </c>
      <c r="DP267" s="3">
        <v>0</v>
      </c>
      <c r="DQ267" s="3">
        <v>0</v>
      </c>
      <c r="DR267" s="3">
        <v>0</v>
      </c>
      <c r="DS267" s="3">
        <v>0</v>
      </c>
      <c r="DT267" s="3">
        <v>0</v>
      </c>
      <c r="DU267" s="3">
        <v>0</v>
      </c>
      <c r="DV267" s="3">
        <v>10</v>
      </c>
      <c r="DW267" s="3">
        <v>0</v>
      </c>
      <c r="DX267" s="3">
        <v>0</v>
      </c>
      <c r="DY267" s="3">
        <v>0</v>
      </c>
      <c r="DZ267" s="3">
        <v>0</v>
      </c>
      <c r="EA267" s="3">
        <v>0</v>
      </c>
      <c r="EB267" s="4">
        <f t="shared" si="147"/>
        <v>10</v>
      </c>
      <c r="EC267" s="3">
        <v>0</v>
      </c>
      <c r="ED267" s="3">
        <v>0</v>
      </c>
      <c r="EE267" s="3">
        <v>0</v>
      </c>
      <c r="EF267" s="3">
        <v>0</v>
      </c>
      <c r="EG267" s="3">
        <v>0</v>
      </c>
      <c r="EH267" s="3">
        <v>0</v>
      </c>
      <c r="EI267" s="3">
        <v>0</v>
      </c>
      <c r="EJ267" s="3">
        <v>0</v>
      </c>
      <c r="EK267" s="3">
        <v>0</v>
      </c>
      <c r="EL267" s="3">
        <v>0</v>
      </c>
      <c r="EM267" s="3">
        <v>0</v>
      </c>
      <c r="EN267" s="3">
        <v>0</v>
      </c>
      <c r="EO267" s="4">
        <f t="shared" si="148"/>
        <v>0</v>
      </c>
      <c r="EP267" s="8">
        <f t="shared" si="149"/>
        <v>20</v>
      </c>
      <c r="EQ267" s="181">
        <f>IFERROR(VLOOKUP(I267,CEI_012018!$A$1:$U$509,9,FALSE),0)</f>
        <v>0</v>
      </c>
      <c r="ER267" s="181">
        <f>IFERROR(VLOOKUP(I267,CEI_022018!$A$1:$U$509,9,FALSE),0)</f>
        <v>0</v>
      </c>
      <c r="ES267" s="181">
        <f>IFERROR(VLOOKUP(I267,CEI_032018!$A$1:$U$509,9,FALSE),0)</f>
        <v>0</v>
      </c>
      <c r="ET267" s="181">
        <f>IFERROR(VLOOKUP(I267,CEI_042018!$A$1:$U$491,9,FALSE),0)</f>
        <v>0</v>
      </c>
      <c r="EU267" s="181">
        <f>IFERROR(VLOOKUP(I267,CEI_052018!$A$1:$U$489,9,FALSE),0)</f>
        <v>0</v>
      </c>
      <c r="EV267" s="181">
        <f>IFERROR(VLOOKUP(I267,CEI_062018!$A$1:$U$489,9,FALSE),0)</f>
        <v>0</v>
      </c>
      <c r="EW267" s="181">
        <f>IFERROR(VLOOKUP(I267,CEI_072018!$A$1:$U$489,9,FALSE),0)</f>
        <v>0</v>
      </c>
      <c r="EX267" s="181">
        <f>IFERROR(VLOOKUP(I267,CEI_082018!$A$1:$U$489,9,FALSE),0)</f>
        <v>0</v>
      </c>
      <c r="EY267" s="181">
        <f>IFERROR(VLOOKUP(I267,CEI_092018!$A$1:$U$489,9,FALSE),0)</f>
        <v>0</v>
      </c>
      <c r="EZ267" s="181"/>
      <c r="FA267" s="181"/>
      <c r="FB267" s="181"/>
      <c r="FC267" s="181">
        <f>IFERROR(VLOOKUP(I267,CEI_092018!$A$1:$U$489,12,FALSE),0)</f>
        <v>0</v>
      </c>
      <c r="FD267" s="181">
        <f t="shared" si="133"/>
        <v>0</v>
      </c>
      <c r="FE267" s="181">
        <f t="shared" si="134"/>
        <v>0</v>
      </c>
      <c r="FF267"/>
      <c r="FG267"/>
      <c r="FH267"/>
      <c r="FI267"/>
      <c r="FJ267"/>
      <c r="FK267"/>
      <c r="FL267"/>
      <c r="FM267"/>
      <c r="FN267"/>
      <c r="FO267"/>
      <c r="FP267"/>
      <c r="FQ267"/>
      <c r="FR267"/>
      <c r="FS267"/>
      <c r="FT267"/>
      <c r="FU267"/>
      <c r="FV267"/>
      <c r="FW267"/>
      <c r="FX267"/>
      <c r="FY267"/>
      <c r="FZ267"/>
      <c r="GA267"/>
      <c r="GB267"/>
      <c r="GC267"/>
    </row>
    <row r="268" spans="1:185" ht="12.75" customHeight="1" x14ac:dyDescent="0.25">
      <c r="A268" s="202"/>
      <c r="B268" s="22" t="s">
        <v>57</v>
      </c>
      <c r="C268" s="34" t="s">
        <v>44</v>
      </c>
      <c r="D268" s="22" t="s">
        <v>1059</v>
      </c>
      <c r="E268" s="25" t="s">
        <v>1063</v>
      </c>
      <c r="F268" s="25" t="s">
        <v>1059</v>
      </c>
      <c r="G268" s="25" t="s">
        <v>1063</v>
      </c>
      <c r="H268" s="22" t="s">
        <v>56</v>
      </c>
      <c r="I268" s="423" t="s">
        <v>565</v>
      </c>
      <c r="J268" s="37" t="s">
        <v>59</v>
      </c>
      <c r="K268" s="23" t="s">
        <v>1020</v>
      </c>
      <c r="L268" s="23" t="s">
        <v>1021</v>
      </c>
      <c r="M268" s="23"/>
      <c r="N268" s="23" t="s">
        <v>1888</v>
      </c>
      <c r="O268" s="2">
        <v>0</v>
      </c>
      <c r="P268" s="2">
        <v>0</v>
      </c>
      <c r="Q268" s="2">
        <v>0</v>
      </c>
      <c r="R268" s="2">
        <v>0</v>
      </c>
      <c r="S268" s="2">
        <v>0</v>
      </c>
      <c r="T268" s="116">
        <f t="shared" si="143"/>
        <v>0</v>
      </c>
      <c r="U268" s="324">
        <v>400</v>
      </c>
      <c r="V268" s="324">
        <v>0</v>
      </c>
      <c r="W268" s="324">
        <v>0</v>
      </c>
      <c r="X268" s="324">
        <v>0</v>
      </c>
      <c r="Y268" s="324">
        <v>0</v>
      </c>
      <c r="Z268" s="324">
        <v>0</v>
      </c>
      <c r="AA268" s="324">
        <v>0</v>
      </c>
      <c r="AB268" s="324">
        <v>0</v>
      </c>
      <c r="AC268" s="324">
        <v>0</v>
      </c>
      <c r="AD268" s="324">
        <v>0</v>
      </c>
      <c r="AE268" s="324">
        <v>0</v>
      </c>
      <c r="AF268" s="324">
        <v>0</v>
      </c>
      <c r="AG268" s="140">
        <f t="shared" si="150"/>
        <v>400</v>
      </c>
      <c r="AH268" s="324">
        <v>0</v>
      </c>
      <c r="AI268" s="324">
        <v>0</v>
      </c>
      <c r="AJ268" s="324">
        <v>0</v>
      </c>
      <c r="AK268" s="324">
        <v>0</v>
      </c>
      <c r="AL268" s="324">
        <v>0</v>
      </c>
      <c r="AM268" s="324">
        <v>0</v>
      </c>
      <c r="AN268" s="324">
        <v>0</v>
      </c>
      <c r="AO268" s="324">
        <v>0</v>
      </c>
      <c r="AP268" s="324">
        <v>0</v>
      </c>
      <c r="AQ268" s="324">
        <v>0</v>
      </c>
      <c r="AR268" s="324">
        <v>0</v>
      </c>
      <c r="AS268" s="324">
        <v>0</v>
      </c>
      <c r="AT268" s="140">
        <f t="shared" si="151"/>
        <v>0</v>
      </c>
      <c r="AU268" s="324">
        <v>0</v>
      </c>
      <c r="AV268" s="324">
        <v>0</v>
      </c>
      <c r="AW268" s="324">
        <v>0</v>
      </c>
      <c r="AX268" s="324">
        <v>0</v>
      </c>
      <c r="AY268" s="324">
        <v>0</v>
      </c>
      <c r="AZ268" s="324">
        <v>0</v>
      </c>
      <c r="BA268" s="324">
        <v>0</v>
      </c>
      <c r="BB268" s="324">
        <v>0</v>
      </c>
      <c r="BC268" s="324">
        <v>0</v>
      </c>
      <c r="BD268" s="324">
        <v>0</v>
      </c>
      <c r="BE268" s="324">
        <v>0</v>
      </c>
      <c r="BF268" s="324">
        <v>0</v>
      </c>
      <c r="BG268" s="140">
        <f t="shared" si="152"/>
        <v>0</v>
      </c>
      <c r="BH268" s="324">
        <v>0</v>
      </c>
      <c r="BI268" s="324">
        <v>0</v>
      </c>
      <c r="BJ268" s="324">
        <v>0</v>
      </c>
      <c r="BK268" s="324">
        <v>0</v>
      </c>
      <c r="BL268" s="324">
        <v>0</v>
      </c>
      <c r="BM268" s="324">
        <v>0</v>
      </c>
      <c r="BN268" s="324">
        <v>0</v>
      </c>
      <c r="BO268" s="324">
        <v>0</v>
      </c>
      <c r="BP268" s="324">
        <v>0</v>
      </c>
      <c r="BQ268" s="324">
        <v>0</v>
      </c>
      <c r="BR268" s="324">
        <v>0</v>
      </c>
      <c r="BS268" s="324">
        <v>0</v>
      </c>
      <c r="BT268" s="140">
        <f t="shared" si="153"/>
        <v>0</v>
      </c>
      <c r="BU268" s="114">
        <f t="shared" si="154"/>
        <v>400</v>
      </c>
      <c r="BV268" s="432"/>
      <c r="BW268" s="432"/>
      <c r="BX268" s="432"/>
      <c r="BY268" s="432"/>
      <c r="BZ268" s="433"/>
      <c r="CA268" s="434"/>
      <c r="CB268" s="7" t="s">
        <v>1699</v>
      </c>
      <c r="CC268" s="3">
        <v>0</v>
      </c>
      <c r="CD268" s="3">
        <v>0</v>
      </c>
      <c r="CE268" s="3">
        <v>0</v>
      </c>
      <c r="CF268" s="3">
        <v>0</v>
      </c>
      <c r="CG268" s="3">
        <v>0</v>
      </c>
      <c r="CH268" s="3">
        <v>0</v>
      </c>
      <c r="CI268" s="3">
        <v>0</v>
      </c>
      <c r="CJ268" s="3">
        <v>0</v>
      </c>
      <c r="CK268" s="3">
        <v>0</v>
      </c>
      <c r="CL268" s="3">
        <v>0</v>
      </c>
      <c r="CM268" s="3">
        <v>0</v>
      </c>
      <c r="CN268" s="3">
        <v>0</v>
      </c>
      <c r="CO268" s="4">
        <f t="shared" si="144"/>
        <v>0</v>
      </c>
      <c r="CP268" s="3">
        <v>1</v>
      </c>
      <c r="CQ268" s="3">
        <v>0</v>
      </c>
      <c r="CR268" s="3">
        <v>0</v>
      </c>
      <c r="CS268" s="3">
        <v>0</v>
      </c>
      <c r="CT268" s="3">
        <v>0</v>
      </c>
      <c r="CU268" s="3">
        <v>0</v>
      </c>
      <c r="CV268" s="3">
        <v>0</v>
      </c>
      <c r="CW268" s="3">
        <v>0</v>
      </c>
      <c r="CX268" s="3">
        <v>0</v>
      </c>
      <c r="CY268" s="3">
        <v>0</v>
      </c>
      <c r="CZ268" s="3">
        <v>0</v>
      </c>
      <c r="DA268" s="3">
        <v>0</v>
      </c>
      <c r="DB268" s="4">
        <f t="shared" si="145"/>
        <v>1</v>
      </c>
      <c r="DC268" s="3">
        <v>0</v>
      </c>
      <c r="DD268" s="3">
        <v>0</v>
      </c>
      <c r="DE268" s="3">
        <v>0</v>
      </c>
      <c r="DF268" s="3">
        <v>0</v>
      </c>
      <c r="DG268" s="3">
        <v>0</v>
      </c>
      <c r="DH268" s="3">
        <v>0</v>
      </c>
      <c r="DI268" s="3">
        <v>0</v>
      </c>
      <c r="DJ268" s="3">
        <v>0</v>
      </c>
      <c r="DK268" s="3">
        <v>0</v>
      </c>
      <c r="DL268" s="3">
        <v>0</v>
      </c>
      <c r="DM268" s="3">
        <v>0</v>
      </c>
      <c r="DN268" s="3">
        <v>0</v>
      </c>
      <c r="DO268" s="4">
        <f t="shared" si="146"/>
        <v>0</v>
      </c>
      <c r="DP268" s="3">
        <v>0</v>
      </c>
      <c r="DQ268" s="3">
        <v>0</v>
      </c>
      <c r="DR268" s="3">
        <v>0</v>
      </c>
      <c r="DS268" s="3">
        <v>0</v>
      </c>
      <c r="DT268" s="3">
        <v>0</v>
      </c>
      <c r="DU268" s="3">
        <v>0</v>
      </c>
      <c r="DV268" s="3">
        <v>0</v>
      </c>
      <c r="DW268" s="3">
        <v>0</v>
      </c>
      <c r="DX268" s="3">
        <v>0</v>
      </c>
      <c r="DY268" s="3">
        <v>0</v>
      </c>
      <c r="DZ268" s="3">
        <v>0</v>
      </c>
      <c r="EA268" s="3">
        <v>0</v>
      </c>
      <c r="EB268" s="4">
        <f t="shared" si="147"/>
        <v>0</v>
      </c>
      <c r="EC268" s="3">
        <v>0</v>
      </c>
      <c r="ED268" s="3">
        <v>0</v>
      </c>
      <c r="EE268" s="3">
        <v>0</v>
      </c>
      <c r="EF268" s="3">
        <v>0</v>
      </c>
      <c r="EG268" s="3">
        <v>0</v>
      </c>
      <c r="EH268" s="3">
        <v>0</v>
      </c>
      <c r="EI268" s="3">
        <v>0</v>
      </c>
      <c r="EJ268" s="3">
        <v>0</v>
      </c>
      <c r="EK268" s="3">
        <v>0</v>
      </c>
      <c r="EL268" s="3">
        <v>0</v>
      </c>
      <c r="EM268" s="3">
        <v>0</v>
      </c>
      <c r="EN268" s="3">
        <v>0</v>
      </c>
      <c r="EO268" s="4">
        <f t="shared" si="148"/>
        <v>0</v>
      </c>
      <c r="EP268" s="8">
        <f t="shared" si="149"/>
        <v>1</v>
      </c>
      <c r="EQ268" s="181">
        <f>IFERROR(VLOOKUP(I268,CEI_012018!$A$1:$U$509,9,FALSE),0)</f>
        <v>0</v>
      </c>
      <c r="ER268" s="181">
        <f>IFERROR(VLOOKUP(I268,CEI_022018!$A$1:$U$509,9,FALSE),0)</f>
        <v>0</v>
      </c>
      <c r="ES268" s="181">
        <f>IFERROR(VLOOKUP(I268,CEI_032018!$A$1:$U$509,9,FALSE),0)</f>
        <v>0</v>
      </c>
      <c r="ET268" s="181">
        <f>IFERROR(VLOOKUP(I268,CEI_042018!$A$1:$U$491,9,FALSE),0)</f>
        <v>0</v>
      </c>
      <c r="EU268" s="181">
        <f>IFERROR(VLOOKUP(I268,CEI_052018!$A$1:$U$489,9,FALSE),0)</f>
        <v>0</v>
      </c>
      <c r="EV268" s="181">
        <f>IFERROR(VLOOKUP(I268,CEI_062018!$A$1:$U$489,9,FALSE),0)</f>
        <v>0</v>
      </c>
      <c r="EW268" s="181">
        <f>IFERROR(VLOOKUP(I268,CEI_072018!$A$1:$U$489,9,FALSE),0)</f>
        <v>0</v>
      </c>
      <c r="EX268" s="181">
        <f>IFERROR(VLOOKUP(I268,CEI_082018!$A$1:$U$489,9,FALSE),0)</f>
        <v>0</v>
      </c>
      <c r="EY268" s="181">
        <f>IFERROR(VLOOKUP(I268,CEI_092018!$A$1:$U$489,9,FALSE),0)</f>
        <v>0</v>
      </c>
      <c r="EZ268" s="181"/>
      <c r="FA268" s="181"/>
      <c r="FB268" s="181"/>
      <c r="FC268" s="181">
        <f>IFERROR(VLOOKUP(I268,CEI_092018!$A$1:$U$489,12,FALSE),0)</f>
        <v>0</v>
      </c>
      <c r="FD268" s="181">
        <f t="shared" si="133"/>
        <v>0</v>
      </c>
      <c r="FE268" s="181">
        <f t="shared" si="134"/>
        <v>0</v>
      </c>
      <c r="FF268"/>
      <c r="FG268"/>
      <c r="FH268"/>
      <c r="FI268"/>
      <c r="FJ268"/>
      <c r="FK268"/>
      <c r="FL268"/>
      <c r="FM268"/>
      <c r="FN268"/>
      <c r="FO268"/>
      <c r="FP268"/>
      <c r="FQ268"/>
      <c r="FR268"/>
      <c r="FS268"/>
      <c r="FT268"/>
      <c r="FU268"/>
      <c r="FV268"/>
      <c r="FW268"/>
      <c r="FX268"/>
      <c r="FY268"/>
      <c r="FZ268"/>
      <c r="GA268"/>
      <c r="GB268"/>
      <c r="GC268"/>
    </row>
    <row r="269" spans="1:185" ht="12.75" customHeight="1" x14ac:dyDescent="0.25">
      <c r="A269" s="202"/>
      <c r="B269" s="22" t="s">
        <v>57</v>
      </c>
      <c r="C269" s="34" t="s">
        <v>44</v>
      </c>
      <c r="D269" s="22" t="s">
        <v>1059</v>
      </c>
      <c r="E269" s="25" t="s">
        <v>1063</v>
      </c>
      <c r="F269" s="25" t="s">
        <v>1661</v>
      </c>
      <c r="G269" s="25" t="s">
        <v>503</v>
      </c>
      <c r="H269" s="22" t="s">
        <v>62</v>
      </c>
      <c r="I269" s="423" t="s">
        <v>565</v>
      </c>
      <c r="J269" s="37" t="s">
        <v>59</v>
      </c>
      <c r="K269" s="23" t="s">
        <v>551</v>
      </c>
      <c r="L269" s="23" t="s">
        <v>552</v>
      </c>
      <c r="M269" s="23" t="s">
        <v>553</v>
      </c>
      <c r="N269" s="23" t="s">
        <v>1864</v>
      </c>
      <c r="O269" s="2">
        <v>0</v>
      </c>
      <c r="P269" s="2">
        <v>0</v>
      </c>
      <c r="Q269" s="2">
        <v>0</v>
      </c>
      <c r="R269" s="2">
        <v>0</v>
      </c>
      <c r="S269" s="2">
        <v>0</v>
      </c>
      <c r="T269" s="116">
        <f t="shared" si="143"/>
        <v>0</v>
      </c>
      <c r="U269" s="324">
        <v>0</v>
      </c>
      <c r="V269" s="324">
        <v>0</v>
      </c>
      <c r="W269" s="324">
        <v>0</v>
      </c>
      <c r="X269" s="324">
        <v>190</v>
      </c>
      <c r="Y269" s="324">
        <v>0</v>
      </c>
      <c r="Z269" s="324">
        <v>190</v>
      </c>
      <c r="AA269" s="324">
        <v>0</v>
      </c>
      <c r="AB269" s="324">
        <v>0</v>
      </c>
      <c r="AC269" s="324">
        <v>0</v>
      </c>
      <c r="AD269" s="324">
        <v>0</v>
      </c>
      <c r="AE269" s="324">
        <v>0</v>
      </c>
      <c r="AF269" s="324">
        <v>0</v>
      </c>
      <c r="AG269" s="140">
        <f t="shared" si="150"/>
        <v>380</v>
      </c>
      <c r="AH269" s="324">
        <v>0</v>
      </c>
      <c r="AI269" s="324">
        <v>0</v>
      </c>
      <c r="AJ269" s="324">
        <v>0</v>
      </c>
      <c r="AK269" s="324">
        <v>0</v>
      </c>
      <c r="AL269" s="324">
        <v>0</v>
      </c>
      <c r="AM269" s="324">
        <v>0</v>
      </c>
      <c r="AN269" s="324">
        <v>0</v>
      </c>
      <c r="AO269" s="324">
        <v>0</v>
      </c>
      <c r="AP269" s="324">
        <v>0</v>
      </c>
      <c r="AQ269" s="324">
        <v>0</v>
      </c>
      <c r="AR269" s="324">
        <v>0</v>
      </c>
      <c r="AS269" s="324">
        <v>0</v>
      </c>
      <c r="AT269" s="140">
        <f t="shared" si="151"/>
        <v>0</v>
      </c>
      <c r="AU269" s="324">
        <v>0</v>
      </c>
      <c r="AV269" s="324">
        <v>0</v>
      </c>
      <c r="AW269" s="324">
        <v>0</v>
      </c>
      <c r="AX269" s="324">
        <v>0</v>
      </c>
      <c r="AY269" s="324">
        <v>0</v>
      </c>
      <c r="AZ269" s="324">
        <v>0</v>
      </c>
      <c r="BA269" s="324">
        <v>0</v>
      </c>
      <c r="BB269" s="324">
        <v>0</v>
      </c>
      <c r="BC269" s="324">
        <v>0</v>
      </c>
      <c r="BD269" s="324">
        <v>0</v>
      </c>
      <c r="BE269" s="324">
        <v>0</v>
      </c>
      <c r="BF269" s="324">
        <v>0</v>
      </c>
      <c r="BG269" s="140">
        <f t="shared" si="152"/>
        <v>0</v>
      </c>
      <c r="BH269" s="324">
        <v>0</v>
      </c>
      <c r="BI269" s="324">
        <v>0</v>
      </c>
      <c r="BJ269" s="324">
        <v>0</v>
      </c>
      <c r="BK269" s="324">
        <v>0</v>
      </c>
      <c r="BL269" s="324">
        <v>0</v>
      </c>
      <c r="BM269" s="324">
        <v>0</v>
      </c>
      <c r="BN269" s="324">
        <v>0</v>
      </c>
      <c r="BO269" s="324">
        <v>0</v>
      </c>
      <c r="BP269" s="324">
        <v>0</v>
      </c>
      <c r="BQ269" s="324">
        <v>0</v>
      </c>
      <c r="BR269" s="324">
        <v>0</v>
      </c>
      <c r="BS269" s="324">
        <v>0</v>
      </c>
      <c r="BT269" s="140">
        <f t="shared" si="153"/>
        <v>0</v>
      </c>
      <c r="BU269" s="114">
        <f t="shared" si="154"/>
        <v>380</v>
      </c>
      <c r="BV269" s="432"/>
      <c r="BW269" s="432"/>
      <c r="BX269" s="432"/>
      <c r="BY269" s="432"/>
      <c r="BZ269" s="433"/>
      <c r="CA269" s="434"/>
      <c r="CB269" s="7" t="s">
        <v>1699</v>
      </c>
      <c r="CC269" s="3">
        <v>0</v>
      </c>
      <c r="CD269" s="3">
        <v>0</v>
      </c>
      <c r="CE269" s="3">
        <v>0</v>
      </c>
      <c r="CF269" s="3">
        <v>0</v>
      </c>
      <c r="CG269" s="3">
        <v>0</v>
      </c>
      <c r="CH269" s="3">
        <v>0</v>
      </c>
      <c r="CI269" s="3">
        <v>0</v>
      </c>
      <c r="CJ269" s="3">
        <v>0</v>
      </c>
      <c r="CK269" s="3">
        <v>0</v>
      </c>
      <c r="CL269" s="3">
        <v>0</v>
      </c>
      <c r="CM269" s="3">
        <v>0</v>
      </c>
      <c r="CN269" s="3">
        <v>0</v>
      </c>
      <c r="CO269" s="4">
        <f t="shared" si="144"/>
        <v>0</v>
      </c>
      <c r="CP269" s="3">
        <v>0</v>
      </c>
      <c r="CQ269" s="3">
        <v>0</v>
      </c>
      <c r="CR269" s="3">
        <v>0</v>
      </c>
      <c r="CS269" s="3">
        <v>0</v>
      </c>
      <c r="CT269" s="3">
        <v>0</v>
      </c>
      <c r="CU269" s="3">
        <v>1</v>
      </c>
      <c r="CV269" s="3">
        <v>0</v>
      </c>
      <c r="CW269" s="3">
        <v>0</v>
      </c>
      <c r="CX269" s="3">
        <v>0</v>
      </c>
      <c r="CY269" s="3">
        <v>0</v>
      </c>
      <c r="CZ269" s="3">
        <v>0</v>
      </c>
      <c r="DA269" s="3">
        <v>0</v>
      </c>
      <c r="DB269" s="4">
        <f t="shared" si="145"/>
        <v>1</v>
      </c>
      <c r="DC269" s="3">
        <v>0</v>
      </c>
      <c r="DD269" s="3">
        <v>0</v>
      </c>
      <c r="DE269" s="3">
        <v>0</v>
      </c>
      <c r="DF269" s="3">
        <v>0</v>
      </c>
      <c r="DG269" s="3">
        <v>0</v>
      </c>
      <c r="DH269" s="3">
        <v>0</v>
      </c>
      <c r="DI269" s="3">
        <v>0</v>
      </c>
      <c r="DJ269" s="3">
        <v>0</v>
      </c>
      <c r="DK269" s="3">
        <v>0</v>
      </c>
      <c r="DL269" s="3">
        <v>0</v>
      </c>
      <c r="DM269" s="3">
        <v>0</v>
      </c>
      <c r="DN269" s="3">
        <v>0</v>
      </c>
      <c r="DO269" s="4">
        <f t="shared" si="146"/>
        <v>0</v>
      </c>
      <c r="DP269" s="3">
        <v>0</v>
      </c>
      <c r="DQ269" s="3">
        <v>0</v>
      </c>
      <c r="DR269" s="3">
        <v>0</v>
      </c>
      <c r="DS269" s="3">
        <v>0</v>
      </c>
      <c r="DT269" s="3">
        <v>0</v>
      </c>
      <c r="DU269" s="3">
        <v>0</v>
      </c>
      <c r="DV269" s="3">
        <v>0</v>
      </c>
      <c r="DW269" s="3">
        <v>0</v>
      </c>
      <c r="DX269" s="3">
        <v>0</v>
      </c>
      <c r="DY269" s="3">
        <v>0</v>
      </c>
      <c r="DZ269" s="3">
        <v>0</v>
      </c>
      <c r="EA269" s="3">
        <v>0</v>
      </c>
      <c r="EB269" s="4">
        <f t="shared" si="147"/>
        <v>0</v>
      </c>
      <c r="EC269" s="3">
        <v>0</v>
      </c>
      <c r="ED269" s="3">
        <v>0</v>
      </c>
      <c r="EE269" s="3">
        <v>0</v>
      </c>
      <c r="EF269" s="3">
        <v>0</v>
      </c>
      <c r="EG269" s="3">
        <v>0</v>
      </c>
      <c r="EH269" s="3">
        <v>0</v>
      </c>
      <c r="EI269" s="3">
        <v>0</v>
      </c>
      <c r="EJ269" s="3">
        <v>0</v>
      </c>
      <c r="EK269" s="3">
        <v>0</v>
      </c>
      <c r="EL269" s="3">
        <v>0</v>
      </c>
      <c r="EM269" s="3">
        <v>0</v>
      </c>
      <c r="EN269" s="3">
        <v>0</v>
      </c>
      <c r="EO269" s="4">
        <f t="shared" si="148"/>
        <v>0</v>
      </c>
      <c r="EP269" s="8">
        <f t="shared" si="149"/>
        <v>1</v>
      </c>
      <c r="EQ269" s="181">
        <f>IFERROR(VLOOKUP(I269,CEI_012018!$A$1:$U$509,9,FALSE),0)</f>
        <v>0</v>
      </c>
      <c r="ER269" s="181">
        <f>IFERROR(VLOOKUP(I269,CEI_022018!$A$1:$U$509,9,FALSE),0)</f>
        <v>0</v>
      </c>
      <c r="ES269" s="181">
        <f>IFERROR(VLOOKUP(I269,CEI_032018!$A$1:$U$509,9,FALSE),0)</f>
        <v>0</v>
      </c>
      <c r="ET269" s="181">
        <f>IFERROR(VLOOKUP(I269,CEI_042018!$A$1:$U$491,9,FALSE),0)</f>
        <v>0</v>
      </c>
      <c r="EU269" s="181">
        <f>IFERROR(VLOOKUP(I269,CEI_052018!$A$1:$U$489,9,FALSE),0)</f>
        <v>0</v>
      </c>
      <c r="EV269" s="181">
        <f>IFERROR(VLOOKUP(I269,CEI_062018!$A$1:$U$489,9,FALSE),0)</f>
        <v>0</v>
      </c>
      <c r="EW269" s="181">
        <f>IFERROR(VLOOKUP(I269,CEI_072018!$A$1:$U$489,9,FALSE),0)</f>
        <v>0</v>
      </c>
      <c r="EX269" s="181">
        <f>IFERROR(VLOOKUP(I269,CEI_082018!$A$1:$U$489,9,FALSE),0)</f>
        <v>0</v>
      </c>
      <c r="EY269" s="181">
        <f>IFERROR(VLOOKUP(I269,CEI_092018!$A$1:$U$489,9,FALSE),0)</f>
        <v>0</v>
      </c>
      <c r="EZ269" s="181"/>
      <c r="FA269" s="181"/>
      <c r="FB269" s="181"/>
      <c r="FC269" s="181">
        <f>IFERROR(VLOOKUP(I269,CEI_092018!$A$1:$U$489,12,FALSE),0)</f>
        <v>0</v>
      </c>
      <c r="FD269" s="181">
        <f t="shared" si="133"/>
        <v>0</v>
      </c>
      <c r="FE269" s="181">
        <f t="shared" si="134"/>
        <v>0</v>
      </c>
      <c r="FF269"/>
      <c r="FG269"/>
      <c r="FH269"/>
      <c r="FI269"/>
      <c r="FJ269"/>
      <c r="FK269"/>
      <c r="FL269"/>
      <c r="FM269"/>
      <c r="FN269"/>
      <c r="FO269"/>
      <c r="FP269"/>
      <c r="FQ269"/>
      <c r="FR269"/>
      <c r="FS269"/>
      <c r="FT269"/>
      <c r="FU269"/>
      <c r="FV269"/>
      <c r="FW269"/>
      <c r="FX269"/>
      <c r="FY269"/>
      <c r="FZ269"/>
      <c r="GA269"/>
      <c r="GB269"/>
      <c r="GC269"/>
    </row>
    <row r="270" spans="1:185" ht="12.75" customHeight="1" x14ac:dyDescent="0.25">
      <c r="A270" s="202"/>
      <c r="B270" s="22" t="s">
        <v>57</v>
      </c>
      <c r="C270" s="34" t="s">
        <v>44</v>
      </c>
      <c r="D270" s="22" t="s">
        <v>1059</v>
      </c>
      <c r="E270" s="25" t="s">
        <v>1063</v>
      </c>
      <c r="F270" s="25" t="s">
        <v>1855</v>
      </c>
      <c r="G270" s="25" t="s">
        <v>1856</v>
      </c>
      <c r="H270" s="22" t="s">
        <v>56</v>
      </c>
      <c r="I270" s="423" t="s">
        <v>565</v>
      </c>
      <c r="J270" s="37" t="s">
        <v>59</v>
      </c>
      <c r="K270" s="23" t="s">
        <v>1787</v>
      </c>
      <c r="L270" s="23" t="s">
        <v>222</v>
      </c>
      <c r="M270" s="23" t="s">
        <v>223</v>
      </c>
      <c r="N270" s="23" t="s">
        <v>1872</v>
      </c>
      <c r="O270" s="2">
        <v>0</v>
      </c>
      <c r="P270" s="2">
        <v>0</v>
      </c>
      <c r="Q270" s="2">
        <v>0</v>
      </c>
      <c r="R270" s="2">
        <v>40</v>
      </c>
      <c r="S270" s="2">
        <v>40</v>
      </c>
      <c r="T270" s="116">
        <f t="shared" si="143"/>
        <v>80</v>
      </c>
      <c r="U270" s="324">
        <v>0</v>
      </c>
      <c r="V270" s="324">
        <v>0</v>
      </c>
      <c r="W270" s="324">
        <v>30</v>
      </c>
      <c r="X270" s="324">
        <v>0</v>
      </c>
      <c r="Y270" s="324">
        <v>15</v>
      </c>
      <c r="Z270" s="324">
        <v>30</v>
      </c>
      <c r="AA270" s="324">
        <v>0</v>
      </c>
      <c r="AB270" s="324">
        <v>15</v>
      </c>
      <c r="AC270" s="324">
        <v>30</v>
      </c>
      <c r="AD270" s="324">
        <v>0</v>
      </c>
      <c r="AE270" s="324">
        <v>0</v>
      </c>
      <c r="AF270" s="324">
        <v>30</v>
      </c>
      <c r="AG270" s="140">
        <f t="shared" si="150"/>
        <v>150</v>
      </c>
      <c r="AH270" s="324">
        <v>0</v>
      </c>
      <c r="AI270" s="324">
        <v>25</v>
      </c>
      <c r="AJ270" s="324">
        <v>0</v>
      </c>
      <c r="AK270" s="324">
        <v>25</v>
      </c>
      <c r="AL270" s="324">
        <v>0</v>
      </c>
      <c r="AM270" s="324">
        <v>50</v>
      </c>
      <c r="AN270" s="324">
        <v>0</v>
      </c>
      <c r="AO270" s="324">
        <v>0</v>
      </c>
      <c r="AP270" s="324">
        <v>25</v>
      </c>
      <c r="AQ270" s="324">
        <v>0</v>
      </c>
      <c r="AR270" s="324">
        <v>0</v>
      </c>
      <c r="AS270" s="324">
        <v>25</v>
      </c>
      <c r="AT270" s="140">
        <f t="shared" si="151"/>
        <v>150</v>
      </c>
      <c r="AU270" s="324">
        <v>0</v>
      </c>
      <c r="AV270" s="324">
        <v>0</v>
      </c>
      <c r="AW270" s="324">
        <v>0</v>
      </c>
      <c r="AX270" s="324">
        <v>0</v>
      </c>
      <c r="AY270" s="324">
        <v>0</v>
      </c>
      <c r="AZ270" s="324">
        <v>0</v>
      </c>
      <c r="BA270" s="324">
        <v>0</v>
      </c>
      <c r="BB270" s="324">
        <v>0</v>
      </c>
      <c r="BC270" s="324">
        <v>0</v>
      </c>
      <c r="BD270" s="324">
        <v>0</v>
      </c>
      <c r="BE270" s="324">
        <v>0</v>
      </c>
      <c r="BF270" s="324">
        <v>0</v>
      </c>
      <c r="BG270" s="140">
        <f t="shared" si="152"/>
        <v>0</v>
      </c>
      <c r="BH270" s="324">
        <v>0</v>
      </c>
      <c r="BI270" s="324">
        <v>0</v>
      </c>
      <c r="BJ270" s="324">
        <v>0</v>
      </c>
      <c r="BK270" s="324">
        <v>0</v>
      </c>
      <c r="BL270" s="324">
        <v>0</v>
      </c>
      <c r="BM270" s="324">
        <v>0</v>
      </c>
      <c r="BN270" s="324">
        <v>0</v>
      </c>
      <c r="BO270" s="324">
        <v>0</v>
      </c>
      <c r="BP270" s="324">
        <v>0</v>
      </c>
      <c r="BQ270" s="324">
        <v>0</v>
      </c>
      <c r="BR270" s="324">
        <v>0</v>
      </c>
      <c r="BS270" s="324">
        <v>0</v>
      </c>
      <c r="BT270" s="140">
        <f t="shared" si="153"/>
        <v>0</v>
      </c>
      <c r="BU270" s="114">
        <f t="shared" si="154"/>
        <v>380</v>
      </c>
      <c r="BV270" s="372">
        <v>-1</v>
      </c>
      <c r="BW270" s="372">
        <v>-1</v>
      </c>
      <c r="BX270" s="372">
        <v>-1</v>
      </c>
      <c r="BY270" s="372">
        <v>-1</v>
      </c>
      <c r="BZ270" s="436">
        <f>IFERROR((EX270/T270%),0)</f>
        <v>0</v>
      </c>
      <c r="CA270" s="428">
        <f>IFERROR((FD270/T270%),0)</f>
        <v>0</v>
      </c>
      <c r="CB270" s="7" t="s">
        <v>1699</v>
      </c>
      <c r="CC270" s="3">
        <v>0</v>
      </c>
      <c r="CD270" s="3">
        <v>0</v>
      </c>
      <c r="CE270" s="3">
        <v>0</v>
      </c>
      <c r="CF270" s="3">
        <v>0</v>
      </c>
      <c r="CG270" s="3">
        <v>0</v>
      </c>
      <c r="CH270" s="3">
        <v>0</v>
      </c>
      <c r="CI270" s="3">
        <v>0</v>
      </c>
      <c r="CJ270" s="3">
        <v>0</v>
      </c>
      <c r="CK270" s="3">
        <v>0</v>
      </c>
      <c r="CL270" s="3">
        <v>0</v>
      </c>
      <c r="CM270" s="3">
        <v>0</v>
      </c>
      <c r="CN270" s="3">
        <v>1</v>
      </c>
      <c r="CO270" s="4">
        <f t="shared" si="144"/>
        <v>1</v>
      </c>
      <c r="CP270" s="3">
        <v>0</v>
      </c>
      <c r="CQ270" s="3">
        <v>0</v>
      </c>
      <c r="CR270" s="3">
        <v>0</v>
      </c>
      <c r="CS270" s="3">
        <v>0</v>
      </c>
      <c r="CT270" s="3">
        <v>0</v>
      </c>
      <c r="CU270" s="3">
        <v>0</v>
      </c>
      <c r="CV270" s="3">
        <v>0</v>
      </c>
      <c r="CW270" s="3">
        <v>0</v>
      </c>
      <c r="CX270" s="3">
        <v>0</v>
      </c>
      <c r="CY270" s="3">
        <v>0</v>
      </c>
      <c r="CZ270" s="3">
        <v>0</v>
      </c>
      <c r="DA270" s="3">
        <v>1</v>
      </c>
      <c r="DB270" s="4">
        <f t="shared" si="145"/>
        <v>1</v>
      </c>
      <c r="DC270" s="3">
        <v>0</v>
      </c>
      <c r="DD270" s="3">
        <v>0</v>
      </c>
      <c r="DE270" s="3">
        <v>0</v>
      </c>
      <c r="DF270" s="3">
        <v>0</v>
      </c>
      <c r="DG270" s="3">
        <v>0</v>
      </c>
      <c r="DH270" s="3">
        <v>0</v>
      </c>
      <c r="DI270" s="3">
        <v>0</v>
      </c>
      <c r="DJ270" s="3">
        <v>0</v>
      </c>
      <c r="DK270" s="3">
        <v>0</v>
      </c>
      <c r="DL270" s="3">
        <v>0</v>
      </c>
      <c r="DM270" s="3">
        <v>0</v>
      </c>
      <c r="DN270" s="3">
        <v>1</v>
      </c>
      <c r="DO270" s="4">
        <f t="shared" si="146"/>
        <v>1</v>
      </c>
      <c r="DP270" s="3">
        <v>0</v>
      </c>
      <c r="DQ270" s="3">
        <v>0</v>
      </c>
      <c r="DR270" s="3">
        <v>0</v>
      </c>
      <c r="DS270" s="3">
        <v>0</v>
      </c>
      <c r="DT270" s="3">
        <v>0</v>
      </c>
      <c r="DU270" s="3">
        <v>0</v>
      </c>
      <c r="DV270" s="3">
        <v>0</v>
      </c>
      <c r="DW270" s="3">
        <v>0</v>
      </c>
      <c r="DX270" s="3">
        <v>0</v>
      </c>
      <c r="DY270" s="3">
        <v>0</v>
      </c>
      <c r="DZ270" s="3">
        <v>0</v>
      </c>
      <c r="EA270" s="3">
        <v>0</v>
      </c>
      <c r="EB270" s="4">
        <f t="shared" si="147"/>
        <v>0</v>
      </c>
      <c r="EC270" s="3">
        <v>0</v>
      </c>
      <c r="ED270" s="3">
        <v>0</v>
      </c>
      <c r="EE270" s="3">
        <v>0</v>
      </c>
      <c r="EF270" s="3">
        <v>0</v>
      </c>
      <c r="EG270" s="3">
        <v>0</v>
      </c>
      <c r="EH270" s="3">
        <v>0</v>
      </c>
      <c r="EI270" s="3">
        <v>0</v>
      </c>
      <c r="EJ270" s="3">
        <v>0</v>
      </c>
      <c r="EK270" s="3">
        <v>0</v>
      </c>
      <c r="EL270" s="3">
        <v>0</v>
      </c>
      <c r="EM270" s="3">
        <v>0</v>
      </c>
      <c r="EN270" s="3">
        <v>0</v>
      </c>
      <c r="EO270" s="4">
        <f t="shared" si="148"/>
        <v>0</v>
      </c>
      <c r="EP270" s="8">
        <f t="shared" si="149"/>
        <v>3</v>
      </c>
      <c r="EQ270" s="181">
        <f>IFERROR(VLOOKUP(I270,CEI_012018!$A$1:$U$509,9,FALSE),0)</f>
        <v>0</v>
      </c>
      <c r="ER270" s="181">
        <f>IFERROR(VLOOKUP(I270,CEI_022018!$A$1:$U$509,9,FALSE),0)</f>
        <v>0</v>
      </c>
      <c r="ES270" s="181">
        <f>IFERROR(VLOOKUP(I270,CEI_032018!$A$1:$U$509,9,FALSE),0)</f>
        <v>0</v>
      </c>
      <c r="ET270" s="181">
        <f>IFERROR(VLOOKUP(I270,CEI_042018!$A$1:$U$491,9,FALSE),0)</f>
        <v>0</v>
      </c>
      <c r="EU270" s="181">
        <f>IFERROR(VLOOKUP(I270,CEI_052018!$A$1:$U$489,9,FALSE),0)</f>
        <v>0</v>
      </c>
      <c r="EV270" s="181">
        <f>IFERROR(VLOOKUP(I270,CEI_062018!$A$1:$U$489,9,FALSE),0)</f>
        <v>0</v>
      </c>
      <c r="EW270" s="181">
        <f>IFERROR(VLOOKUP(I270,CEI_072018!$A$1:$U$489,9,FALSE),0)</f>
        <v>0</v>
      </c>
      <c r="EX270" s="181">
        <f>IFERROR(VLOOKUP(I270,CEI_082018!$A$1:$U$489,9,FALSE),0)</f>
        <v>0</v>
      </c>
      <c r="EY270" s="181">
        <f>IFERROR(VLOOKUP(I270,CEI_092018!$A$1:$U$489,9,FALSE),0)</f>
        <v>0</v>
      </c>
      <c r="EZ270" s="181"/>
      <c r="FA270" s="181"/>
      <c r="FB270" s="181"/>
      <c r="FC270" s="181">
        <f>IFERROR(VLOOKUP(I270,CEI_092018!$A$1:$U$489,12,FALSE),0)</f>
        <v>0</v>
      </c>
      <c r="FD270" s="181">
        <f t="shared" si="133"/>
        <v>0</v>
      </c>
      <c r="FE270" s="181">
        <f t="shared" si="134"/>
        <v>80</v>
      </c>
      <c r="FF270"/>
      <c r="FG270"/>
      <c r="FH270"/>
      <c r="FI270"/>
      <c r="FJ270"/>
      <c r="FK270"/>
      <c r="FL270"/>
      <c r="FM270"/>
      <c r="FN270"/>
      <c r="FO270"/>
      <c r="FP270"/>
      <c r="FQ270"/>
      <c r="FR270"/>
      <c r="FS270"/>
      <c r="FT270"/>
      <c r="FU270"/>
      <c r="FV270"/>
      <c r="FW270"/>
      <c r="FX270"/>
      <c r="FY270"/>
      <c r="FZ270"/>
      <c r="GA270"/>
      <c r="GB270"/>
      <c r="GC270"/>
    </row>
    <row r="271" spans="1:185" ht="12.75" customHeight="1" x14ac:dyDescent="0.25">
      <c r="A271" s="202"/>
      <c r="B271" s="22" t="s">
        <v>57</v>
      </c>
      <c r="C271" s="34" t="s">
        <v>44</v>
      </c>
      <c r="D271" s="22" t="s">
        <v>1059</v>
      </c>
      <c r="E271" s="25" t="s">
        <v>1065</v>
      </c>
      <c r="F271" s="25" t="s">
        <v>1850</v>
      </c>
      <c r="G271" s="25" t="s">
        <v>1851</v>
      </c>
      <c r="H271" s="22" t="s">
        <v>62</v>
      </c>
      <c r="I271" s="423" t="s">
        <v>1651</v>
      </c>
      <c r="J271" s="37" t="s">
        <v>1653</v>
      </c>
      <c r="K271" s="23" t="s">
        <v>1670</v>
      </c>
      <c r="L271" s="23" t="s">
        <v>1692</v>
      </c>
      <c r="M271" s="23" t="s">
        <v>1698</v>
      </c>
      <c r="N271" s="23" t="s">
        <v>1872</v>
      </c>
      <c r="O271" s="2">
        <v>0</v>
      </c>
      <c r="P271" s="2">
        <v>0</v>
      </c>
      <c r="Q271" s="2">
        <v>0</v>
      </c>
      <c r="R271" s="2">
        <v>60</v>
      </c>
      <c r="S271" s="2">
        <v>60</v>
      </c>
      <c r="T271" s="116">
        <f t="shared" si="143"/>
        <v>120</v>
      </c>
      <c r="U271" s="324">
        <v>60</v>
      </c>
      <c r="V271" s="324">
        <v>60</v>
      </c>
      <c r="W271" s="324">
        <v>60</v>
      </c>
      <c r="X271" s="324">
        <v>60</v>
      </c>
      <c r="Y271" s="324">
        <v>0</v>
      </c>
      <c r="Z271" s="324">
        <v>0</v>
      </c>
      <c r="AA271" s="324">
        <v>0</v>
      </c>
      <c r="AB271" s="324">
        <v>0</v>
      </c>
      <c r="AC271" s="324">
        <v>0</v>
      </c>
      <c r="AD271" s="324">
        <v>0</v>
      </c>
      <c r="AE271" s="324">
        <v>0</v>
      </c>
      <c r="AF271" s="324">
        <v>0</v>
      </c>
      <c r="AG271" s="140">
        <f t="shared" si="150"/>
        <v>240</v>
      </c>
      <c r="AH271" s="324">
        <v>0</v>
      </c>
      <c r="AI271" s="324">
        <v>0</v>
      </c>
      <c r="AJ271" s="324">
        <v>0</v>
      </c>
      <c r="AK271" s="324">
        <v>0</v>
      </c>
      <c r="AL271" s="324">
        <v>0</v>
      </c>
      <c r="AM271" s="324">
        <v>0</v>
      </c>
      <c r="AN271" s="324">
        <v>0</v>
      </c>
      <c r="AO271" s="324">
        <v>0</v>
      </c>
      <c r="AP271" s="324">
        <v>0</v>
      </c>
      <c r="AQ271" s="324">
        <v>0</v>
      </c>
      <c r="AR271" s="324">
        <v>0</v>
      </c>
      <c r="AS271" s="324">
        <v>0</v>
      </c>
      <c r="AT271" s="140">
        <f t="shared" si="151"/>
        <v>0</v>
      </c>
      <c r="AU271" s="324">
        <v>0</v>
      </c>
      <c r="AV271" s="324">
        <v>0</v>
      </c>
      <c r="AW271" s="324">
        <v>0</v>
      </c>
      <c r="AX271" s="324">
        <v>0</v>
      </c>
      <c r="AY271" s="324">
        <v>0</v>
      </c>
      <c r="AZ271" s="324">
        <v>0</v>
      </c>
      <c r="BA271" s="324">
        <v>0</v>
      </c>
      <c r="BB271" s="324">
        <v>0</v>
      </c>
      <c r="BC271" s="324">
        <v>0</v>
      </c>
      <c r="BD271" s="324">
        <v>0</v>
      </c>
      <c r="BE271" s="324">
        <v>0</v>
      </c>
      <c r="BF271" s="324">
        <v>0</v>
      </c>
      <c r="BG271" s="140">
        <f t="shared" si="152"/>
        <v>0</v>
      </c>
      <c r="BH271" s="324">
        <v>0</v>
      </c>
      <c r="BI271" s="324">
        <v>0</v>
      </c>
      <c r="BJ271" s="324">
        <v>0</v>
      </c>
      <c r="BK271" s="324">
        <v>0</v>
      </c>
      <c r="BL271" s="324">
        <v>0</v>
      </c>
      <c r="BM271" s="324">
        <v>0</v>
      </c>
      <c r="BN271" s="324">
        <v>0</v>
      </c>
      <c r="BO271" s="324">
        <v>0</v>
      </c>
      <c r="BP271" s="324">
        <v>0</v>
      </c>
      <c r="BQ271" s="324">
        <v>0</v>
      </c>
      <c r="BR271" s="324">
        <v>0</v>
      </c>
      <c r="BS271" s="324">
        <v>0</v>
      </c>
      <c r="BT271" s="140">
        <f t="shared" si="153"/>
        <v>0</v>
      </c>
      <c r="BU271" s="114">
        <f t="shared" si="154"/>
        <v>360</v>
      </c>
      <c r="BV271" s="372">
        <v>1</v>
      </c>
      <c r="BW271" s="372">
        <v>1</v>
      </c>
      <c r="BX271" s="372">
        <v>1</v>
      </c>
      <c r="BY271" s="372">
        <v>1</v>
      </c>
      <c r="BZ271" s="436">
        <f>IFERROR((EX271/T271%),0)</f>
        <v>0</v>
      </c>
      <c r="CA271" s="428">
        <f>IFERROR((FD271/T271%),0)</f>
        <v>100.0499979654948</v>
      </c>
      <c r="CB271" s="7" t="s">
        <v>1699</v>
      </c>
      <c r="CC271" s="3">
        <v>0</v>
      </c>
      <c r="CD271" s="3">
        <v>0</v>
      </c>
      <c r="CE271" s="3">
        <v>0</v>
      </c>
      <c r="CF271" s="3">
        <v>0</v>
      </c>
      <c r="CG271" s="3">
        <v>0</v>
      </c>
      <c r="CH271" s="3">
        <v>0</v>
      </c>
      <c r="CI271" s="3">
        <v>0</v>
      </c>
      <c r="CJ271" s="3">
        <v>0</v>
      </c>
      <c r="CK271" s="3">
        <v>0</v>
      </c>
      <c r="CL271" s="3">
        <v>0</v>
      </c>
      <c r="CM271" s="3">
        <v>0</v>
      </c>
      <c r="CN271" s="3">
        <v>1</v>
      </c>
      <c r="CO271" s="4">
        <f t="shared" si="144"/>
        <v>1</v>
      </c>
      <c r="CP271" s="3">
        <v>0</v>
      </c>
      <c r="CQ271" s="3">
        <v>0</v>
      </c>
      <c r="CR271" s="3">
        <v>0</v>
      </c>
      <c r="CS271" s="3">
        <v>1</v>
      </c>
      <c r="CT271" s="3">
        <v>0</v>
      </c>
      <c r="CU271" s="3">
        <v>0</v>
      </c>
      <c r="CV271" s="3">
        <v>0</v>
      </c>
      <c r="CW271" s="3">
        <v>0</v>
      </c>
      <c r="CX271" s="3">
        <v>0</v>
      </c>
      <c r="CY271" s="3">
        <v>0</v>
      </c>
      <c r="CZ271" s="3">
        <v>0</v>
      </c>
      <c r="DA271" s="3">
        <v>0</v>
      </c>
      <c r="DB271" s="4">
        <f t="shared" si="145"/>
        <v>1</v>
      </c>
      <c r="DC271" s="3">
        <v>0</v>
      </c>
      <c r="DD271" s="3">
        <v>0</v>
      </c>
      <c r="DE271" s="3">
        <v>0</v>
      </c>
      <c r="DF271" s="3">
        <v>0</v>
      </c>
      <c r="DG271" s="3">
        <v>0</v>
      </c>
      <c r="DH271" s="3">
        <v>0</v>
      </c>
      <c r="DI271" s="3">
        <v>0</v>
      </c>
      <c r="DJ271" s="3">
        <v>0</v>
      </c>
      <c r="DK271" s="3">
        <v>0</v>
      </c>
      <c r="DL271" s="3">
        <v>0</v>
      </c>
      <c r="DM271" s="3">
        <v>0</v>
      </c>
      <c r="DN271" s="3">
        <v>0</v>
      </c>
      <c r="DO271" s="4">
        <f t="shared" si="146"/>
        <v>0</v>
      </c>
      <c r="DP271" s="3">
        <v>0</v>
      </c>
      <c r="DQ271" s="3">
        <v>0</v>
      </c>
      <c r="DR271" s="3">
        <v>0</v>
      </c>
      <c r="DS271" s="3">
        <v>0</v>
      </c>
      <c r="DT271" s="3">
        <v>0</v>
      </c>
      <c r="DU271" s="3">
        <v>0</v>
      </c>
      <c r="DV271" s="3">
        <v>0</v>
      </c>
      <c r="DW271" s="3">
        <v>0</v>
      </c>
      <c r="DX271" s="3">
        <v>0</v>
      </c>
      <c r="DY271" s="3">
        <v>0</v>
      </c>
      <c r="DZ271" s="3">
        <v>0</v>
      </c>
      <c r="EA271" s="3">
        <v>0</v>
      </c>
      <c r="EB271" s="4">
        <f t="shared" si="147"/>
        <v>0</v>
      </c>
      <c r="EC271" s="3">
        <v>0</v>
      </c>
      <c r="ED271" s="3">
        <v>0</v>
      </c>
      <c r="EE271" s="3">
        <v>0</v>
      </c>
      <c r="EF271" s="3">
        <v>0</v>
      </c>
      <c r="EG271" s="3">
        <v>0</v>
      </c>
      <c r="EH271" s="3">
        <v>0</v>
      </c>
      <c r="EI271" s="3">
        <v>0</v>
      </c>
      <c r="EJ271" s="3">
        <v>0</v>
      </c>
      <c r="EK271" s="3">
        <v>0</v>
      </c>
      <c r="EL271" s="3">
        <v>0</v>
      </c>
      <c r="EM271" s="3">
        <v>0</v>
      </c>
      <c r="EN271" s="3">
        <v>0</v>
      </c>
      <c r="EO271" s="4">
        <f t="shared" si="148"/>
        <v>0</v>
      </c>
      <c r="EP271" s="8">
        <f t="shared" si="149"/>
        <v>2</v>
      </c>
      <c r="EQ271" s="181">
        <f>IFERROR(VLOOKUP(I271,CEI_012018!$A$1:$U$509,9,FALSE),0)</f>
        <v>0</v>
      </c>
      <c r="ER271" s="181">
        <f>IFERROR(VLOOKUP(I271,CEI_022018!$A$1:$U$509,9,FALSE),0)</f>
        <v>0</v>
      </c>
      <c r="ES271" s="181">
        <f>IFERROR(VLOOKUP(I271,CEI_032018!$A$1:$U$509,9,FALSE),0)</f>
        <v>0</v>
      </c>
      <c r="ET271" s="181">
        <f>IFERROR(VLOOKUP(I271,CEI_042018!$A$1:$U$491,9,FALSE),0)</f>
        <v>0</v>
      </c>
      <c r="EU271" s="181">
        <f>IFERROR(VLOOKUP(I271,CEI_052018!$A$1:$U$489,9,FALSE),0)</f>
        <v>0</v>
      </c>
      <c r="EV271" s="181">
        <f>IFERROR(VLOOKUP(I271,CEI_062018!$A$1:$U$489,9,FALSE),0)</f>
        <v>0</v>
      </c>
      <c r="EW271" s="181">
        <f>IFERROR(VLOOKUP(I271,CEI_072018!$A$1:$U$489,9,FALSE),0)</f>
        <v>0</v>
      </c>
      <c r="EX271" s="181">
        <f>IFERROR(VLOOKUP(I271,CEI_082018!$A$1:$U$489,9,FALSE),0)</f>
        <v>0</v>
      </c>
      <c r="EY271" s="181">
        <f>IFERROR(VLOOKUP(I271,CEI_092018!$A$1:$U$489,9,FALSE),0)</f>
        <v>0</v>
      </c>
      <c r="EZ271" s="181"/>
      <c r="FA271" s="181"/>
      <c r="FB271" s="181"/>
      <c r="FC271" s="181">
        <f>IFERROR(VLOOKUP(I271,CEI_092018!$A$1:$U$489,12,FALSE),0)</f>
        <v>120.05999755859375</v>
      </c>
      <c r="FD271" s="181">
        <f t="shared" si="133"/>
        <v>120.05999755859375</v>
      </c>
      <c r="FE271" s="181">
        <f t="shared" si="134"/>
        <v>-5.999755859375E-2</v>
      </c>
      <c r="FF271"/>
      <c r="FG271"/>
      <c r="FH271"/>
      <c r="FI271"/>
      <c r="FJ271"/>
      <c r="FK271"/>
      <c r="FL271"/>
      <c r="FM271"/>
      <c r="FN271"/>
      <c r="FO271"/>
      <c r="FP271"/>
      <c r="FQ271"/>
      <c r="FR271"/>
      <c r="FS271"/>
      <c r="FT271"/>
      <c r="FU271"/>
      <c r="FV271"/>
      <c r="FW271"/>
      <c r="FX271"/>
      <c r="FY271"/>
      <c r="FZ271"/>
      <c r="GA271"/>
      <c r="GB271"/>
      <c r="GC271"/>
    </row>
    <row r="272" spans="1:185" ht="12.75" customHeight="1" x14ac:dyDescent="0.25">
      <c r="A272" s="202"/>
      <c r="B272" s="22" t="s">
        <v>57</v>
      </c>
      <c r="C272" s="34" t="s">
        <v>44</v>
      </c>
      <c r="D272" s="22" t="s">
        <v>1059</v>
      </c>
      <c r="E272" s="25" t="s">
        <v>1063</v>
      </c>
      <c r="F272" s="25" t="s">
        <v>1661</v>
      </c>
      <c r="G272" s="25" t="s">
        <v>1853</v>
      </c>
      <c r="H272" s="22" t="s">
        <v>62</v>
      </c>
      <c r="I272" s="423" t="s">
        <v>565</v>
      </c>
      <c r="J272" s="37" t="s">
        <v>59</v>
      </c>
      <c r="K272" s="23" t="s">
        <v>533</v>
      </c>
      <c r="L272" s="23" t="s">
        <v>534</v>
      </c>
      <c r="M272" s="23" t="s">
        <v>535</v>
      </c>
      <c r="N272" s="23" t="s">
        <v>1864</v>
      </c>
      <c r="O272" s="2">
        <v>0</v>
      </c>
      <c r="P272" s="2">
        <v>0</v>
      </c>
      <c r="Q272" s="2">
        <v>0</v>
      </c>
      <c r="R272" s="2">
        <v>0</v>
      </c>
      <c r="S272" s="2">
        <v>0</v>
      </c>
      <c r="T272" s="116">
        <f t="shared" si="143"/>
        <v>0</v>
      </c>
      <c r="U272" s="324">
        <v>0</v>
      </c>
      <c r="V272" s="324">
        <v>0</v>
      </c>
      <c r="W272" s="324">
        <v>0</v>
      </c>
      <c r="X272" s="324">
        <v>200</v>
      </c>
      <c r="Y272" s="324">
        <v>0</v>
      </c>
      <c r="Z272" s="324">
        <v>150</v>
      </c>
      <c r="AA272" s="324">
        <v>0</v>
      </c>
      <c r="AB272" s="324">
        <v>0</v>
      </c>
      <c r="AC272" s="324">
        <v>0</v>
      </c>
      <c r="AD272" s="324">
        <v>0</v>
      </c>
      <c r="AE272" s="324">
        <v>0</v>
      </c>
      <c r="AF272" s="324">
        <v>0</v>
      </c>
      <c r="AG272" s="140">
        <f t="shared" si="150"/>
        <v>350</v>
      </c>
      <c r="AH272" s="324">
        <v>0</v>
      </c>
      <c r="AI272" s="324">
        <v>0</v>
      </c>
      <c r="AJ272" s="324">
        <v>0</v>
      </c>
      <c r="AK272" s="324">
        <v>0</v>
      </c>
      <c r="AL272" s="324">
        <v>0</v>
      </c>
      <c r="AM272" s="324">
        <v>0</v>
      </c>
      <c r="AN272" s="324">
        <v>0</v>
      </c>
      <c r="AO272" s="324">
        <v>0</v>
      </c>
      <c r="AP272" s="324">
        <v>0</v>
      </c>
      <c r="AQ272" s="324">
        <v>0</v>
      </c>
      <c r="AR272" s="324">
        <v>0</v>
      </c>
      <c r="AS272" s="324">
        <v>0</v>
      </c>
      <c r="AT272" s="140">
        <f t="shared" si="151"/>
        <v>0</v>
      </c>
      <c r="AU272" s="324">
        <v>0</v>
      </c>
      <c r="AV272" s="324">
        <v>0</v>
      </c>
      <c r="AW272" s="324">
        <v>0</v>
      </c>
      <c r="AX272" s="324">
        <v>0</v>
      </c>
      <c r="AY272" s="324">
        <v>0</v>
      </c>
      <c r="AZ272" s="324">
        <v>0</v>
      </c>
      <c r="BA272" s="324">
        <v>0</v>
      </c>
      <c r="BB272" s="324">
        <v>0</v>
      </c>
      <c r="BC272" s="324">
        <v>0</v>
      </c>
      <c r="BD272" s="324">
        <v>0</v>
      </c>
      <c r="BE272" s="324">
        <v>0</v>
      </c>
      <c r="BF272" s="324">
        <v>0</v>
      </c>
      <c r="BG272" s="140">
        <f t="shared" si="152"/>
        <v>0</v>
      </c>
      <c r="BH272" s="324">
        <v>0</v>
      </c>
      <c r="BI272" s="324">
        <v>0</v>
      </c>
      <c r="BJ272" s="324">
        <v>0</v>
      </c>
      <c r="BK272" s="324">
        <v>0</v>
      </c>
      <c r="BL272" s="324">
        <v>0</v>
      </c>
      <c r="BM272" s="324">
        <v>0</v>
      </c>
      <c r="BN272" s="324">
        <v>0</v>
      </c>
      <c r="BO272" s="324">
        <v>0</v>
      </c>
      <c r="BP272" s="324">
        <v>0</v>
      </c>
      <c r="BQ272" s="324">
        <v>0</v>
      </c>
      <c r="BR272" s="324">
        <v>0</v>
      </c>
      <c r="BS272" s="324">
        <v>0</v>
      </c>
      <c r="BT272" s="140">
        <f t="shared" si="153"/>
        <v>0</v>
      </c>
      <c r="BU272" s="114">
        <f t="shared" si="154"/>
        <v>350</v>
      </c>
      <c r="BV272" s="432"/>
      <c r="BW272" s="432"/>
      <c r="BX272" s="432"/>
      <c r="BY272" s="432"/>
      <c r="BZ272" s="433"/>
      <c r="CA272" s="434"/>
      <c r="CB272" s="7" t="s">
        <v>1699</v>
      </c>
      <c r="CC272" s="3">
        <v>0</v>
      </c>
      <c r="CD272" s="3">
        <v>0</v>
      </c>
      <c r="CE272" s="3">
        <v>0</v>
      </c>
      <c r="CF272" s="3">
        <v>0</v>
      </c>
      <c r="CG272" s="3">
        <v>0</v>
      </c>
      <c r="CH272" s="3">
        <v>0</v>
      </c>
      <c r="CI272" s="3">
        <v>0</v>
      </c>
      <c r="CJ272" s="3">
        <v>0</v>
      </c>
      <c r="CK272" s="3">
        <v>0</v>
      </c>
      <c r="CL272" s="3">
        <v>0</v>
      </c>
      <c r="CM272" s="3">
        <v>0</v>
      </c>
      <c r="CN272" s="3">
        <v>0</v>
      </c>
      <c r="CO272" s="4">
        <f t="shared" si="144"/>
        <v>0</v>
      </c>
      <c r="CP272" s="3">
        <v>0</v>
      </c>
      <c r="CQ272" s="3">
        <v>0</v>
      </c>
      <c r="CR272" s="3">
        <v>0</v>
      </c>
      <c r="CS272" s="3">
        <v>0</v>
      </c>
      <c r="CT272" s="3">
        <v>0</v>
      </c>
      <c r="CU272" s="3">
        <v>1</v>
      </c>
      <c r="CV272" s="3">
        <v>0</v>
      </c>
      <c r="CW272" s="3">
        <v>0</v>
      </c>
      <c r="CX272" s="3">
        <v>0</v>
      </c>
      <c r="CY272" s="3">
        <v>0</v>
      </c>
      <c r="CZ272" s="3">
        <v>0</v>
      </c>
      <c r="DA272" s="3">
        <v>0</v>
      </c>
      <c r="DB272" s="4">
        <f t="shared" si="145"/>
        <v>1</v>
      </c>
      <c r="DC272" s="3">
        <v>0</v>
      </c>
      <c r="DD272" s="3">
        <v>0</v>
      </c>
      <c r="DE272" s="3">
        <v>0</v>
      </c>
      <c r="DF272" s="3">
        <v>0</v>
      </c>
      <c r="DG272" s="3">
        <v>0</v>
      </c>
      <c r="DH272" s="3">
        <v>0</v>
      </c>
      <c r="DI272" s="3">
        <v>0</v>
      </c>
      <c r="DJ272" s="3">
        <v>0</v>
      </c>
      <c r="DK272" s="3">
        <v>0</v>
      </c>
      <c r="DL272" s="3">
        <v>0</v>
      </c>
      <c r="DM272" s="3">
        <v>0</v>
      </c>
      <c r="DN272" s="3">
        <v>0</v>
      </c>
      <c r="DO272" s="4">
        <f t="shared" si="146"/>
        <v>0</v>
      </c>
      <c r="DP272" s="3">
        <v>0</v>
      </c>
      <c r="DQ272" s="3">
        <v>0</v>
      </c>
      <c r="DR272" s="3">
        <v>0</v>
      </c>
      <c r="DS272" s="3">
        <v>0</v>
      </c>
      <c r="DT272" s="3">
        <v>0</v>
      </c>
      <c r="DU272" s="3">
        <v>0</v>
      </c>
      <c r="DV272" s="3">
        <v>0</v>
      </c>
      <c r="DW272" s="3">
        <v>0</v>
      </c>
      <c r="DX272" s="3">
        <v>0</v>
      </c>
      <c r="DY272" s="3">
        <v>0</v>
      </c>
      <c r="DZ272" s="3">
        <v>0</v>
      </c>
      <c r="EA272" s="3">
        <v>0</v>
      </c>
      <c r="EB272" s="4">
        <f t="shared" si="147"/>
        <v>0</v>
      </c>
      <c r="EC272" s="3">
        <v>0</v>
      </c>
      <c r="ED272" s="3">
        <v>0</v>
      </c>
      <c r="EE272" s="3">
        <v>0</v>
      </c>
      <c r="EF272" s="3">
        <v>0</v>
      </c>
      <c r="EG272" s="3">
        <v>0</v>
      </c>
      <c r="EH272" s="3">
        <v>0</v>
      </c>
      <c r="EI272" s="3">
        <v>0</v>
      </c>
      <c r="EJ272" s="3">
        <v>0</v>
      </c>
      <c r="EK272" s="3">
        <v>0</v>
      </c>
      <c r="EL272" s="3">
        <v>0</v>
      </c>
      <c r="EM272" s="3">
        <v>0</v>
      </c>
      <c r="EN272" s="3">
        <v>0</v>
      </c>
      <c r="EO272" s="4">
        <f t="shared" si="148"/>
        <v>0</v>
      </c>
      <c r="EP272" s="8">
        <f t="shared" si="149"/>
        <v>1</v>
      </c>
      <c r="EQ272" s="181">
        <f>IFERROR(VLOOKUP(I272,CEI_012018!$A$1:$U$509,9,FALSE),0)</f>
        <v>0</v>
      </c>
      <c r="ER272" s="181">
        <f>IFERROR(VLOOKUP(I272,CEI_022018!$A$1:$U$509,9,FALSE),0)</f>
        <v>0</v>
      </c>
      <c r="ES272" s="181">
        <f>IFERROR(VLOOKUP(I272,CEI_032018!$A$1:$U$509,9,FALSE),0)</f>
        <v>0</v>
      </c>
      <c r="ET272" s="181">
        <f>IFERROR(VLOOKUP(I272,CEI_042018!$A$1:$U$491,9,FALSE),0)</f>
        <v>0</v>
      </c>
      <c r="EU272" s="181">
        <f>IFERROR(VLOOKUP(I272,CEI_052018!$A$1:$U$489,9,FALSE),0)</f>
        <v>0</v>
      </c>
      <c r="EV272" s="181">
        <f>IFERROR(VLOOKUP(I272,CEI_062018!$A$1:$U$489,9,FALSE),0)</f>
        <v>0</v>
      </c>
      <c r="EW272" s="181">
        <f>IFERROR(VLOOKUP(I272,CEI_072018!$A$1:$U$489,9,FALSE),0)</f>
        <v>0</v>
      </c>
      <c r="EX272" s="181">
        <f>IFERROR(VLOOKUP(I272,CEI_082018!$A$1:$U$489,9,FALSE),0)</f>
        <v>0</v>
      </c>
      <c r="EY272" s="181">
        <f>IFERROR(VLOOKUP(I272,CEI_092018!$A$1:$U$489,9,FALSE),0)</f>
        <v>0</v>
      </c>
      <c r="EZ272" s="181"/>
      <c r="FA272" s="181"/>
      <c r="FB272" s="181"/>
      <c r="FC272" s="181">
        <f>IFERROR(VLOOKUP(I272,CEI_092018!$A$1:$U$489,12,FALSE),0)</f>
        <v>0</v>
      </c>
      <c r="FD272" s="181">
        <f t="shared" ref="FD272:FD303" si="155">EW272+FC272</f>
        <v>0</v>
      </c>
      <c r="FE272" s="181">
        <f t="shared" ref="FE272:FE303" si="156">SUM(T272-FD272)</f>
        <v>0</v>
      </c>
      <c r="FF272"/>
      <c r="FG272"/>
      <c r="FH272"/>
      <c r="FI272"/>
      <c r="FJ272"/>
      <c r="FK272"/>
      <c r="FL272"/>
      <c r="FM272"/>
      <c r="FN272"/>
      <c r="FO272"/>
      <c r="FP272"/>
      <c r="FQ272"/>
      <c r="FR272"/>
      <c r="FS272"/>
      <c r="FT272"/>
      <c r="FU272"/>
      <c r="FV272"/>
      <c r="FW272"/>
      <c r="FX272"/>
      <c r="FY272"/>
      <c r="FZ272"/>
      <c r="GA272"/>
      <c r="GB272"/>
      <c r="GC272"/>
    </row>
    <row r="273" spans="1:185" ht="12.75" customHeight="1" x14ac:dyDescent="0.25">
      <c r="A273" s="202"/>
      <c r="B273" s="22" t="s">
        <v>57</v>
      </c>
      <c r="C273" s="34" t="s">
        <v>44</v>
      </c>
      <c r="D273" s="22" t="s">
        <v>1059</v>
      </c>
      <c r="E273" s="25" t="s">
        <v>1063</v>
      </c>
      <c r="F273" s="25" t="s">
        <v>1059</v>
      </c>
      <c r="G273" s="25" t="s">
        <v>1063</v>
      </c>
      <c r="H273" s="22" t="s">
        <v>56</v>
      </c>
      <c r="I273" s="423" t="s">
        <v>565</v>
      </c>
      <c r="J273" s="37" t="s">
        <v>59</v>
      </c>
      <c r="K273" s="23" t="s">
        <v>414</v>
      </c>
      <c r="L273" s="23" t="s">
        <v>788</v>
      </c>
      <c r="M273" s="23" t="s">
        <v>789</v>
      </c>
      <c r="N273" s="23" t="s">
        <v>1864</v>
      </c>
      <c r="O273" s="2">
        <v>0</v>
      </c>
      <c r="P273" s="2">
        <v>0</v>
      </c>
      <c r="Q273" s="2">
        <v>0</v>
      </c>
      <c r="R273" s="2">
        <v>0</v>
      </c>
      <c r="S273" s="2">
        <v>0</v>
      </c>
      <c r="T273" s="116">
        <f t="shared" si="143"/>
        <v>0</v>
      </c>
      <c r="U273" s="324">
        <v>0</v>
      </c>
      <c r="V273" s="324">
        <v>0</v>
      </c>
      <c r="W273" s="324">
        <v>0</v>
      </c>
      <c r="X273" s="324">
        <v>0</v>
      </c>
      <c r="Y273" s="324">
        <v>0</v>
      </c>
      <c r="Z273" s="324">
        <v>0</v>
      </c>
      <c r="AA273" s="324">
        <v>0</v>
      </c>
      <c r="AB273" s="324">
        <v>0</v>
      </c>
      <c r="AC273" s="324">
        <v>0</v>
      </c>
      <c r="AD273" s="324">
        <v>0</v>
      </c>
      <c r="AE273" s="324">
        <v>0</v>
      </c>
      <c r="AF273" s="324">
        <v>0</v>
      </c>
      <c r="AG273" s="140">
        <f t="shared" si="150"/>
        <v>0</v>
      </c>
      <c r="AH273" s="324">
        <v>0</v>
      </c>
      <c r="AI273" s="324">
        <v>0</v>
      </c>
      <c r="AJ273" s="324">
        <v>0</v>
      </c>
      <c r="AK273" s="324">
        <v>0</v>
      </c>
      <c r="AL273" s="324">
        <v>0</v>
      </c>
      <c r="AM273" s="324">
        <v>0</v>
      </c>
      <c r="AN273" s="324">
        <v>0</v>
      </c>
      <c r="AO273" s="324">
        <v>0</v>
      </c>
      <c r="AP273" s="324">
        <v>0</v>
      </c>
      <c r="AQ273" s="324">
        <v>50</v>
      </c>
      <c r="AR273" s="324">
        <v>50</v>
      </c>
      <c r="AS273" s="324">
        <v>50</v>
      </c>
      <c r="AT273" s="140">
        <f t="shared" si="151"/>
        <v>150</v>
      </c>
      <c r="AU273" s="324">
        <v>50</v>
      </c>
      <c r="AV273" s="324">
        <v>50</v>
      </c>
      <c r="AW273" s="324">
        <v>50</v>
      </c>
      <c r="AX273" s="324">
        <v>0</v>
      </c>
      <c r="AY273" s="324">
        <v>0</v>
      </c>
      <c r="AZ273" s="324">
        <v>0</v>
      </c>
      <c r="BA273" s="324">
        <v>0</v>
      </c>
      <c r="BB273" s="324">
        <v>0</v>
      </c>
      <c r="BC273" s="324">
        <v>0</v>
      </c>
      <c r="BD273" s="324">
        <v>0</v>
      </c>
      <c r="BE273" s="324">
        <v>0</v>
      </c>
      <c r="BF273" s="324">
        <v>0</v>
      </c>
      <c r="BG273" s="140">
        <f t="shared" si="152"/>
        <v>150</v>
      </c>
      <c r="BH273" s="324">
        <v>0</v>
      </c>
      <c r="BI273" s="324">
        <v>0</v>
      </c>
      <c r="BJ273" s="324">
        <v>0</v>
      </c>
      <c r="BK273" s="324">
        <v>0</v>
      </c>
      <c r="BL273" s="324">
        <v>0</v>
      </c>
      <c r="BM273" s="324">
        <v>0</v>
      </c>
      <c r="BN273" s="324">
        <v>0</v>
      </c>
      <c r="BO273" s="324">
        <v>0</v>
      </c>
      <c r="BP273" s="324">
        <v>0</v>
      </c>
      <c r="BQ273" s="324">
        <v>0</v>
      </c>
      <c r="BR273" s="324">
        <v>0</v>
      </c>
      <c r="BS273" s="324">
        <v>0</v>
      </c>
      <c r="BT273" s="140">
        <f t="shared" si="153"/>
        <v>0</v>
      </c>
      <c r="BU273" s="114">
        <f t="shared" si="154"/>
        <v>300</v>
      </c>
      <c r="BV273" s="432"/>
      <c r="BW273" s="432"/>
      <c r="BX273" s="432"/>
      <c r="BY273" s="432"/>
      <c r="BZ273" s="433"/>
      <c r="CA273" s="434"/>
      <c r="CB273" s="7" t="s">
        <v>1699</v>
      </c>
      <c r="CC273" s="3">
        <v>0</v>
      </c>
      <c r="CD273" s="3">
        <v>0</v>
      </c>
      <c r="CE273" s="3">
        <v>0</v>
      </c>
      <c r="CF273" s="3">
        <v>0</v>
      </c>
      <c r="CG273" s="3">
        <v>0</v>
      </c>
      <c r="CH273" s="3">
        <v>0</v>
      </c>
      <c r="CI273" s="3">
        <v>0</v>
      </c>
      <c r="CJ273" s="3">
        <v>0</v>
      </c>
      <c r="CK273" s="3">
        <v>0</v>
      </c>
      <c r="CL273" s="3">
        <v>0</v>
      </c>
      <c r="CM273" s="3">
        <v>0</v>
      </c>
      <c r="CN273" s="3">
        <v>0</v>
      </c>
      <c r="CO273" s="4">
        <f t="shared" si="144"/>
        <v>0</v>
      </c>
      <c r="CP273" s="3">
        <v>0</v>
      </c>
      <c r="CQ273" s="3">
        <v>0</v>
      </c>
      <c r="CR273" s="3">
        <v>0</v>
      </c>
      <c r="CS273" s="3">
        <v>0</v>
      </c>
      <c r="CT273" s="3">
        <v>0</v>
      </c>
      <c r="CU273" s="3">
        <v>0</v>
      </c>
      <c r="CV273" s="3">
        <v>0</v>
      </c>
      <c r="CW273" s="3">
        <v>0</v>
      </c>
      <c r="CX273" s="3">
        <v>0</v>
      </c>
      <c r="CY273" s="3">
        <v>0</v>
      </c>
      <c r="CZ273" s="3">
        <v>0</v>
      </c>
      <c r="DA273" s="3">
        <v>0</v>
      </c>
      <c r="DB273" s="4">
        <f t="shared" si="145"/>
        <v>0</v>
      </c>
      <c r="DC273" s="3">
        <v>0</v>
      </c>
      <c r="DD273" s="3">
        <v>0</v>
      </c>
      <c r="DE273" s="3">
        <v>0</v>
      </c>
      <c r="DF273" s="3">
        <v>0</v>
      </c>
      <c r="DG273" s="3">
        <v>0</v>
      </c>
      <c r="DH273" s="3">
        <v>0</v>
      </c>
      <c r="DI273" s="3">
        <v>0</v>
      </c>
      <c r="DJ273" s="3">
        <v>0</v>
      </c>
      <c r="DK273" s="3">
        <v>0</v>
      </c>
      <c r="DL273" s="3">
        <v>0</v>
      </c>
      <c r="DM273" s="3">
        <v>0</v>
      </c>
      <c r="DN273" s="3">
        <v>1</v>
      </c>
      <c r="DO273" s="4">
        <f t="shared" si="146"/>
        <v>1</v>
      </c>
      <c r="DP273" s="3">
        <v>0</v>
      </c>
      <c r="DQ273" s="3">
        <v>0</v>
      </c>
      <c r="DR273" s="3">
        <v>1</v>
      </c>
      <c r="DS273" s="3">
        <v>0</v>
      </c>
      <c r="DT273" s="3">
        <v>0</v>
      </c>
      <c r="DU273" s="3">
        <v>0</v>
      </c>
      <c r="DV273" s="3">
        <v>0</v>
      </c>
      <c r="DW273" s="3">
        <v>0</v>
      </c>
      <c r="DX273" s="3">
        <v>0</v>
      </c>
      <c r="DY273" s="3">
        <v>0</v>
      </c>
      <c r="DZ273" s="3">
        <v>0</v>
      </c>
      <c r="EA273" s="3">
        <v>0</v>
      </c>
      <c r="EB273" s="4">
        <f t="shared" si="147"/>
        <v>1</v>
      </c>
      <c r="EC273" s="3">
        <v>0</v>
      </c>
      <c r="ED273" s="3">
        <v>0</v>
      </c>
      <c r="EE273" s="3">
        <v>0</v>
      </c>
      <c r="EF273" s="3">
        <v>0</v>
      </c>
      <c r="EG273" s="3">
        <v>0</v>
      </c>
      <c r="EH273" s="3">
        <v>0</v>
      </c>
      <c r="EI273" s="3">
        <v>0</v>
      </c>
      <c r="EJ273" s="3">
        <v>0</v>
      </c>
      <c r="EK273" s="3">
        <v>0</v>
      </c>
      <c r="EL273" s="3">
        <v>0</v>
      </c>
      <c r="EM273" s="3">
        <v>0</v>
      </c>
      <c r="EN273" s="3">
        <v>0</v>
      </c>
      <c r="EO273" s="4">
        <f t="shared" si="148"/>
        <v>0</v>
      </c>
      <c r="EP273" s="8">
        <f t="shared" si="149"/>
        <v>2</v>
      </c>
      <c r="EQ273" s="181">
        <f>IFERROR(VLOOKUP(I273,CEI_012018!$A$1:$U$509,9,FALSE),0)</f>
        <v>0</v>
      </c>
      <c r="ER273" s="181">
        <f>IFERROR(VLOOKUP(I273,CEI_022018!$A$1:$U$509,9,FALSE),0)</f>
        <v>0</v>
      </c>
      <c r="ES273" s="181">
        <f>IFERROR(VLOOKUP(I273,CEI_032018!$A$1:$U$509,9,FALSE),0)</f>
        <v>0</v>
      </c>
      <c r="ET273" s="181">
        <f>IFERROR(VLOOKUP(I273,CEI_042018!$A$1:$U$491,9,FALSE),0)</f>
        <v>0</v>
      </c>
      <c r="EU273" s="181">
        <f>IFERROR(VLOOKUP(I273,CEI_052018!$A$1:$U$489,9,FALSE),0)</f>
        <v>0</v>
      </c>
      <c r="EV273" s="181">
        <f>IFERROR(VLOOKUP(I273,CEI_062018!$A$1:$U$489,9,FALSE),0)</f>
        <v>0</v>
      </c>
      <c r="EW273" s="181">
        <f>IFERROR(VLOOKUP(I273,CEI_072018!$A$1:$U$489,9,FALSE),0)</f>
        <v>0</v>
      </c>
      <c r="EX273" s="181">
        <f>IFERROR(VLOOKUP(I273,CEI_082018!$A$1:$U$489,9,FALSE),0)</f>
        <v>0</v>
      </c>
      <c r="EY273" s="181">
        <f>IFERROR(VLOOKUP(I273,CEI_092018!$A$1:$U$489,9,FALSE),0)</f>
        <v>0</v>
      </c>
      <c r="EZ273" s="181"/>
      <c r="FA273" s="181"/>
      <c r="FB273" s="181"/>
      <c r="FC273" s="181">
        <f>IFERROR(VLOOKUP(I273,CEI_092018!$A$1:$U$489,12,FALSE),0)</f>
        <v>0</v>
      </c>
      <c r="FD273" s="181">
        <f t="shared" si="155"/>
        <v>0</v>
      </c>
      <c r="FE273" s="181">
        <f t="shared" si="156"/>
        <v>0</v>
      </c>
      <c r="FF273"/>
      <c r="FG273"/>
      <c r="FH273"/>
      <c r="FI273"/>
      <c r="FJ273"/>
      <c r="FK273"/>
      <c r="FL273"/>
      <c r="FM273"/>
      <c r="FN273"/>
      <c r="FO273"/>
      <c r="FP273"/>
      <c r="FQ273"/>
      <c r="FR273"/>
      <c r="FS273"/>
      <c r="FT273"/>
      <c r="FU273"/>
      <c r="FV273"/>
      <c r="FW273"/>
      <c r="FX273"/>
      <c r="FY273"/>
      <c r="FZ273"/>
      <c r="GA273"/>
      <c r="GB273"/>
      <c r="GC273"/>
    </row>
    <row r="274" spans="1:185" ht="12.75" customHeight="1" x14ac:dyDescent="0.25">
      <c r="A274" s="202"/>
      <c r="B274" s="22" t="s">
        <v>57</v>
      </c>
      <c r="C274" s="34" t="s">
        <v>44</v>
      </c>
      <c r="D274" s="22" t="s">
        <v>1059</v>
      </c>
      <c r="E274" s="25" t="s">
        <v>1063</v>
      </c>
      <c r="F274" s="25" t="s">
        <v>1059</v>
      </c>
      <c r="G274" s="25" t="s">
        <v>1063</v>
      </c>
      <c r="H274" s="22" t="s">
        <v>56</v>
      </c>
      <c r="I274" s="423" t="s">
        <v>565</v>
      </c>
      <c r="J274" s="37" t="s">
        <v>59</v>
      </c>
      <c r="K274" s="23" t="s">
        <v>413</v>
      </c>
      <c r="L274" s="23" t="s">
        <v>786</v>
      </c>
      <c r="M274" s="23" t="s">
        <v>787</v>
      </c>
      <c r="N274" s="23" t="s">
        <v>1864</v>
      </c>
      <c r="O274" s="2">
        <v>0</v>
      </c>
      <c r="P274" s="2">
        <v>0</v>
      </c>
      <c r="Q274" s="2">
        <v>0</v>
      </c>
      <c r="R274" s="2">
        <v>0</v>
      </c>
      <c r="S274" s="2">
        <v>0</v>
      </c>
      <c r="T274" s="116">
        <f t="shared" si="143"/>
        <v>0</v>
      </c>
      <c r="U274" s="324">
        <v>0</v>
      </c>
      <c r="V274" s="324">
        <v>0</v>
      </c>
      <c r="W274" s="324">
        <v>0</v>
      </c>
      <c r="X274" s="324">
        <v>0</v>
      </c>
      <c r="Y274" s="324">
        <v>0</v>
      </c>
      <c r="Z274" s="324">
        <v>0</v>
      </c>
      <c r="AA274" s="324">
        <v>0</v>
      </c>
      <c r="AB274" s="324">
        <v>0</v>
      </c>
      <c r="AC274" s="324">
        <v>0</v>
      </c>
      <c r="AD274" s="324">
        <v>0</v>
      </c>
      <c r="AE274" s="324">
        <v>0</v>
      </c>
      <c r="AF274" s="324">
        <v>0</v>
      </c>
      <c r="AG274" s="140">
        <f t="shared" si="150"/>
        <v>0</v>
      </c>
      <c r="AH274" s="324">
        <v>0</v>
      </c>
      <c r="AI274" s="324">
        <v>0</v>
      </c>
      <c r="AJ274" s="324">
        <v>0</v>
      </c>
      <c r="AK274" s="324">
        <v>0</v>
      </c>
      <c r="AL274" s="324">
        <v>0</v>
      </c>
      <c r="AM274" s="324">
        <v>0</v>
      </c>
      <c r="AN274" s="324">
        <v>0</v>
      </c>
      <c r="AO274" s="324">
        <v>0</v>
      </c>
      <c r="AP274" s="324">
        <v>0</v>
      </c>
      <c r="AQ274" s="324">
        <v>50</v>
      </c>
      <c r="AR274" s="324">
        <v>50</v>
      </c>
      <c r="AS274" s="324">
        <v>50</v>
      </c>
      <c r="AT274" s="140">
        <f t="shared" si="151"/>
        <v>150</v>
      </c>
      <c r="AU274" s="324">
        <v>50</v>
      </c>
      <c r="AV274" s="324">
        <v>50</v>
      </c>
      <c r="AW274" s="324">
        <v>50</v>
      </c>
      <c r="AX274" s="324">
        <v>0</v>
      </c>
      <c r="AY274" s="324">
        <v>0</v>
      </c>
      <c r="AZ274" s="324">
        <v>0</v>
      </c>
      <c r="BA274" s="324">
        <v>0</v>
      </c>
      <c r="BB274" s="324">
        <v>0</v>
      </c>
      <c r="BC274" s="324">
        <v>0</v>
      </c>
      <c r="BD274" s="324">
        <v>0</v>
      </c>
      <c r="BE274" s="324">
        <v>0</v>
      </c>
      <c r="BF274" s="324">
        <v>0</v>
      </c>
      <c r="BG274" s="140">
        <f t="shared" si="152"/>
        <v>150</v>
      </c>
      <c r="BH274" s="324">
        <v>0</v>
      </c>
      <c r="BI274" s="324">
        <v>0</v>
      </c>
      <c r="BJ274" s="324">
        <v>0</v>
      </c>
      <c r="BK274" s="324">
        <v>0</v>
      </c>
      <c r="BL274" s="324">
        <v>0</v>
      </c>
      <c r="BM274" s="324">
        <v>0</v>
      </c>
      <c r="BN274" s="324">
        <v>0</v>
      </c>
      <c r="BO274" s="324">
        <v>0</v>
      </c>
      <c r="BP274" s="324">
        <v>0</v>
      </c>
      <c r="BQ274" s="324">
        <v>0</v>
      </c>
      <c r="BR274" s="324">
        <v>0</v>
      </c>
      <c r="BS274" s="324">
        <v>0</v>
      </c>
      <c r="BT274" s="140">
        <f t="shared" si="153"/>
        <v>0</v>
      </c>
      <c r="BU274" s="114">
        <f t="shared" si="154"/>
        <v>300</v>
      </c>
      <c r="BV274" s="432"/>
      <c r="BW274" s="432"/>
      <c r="BX274" s="432"/>
      <c r="BY274" s="432"/>
      <c r="BZ274" s="433"/>
      <c r="CA274" s="434"/>
      <c r="CB274" s="7" t="s">
        <v>1699</v>
      </c>
      <c r="CC274" s="3">
        <v>0</v>
      </c>
      <c r="CD274" s="3">
        <v>0</v>
      </c>
      <c r="CE274" s="3">
        <v>0</v>
      </c>
      <c r="CF274" s="3">
        <v>0</v>
      </c>
      <c r="CG274" s="3">
        <v>0</v>
      </c>
      <c r="CH274" s="3">
        <v>0</v>
      </c>
      <c r="CI274" s="3">
        <v>0</v>
      </c>
      <c r="CJ274" s="3">
        <v>0</v>
      </c>
      <c r="CK274" s="3">
        <v>0</v>
      </c>
      <c r="CL274" s="3">
        <v>0</v>
      </c>
      <c r="CM274" s="3">
        <v>0</v>
      </c>
      <c r="CN274" s="3">
        <v>0</v>
      </c>
      <c r="CO274" s="4">
        <f t="shared" si="144"/>
        <v>0</v>
      </c>
      <c r="CP274" s="3">
        <v>0</v>
      </c>
      <c r="CQ274" s="3">
        <v>0</v>
      </c>
      <c r="CR274" s="3">
        <v>0</v>
      </c>
      <c r="CS274" s="3">
        <v>0</v>
      </c>
      <c r="CT274" s="3">
        <v>0</v>
      </c>
      <c r="CU274" s="3">
        <v>0</v>
      </c>
      <c r="CV274" s="3">
        <v>0</v>
      </c>
      <c r="CW274" s="3">
        <v>0</v>
      </c>
      <c r="CX274" s="3">
        <v>0</v>
      </c>
      <c r="CY274" s="3">
        <v>0</v>
      </c>
      <c r="CZ274" s="3">
        <v>0</v>
      </c>
      <c r="DA274" s="3">
        <v>0</v>
      </c>
      <c r="DB274" s="4">
        <f t="shared" si="145"/>
        <v>0</v>
      </c>
      <c r="DC274" s="3">
        <v>0</v>
      </c>
      <c r="DD274" s="3">
        <v>0</v>
      </c>
      <c r="DE274" s="3">
        <v>0</v>
      </c>
      <c r="DF274" s="3">
        <v>0</v>
      </c>
      <c r="DG274" s="3">
        <v>0</v>
      </c>
      <c r="DH274" s="3">
        <v>0</v>
      </c>
      <c r="DI274" s="3">
        <v>0</v>
      </c>
      <c r="DJ274" s="3">
        <v>0</v>
      </c>
      <c r="DK274" s="3">
        <v>0</v>
      </c>
      <c r="DL274" s="3">
        <v>0</v>
      </c>
      <c r="DM274" s="3">
        <v>0</v>
      </c>
      <c r="DN274" s="3">
        <v>1</v>
      </c>
      <c r="DO274" s="4">
        <f t="shared" si="146"/>
        <v>1</v>
      </c>
      <c r="DP274" s="3">
        <v>0</v>
      </c>
      <c r="DQ274" s="3">
        <v>0</v>
      </c>
      <c r="DR274" s="3">
        <v>1</v>
      </c>
      <c r="DS274" s="3">
        <v>0</v>
      </c>
      <c r="DT274" s="3">
        <v>0</v>
      </c>
      <c r="DU274" s="3">
        <v>0</v>
      </c>
      <c r="DV274" s="3">
        <v>0</v>
      </c>
      <c r="DW274" s="3">
        <v>0</v>
      </c>
      <c r="DX274" s="3">
        <v>0</v>
      </c>
      <c r="DY274" s="3">
        <v>0</v>
      </c>
      <c r="DZ274" s="3">
        <v>0</v>
      </c>
      <c r="EA274" s="3">
        <v>0</v>
      </c>
      <c r="EB274" s="4">
        <f t="shared" si="147"/>
        <v>1</v>
      </c>
      <c r="EC274" s="3">
        <v>0</v>
      </c>
      <c r="ED274" s="3">
        <v>0</v>
      </c>
      <c r="EE274" s="3">
        <v>0</v>
      </c>
      <c r="EF274" s="3">
        <v>0</v>
      </c>
      <c r="EG274" s="3">
        <v>0</v>
      </c>
      <c r="EH274" s="3">
        <v>0</v>
      </c>
      <c r="EI274" s="3">
        <v>0</v>
      </c>
      <c r="EJ274" s="3">
        <v>0</v>
      </c>
      <c r="EK274" s="3">
        <v>0</v>
      </c>
      <c r="EL274" s="3">
        <v>0</v>
      </c>
      <c r="EM274" s="3">
        <v>0</v>
      </c>
      <c r="EN274" s="3">
        <v>0</v>
      </c>
      <c r="EO274" s="4">
        <f t="shared" si="148"/>
        <v>0</v>
      </c>
      <c r="EP274" s="8">
        <f t="shared" si="149"/>
        <v>2</v>
      </c>
      <c r="EQ274" s="181">
        <f>IFERROR(VLOOKUP(I274,CEI_012018!$A$1:$U$509,9,FALSE),0)</f>
        <v>0</v>
      </c>
      <c r="ER274" s="181">
        <f>IFERROR(VLOOKUP(I274,CEI_022018!$A$1:$U$509,9,FALSE),0)</f>
        <v>0</v>
      </c>
      <c r="ES274" s="181">
        <f>IFERROR(VLOOKUP(I274,CEI_032018!$A$1:$U$509,9,FALSE),0)</f>
        <v>0</v>
      </c>
      <c r="ET274" s="181">
        <f>IFERROR(VLOOKUP(I274,CEI_042018!$A$1:$U$491,9,FALSE),0)</f>
        <v>0</v>
      </c>
      <c r="EU274" s="181">
        <f>IFERROR(VLOOKUP(I274,CEI_052018!$A$1:$U$489,9,FALSE),0)</f>
        <v>0</v>
      </c>
      <c r="EV274" s="181">
        <f>IFERROR(VLOOKUP(I274,CEI_062018!$A$1:$U$489,9,FALSE),0)</f>
        <v>0</v>
      </c>
      <c r="EW274" s="181">
        <f>IFERROR(VLOOKUP(I274,CEI_072018!$A$1:$U$489,9,FALSE),0)</f>
        <v>0</v>
      </c>
      <c r="EX274" s="181">
        <f>IFERROR(VLOOKUP(I274,CEI_082018!$A$1:$U$489,9,FALSE),0)</f>
        <v>0</v>
      </c>
      <c r="EY274" s="181">
        <f>IFERROR(VLOOKUP(I274,CEI_092018!$A$1:$U$489,9,FALSE),0)</f>
        <v>0</v>
      </c>
      <c r="EZ274" s="181"/>
      <c r="FA274" s="181"/>
      <c r="FB274" s="181"/>
      <c r="FC274" s="181">
        <f>IFERROR(VLOOKUP(I274,CEI_092018!$A$1:$U$489,12,FALSE),0)</f>
        <v>0</v>
      </c>
      <c r="FD274" s="181">
        <f t="shared" si="155"/>
        <v>0</v>
      </c>
      <c r="FE274" s="181">
        <f t="shared" si="156"/>
        <v>0</v>
      </c>
      <c r="FF274"/>
      <c r="FG274"/>
      <c r="FH274"/>
      <c r="FI274"/>
      <c r="FJ274"/>
      <c r="FK274"/>
      <c r="FL274"/>
      <c r="FM274"/>
      <c r="FN274"/>
      <c r="FO274"/>
      <c r="FP274"/>
      <c r="FQ274"/>
      <c r="FR274"/>
      <c r="FS274"/>
      <c r="FT274"/>
      <c r="FU274"/>
      <c r="FV274"/>
      <c r="FW274"/>
      <c r="FX274"/>
      <c r="FY274"/>
      <c r="FZ274"/>
      <c r="GA274"/>
      <c r="GB274"/>
      <c r="GC274"/>
    </row>
    <row r="275" spans="1:185" ht="11.25" customHeight="1" x14ac:dyDescent="0.25">
      <c r="A275" s="202"/>
      <c r="B275" s="22" t="s">
        <v>57</v>
      </c>
      <c r="C275" s="34" t="s">
        <v>44</v>
      </c>
      <c r="D275" s="22" t="s">
        <v>1059</v>
      </c>
      <c r="E275" s="25" t="s">
        <v>1063</v>
      </c>
      <c r="F275" s="25" t="s">
        <v>1059</v>
      </c>
      <c r="G275" s="25" t="s">
        <v>1063</v>
      </c>
      <c r="H275" s="22" t="s">
        <v>56</v>
      </c>
      <c r="I275" s="423" t="s">
        <v>565</v>
      </c>
      <c r="J275" s="37" t="s">
        <v>59</v>
      </c>
      <c r="K275" s="23" t="s">
        <v>1019</v>
      </c>
      <c r="L275" s="23"/>
      <c r="M275" s="23"/>
      <c r="N275" s="23" t="s">
        <v>1864</v>
      </c>
      <c r="O275" s="2">
        <v>0</v>
      </c>
      <c r="P275" s="2">
        <v>0</v>
      </c>
      <c r="Q275" s="2">
        <v>0</v>
      </c>
      <c r="R275" s="2">
        <v>0</v>
      </c>
      <c r="S275" s="2">
        <v>0</v>
      </c>
      <c r="T275" s="116">
        <f t="shared" si="143"/>
        <v>0</v>
      </c>
      <c r="U275" s="324">
        <v>0</v>
      </c>
      <c r="V275" s="324">
        <v>0</v>
      </c>
      <c r="W275" s="324">
        <v>0</v>
      </c>
      <c r="X275" s="324">
        <v>0</v>
      </c>
      <c r="Y275" s="324">
        <v>0</v>
      </c>
      <c r="Z275" s="324">
        <v>0</v>
      </c>
      <c r="AA275" s="324">
        <v>0</v>
      </c>
      <c r="AB275" s="324">
        <v>0</v>
      </c>
      <c r="AC275" s="324">
        <v>0</v>
      </c>
      <c r="AD275" s="324">
        <v>0</v>
      </c>
      <c r="AE275" s="324">
        <v>0</v>
      </c>
      <c r="AF275" s="324">
        <v>0</v>
      </c>
      <c r="AG275" s="140">
        <f t="shared" si="150"/>
        <v>0</v>
      </c>
      <c r="AH275" s="324">
        <v>0</v>
      </c>
      <c r="AI275" s="324">
        <v>0</v>
      </c>
      <c r="AJ275" s="324">
        <v>150</v>
      </c>
      <c r="AK275" s="324">
        <v>0</v>
      </c>
      <c r="AL275" s="324">
        <v>0</v>
      </c>
      <c r="AM275" s="324">
        <v>0</v>
      </c>
      <c r="AN275" s="324">
        <v>0</v>
      </c>
      <c r="AO275" s="324">
        <v>0</v>
      </c>
      <c r="AP275" s="324">
        <v>0</v>
      </c>
      <c r="AQ275" s="324">
        <v>0</v>
      </c>
      <c r="AR275" s="324">
        <v>0</v>
      </c>
      <c r="AS275" s="324">
        <v>0</v>
      </c>
      <c r="AT275" s="140">
        <f t="shared" si="151"/>
        <v>150</v>
      </c>
      <c r="AU275" s="324">
        <v>0</v>
      </c>
      <c r="AV275" s="324">
        <v>0</v>
      </c>
      <c r="AW275" s="324">
        <v>150</v>
      </c>
      <c r="AX275" s="324">
        <v>0</v>
      </c>
      <c r="AY275" s="324">
        <v>0</v>
      </c>
      <c r="AZ275" s="324">
        <v>0</v>
      </c>
      <c r="BA275" s="324">
        <v>0</v>
      </c>
      <c r="BB275" s="324">
        <v>0</v>
      </c>
      <c r="BC275" s="324">
        <v>0</v>
      </c>
      <c r="BD275" s="324">
        <v>0</v>
      </c>
      <c r="BE275" s="324">
        <v>0</v>
      </c>
      <c r="BF275" s="324">
        <v>0</v>
      </c>
      <c r="BG275" s="140">
        <f t="shared" si="152"/>
        <v>150</v>
      </c>
      <c r="BH275" s="324">
        <v>0</v>
      </c>
      <c r="BI275" s="324">
        <v>0</v>
      </c>
      <c r="BJ275" s="324">
        <v>0</v>
      </c>
      <c r="BK275" s="324">
        <v>0</v>
      </c>
      <c r="BL275" s="324">
        <v>0</v>
      </c>
      <c r="BM275" s="324">
        <v>0</v>
      </c>
      <c r="BN275" s="324">
        <v>0</v>
      </c>
      <c r="BO275" s="324">
        <v>0</v>
      </c>
      <c r="BP275" s="324">
        <v>0</v>
      </c>
      <c r="BQ275" s="324">
        <v>0</v>
      </c>
      <c r="BR275" s="324">
        <v>0</v>
      </c>
      <c r="BS275" s="324">
        <v>0</v>
      </c>
      <c r="BT275" s="140">
        <f t="shared" si="153"/>
        <v>0</v>
      </c>
      <c r="BU275" s="114">
        <f t="shared" si="154"/>
        <v>300</v>
      </c>
      <c r="BV275" s="432"/>
      <c r="BW275" s="432"/>
      <c r="BX275" s="432"/>
      <c r="BY275" s="432"/>
      <c r="BZ275" s="433"/>
      <c r="CA275" s="434"/>
      <c r="CB275" s="7" t="s">
        <v>1699</v>
      </c>
      <c r="CC275" s="3">
        <v>0</v>
      </c>
      <c r="CD275" s="3">
        <v>0</v>
      </c>
      <c r="CE275" s="3">
        <v>0</v>
      </c>
      <c r="CF275" s="3">
        <v>0</v>
      </c>
      <c r="CG275" s="3">
        <v>0</v>
      </c>
      <c r="CH275" s="3">
        <v>0</v>
      </c>
      <c r="CI275" s="3">
        <v>0</v>
      </c>
      <c r="CJ275" s="3">
        <v>0</v>
      </c>
      <c r="CK275" s="3">
        <v>0</v>
      </c>
      <c r="CL275" s="3">
        <v>0</v>
      </c>
      <c r="CM275" s="3">
        <v>0</v>
      </c>
      <c r="CN275" s="3">
        <v>0</v>
      </c>
      <c r="CO275" s="4">
        <f t="shared" si="144"/>
        <v>0</v>
      </c>
      <c r="CP275" s="3">
        <v>0</v>
      </c>
      <c r="CQ275" s="3">
        <v>0</v>
      </c>
      <c r="CR275" s="3">
        <v>0</v>
      </c>
      <c r="CS275" s="3">
        <v>0</v>
      </c>
      <c r="CT275" s="3">
        <v>0</v>
      </c>
      <c r="CU275" s="3">
        <v>0</v>
      </c>
      <c r="CV275" s="3">
        <v>0</v>
      </c>
      <c r="CW275" s="3">
        <v>0</v>
      </c>
      <c r="CX275" s="3">
        <v>0</v>
      </c>
      <c r="CY275" s="3">
        <v>0</v>
      </c>
      <c r="CZ275" s="3">
        <v>0</v>
      </c>
      <c r="DA275" s="3">
        <v>0</v>
      </c>
      <c r="DB275" s="4">
        <f t="shared" si="145"/>
        <v>0</v>
      </c>
      <c r="DC275" s="3">
        <v>0</v>
      </c>
      <c r="DD275" s="3">
        <v>0</v>
      </c>
      <c r="DE275" s="3">
        <v>1</v>
      </c>
      <c r="DF275" s="3">
        <v>0</v>
      </c>
      <c r="DG275" s="3">
        <v>0</v>
      </c>
      <c r="DH275" s="3">
        <v>0</v>
      </c>
      <c r="DI275" s="3">
        <v>0</v>
      </c>
      <c r="DJ275" s="3">
        <v>0</v>
      </c>
      <c r="DK275" s="3">
        <v>0</v>
      </c>
      <c r="DL275" s="3">
        <v>0</v>
      </c>
      <c r="DM275" s="3">
        <v>0</v>
      </c>
      <c r="DN275" s="3">
        <v>0</v>
      </c>
      <c r="DO275" s="4">
        <f t="shared" si="146"/>
        <v>1</v>
      </c>
      <c r="DP275" s="3">
        <v>0</v>
      </c>
      <c r="DQ275" s="3">
        <v>0</v>
      </c>
      <c r="DR275" s="3">
        <v>1</v>
      </c>
      <c r="DS275" s="3">
        <v>0</v>
      </c>
      <c r="DT275" s="3">
        <v>0</v>
      </c>
      <c r="DU275" s="3">
        <v>0</v>
      </c>
      <c r="DV275" s="3">
        <v>0</v>
      </c>
      <c r="DW275" s="3">
        <v>0</v>
      </c>
      <c r="DX275" s="3">
        <v>0</v>
      </c>
      <c r="DY275" s="3">
        <v>0</v>
      </c>
      <c r="DZ275" s="3">
        <v>0</v>
      </c>
      <c r="EA275" s="3">
        <v>0</v>
      </c>
      <c r="EB275" s="4">
        <f t="shared" si="147"/>
        <v>1</v>
      </c>
      <c r="EC275" s="3">
        <v>0</v>
      </c>
      <c r="ED275" s="3">
        <v>0</v>
      </c>
      <c r="EE275" s="3">
        <v>0</v>
      </c>
      <c r="EF275" s="3">
        <v>0</v>
      </c>
      <c r="EG275" s="3">
        <v>0</v>
      </c>
      <c r="EH275" s="3">
        <v>0</v>
      </c>
      <c r="EI275" s="3">
        <v>0</v>
      </c>
      <c r="EJ275" s="3">
        <v>0</v>
      </c>
      <c r="EK275" s="3">
        <v>0</v>
      </c>
      <c r="EL275" s="3">
        <v>0</v>
      </c>
      <c r="EM275" s="3">
        <v>0</v>
      </c>
      <c r="EN275" s="3">
        <v>0</v>
      </c>
      <c r="EO275" s="4">
        <f t="shared" si="148"/>
        <v>0</v>
      </c>
      <c r="EP275" s="8">
        <f t="shared" si="149"/>
        <v>2</v>
      </c>
      <c r="EQ275" s="181">
        <f>IFERROR(VLOOKUP(I275,CEI_012018!$A$1:$U$509,9,FALSE),0)</f>
        <v>0</v>
      </c>
      <c r="ER275" s="181">
        <f>IFERROR(VLOOKUP(I275,CEI_022018!$A$1:$U$509,9,FALSE),0)</f>
        <v>0</v>
      </c>
      <c r="ES275" s="181">
        <f>IFERROR(VLOOKUP(I275,CEI_032018!$A$1:$U$509,9,FALSE),0)</f>
        <v>0</v>
      </c>
      <c r="ET275" s="181">
        <f>IFERROR(VLOOKUP(I275,CEI_042018!$A$1:$U$491,9,FALSE),0)</f>
        <v>0</v>
      </c>
      <c r="EU275" s="181">
        <f>IFERROR(VLOOKUP(I275,CEI_052018!$A$1:$U$489,9,FALSE),0)</f>
        <v>0</v>
      </c>
      <c r="EV275" s="181">
        <f>IFERROR(VLOOKUP(I275,CEI_062018!$A$1:$U$489,9,FALSE),0)</f>
        <v>0</v>
      </c>
      <c r="EW275" s="181">
        <f>IFERROR(VLOOKUP(I275,CEI_072018!$A$1:$U$489,9,FALSE),0)</f>
        <v>0</v>
      </c>
      <c r="EX275" s="181">
        <f>IFERROR(VLOOKUP(I275,CEI_082018!$A$1:$U$489,9,FALSE),0)</f>
        <v>0</v>
      </c>
      <c r="EY275" s="181">
        <f>IFERROR(VLOOKUP(I275,CEI_092018!$A$1:$U$489,9,FALSE),0)</f>
        <v>0</v>
      </c>
      <c r="EZ275" s="181"/>
      <c r="FA275" s="181"/>
      <c r="FB275" s="181"/>
      <c r="FC275" s="181">
        <f>IFERROR(VLOOKUP(I275,CEI_092018!$A$1:$U$489,12,FALSE),0)</f>
        <v>0</v>
      </c>
      <c r="FD275" s="181">
        <f t="shared" si="155"/>
        <v>0</v>
      </c>
      <c r="FE275" s="181">
        <f t="shared" si="156"/>
        <v>0</v>
      </c>
      <c r="FF275"/>
      <c r="FG275"/>
      <c r="FH275"/>
      <c r="FI275"/>
      <c r="FJ275"/>
      <c r="FK275"/>
      <c r="FL275"/>
      <c r="FM275"/>
      <c r="FN275"/>
      <c r="FO275"/>
      <c r="FP275"/>
      <c r="FQ275"/>
      <c r="FR275"/>
      <c r="FS275"/>
      <c r="FT275"/>
      <c r="FU275"/>
      <c r="FV275"/>
      <c r="FW275"/>
      <c r="FX275"/>
      <c r="FY275"/>
      <c r="FZ275"/>
      <c r="GA275"/>
      <c r="GB275"/>
      <c r="GC275"/>
    </row>
    <row r="276" spans="1:185" ht="12.75" customHeight="1" x14ac:dyDescent="0.25">
      <c r="A276" s="202"/>
      <c r="B276" s="22" t="s">
        <v>57</v>
      </c>
      <c r="C276" s="34" t="s">
        <v>44</v>
      </c>
      <c r="D276" s="22" t="s">
        <v>58</v>
      </c>
      <c r="E276" s="25" t="s">
        <v>1135</v>
      </c>
      <c r="F276" s="25" t="s">
        <v>58</v>
      </c>
      <c r="G276" s="25" t="s">
        <v>1135</v>
      </c>
      <c r="H276" s="22" t="s">
        <v>56</v>
      </c>
      <c r="I276" s="423" t="s">
        <v>1550</v>
      </c>
      <c r="J276" s="37" t="s">
        <v>1552</v>
      </c>
      <c r="K276" s="23" t="s">
        <v>369</v>
      </c>
      <c r="L276" s="23" t="s">
        <v>370</v>
      </c>
      <c r="M276" s="23" t="s">
        <v>371</v>
      </c>
      <c r="N276" s="23" t="s">
        <v>59</v>
      </c>
      <c r="O276" s="2"/>
      <c r="P276" s="2">
        <v>0</v>
      </c>
      <c r="Q276" s="2">
        <v>0</v>
      </c>
      <c r="R276" s="2">
        <v>0</v>
      </c>
      <c r="S276" s="2">
        <v>150</v>
      </c>
      <c r="T276" s="116">
        <f t="shared" si="143"/>
        <v>150</v>
      </c>
      <c r="U276" s="324">
        <v>0</v>
      </c>
      <c r="V276" s="324">
        <v>0</v>
      </c>
      <c r="W276" s="324">
        <v>0</v>
      </c>
      <c r="X276" s="324">
        <v>0</v>
      </c>
      <c r="Y276" s="324">
        <v>0</v>
      </c>
      <c r="Z276" s="324">
        <v>0</v>
      </c>
      <c r="AA276" s="324">
        <v>0</v>
      </c>
      <c r="AB276" s="324">
        <v>0</v>
      </c>
      <c r="AC276" s="324">
        <v>0</v>
      </c>
      <c r="AD276" s="324">
        <v>0</v>
      </c>
      <c r="AE276" s="324">
        <v>0</v>
      </c>
      <c r="AF276" s="324">
        <v>0</v>
      </c>
      <c r="AG276" s="140">
        <f t="shared" si="150"/>
        <v>0</v>
      </c>
      <c r="AH276" s="324">
        <v>0</v>
      </c>
      <c r="AI276" s="324">
        <v>0</v>
      </c>
      <c r="AJ276" s="324">
        <v>0</v>
      </c>
      <c r="AK276" s="324">
        <v>0</v>
      </c>
      <c r="AL276" s="324">
        <v>0</v>
      </c>
      <c r="AM276" s="324">
        <v>0</v>
      </c>
      <c r="AN276" s="324">
        <v>0</v>
      </c>
      <c r="AO276" s="324">
        <v>0</v>
      </c>
      <c r="AP276" s="324">
        <v>0</v>
      </c>
      <c r="AQ276" s="324">
        <v>0</v>
      </c>
      <c r="AR276" s="324">
        <v>0</v>
      </c>
      <c r="AS276" s="324">
        <v>0</v>
      </c>
      <c r="AT276" s="140">
        <f t="shared" si="151"/>
        <v>0</v>
      </c>
      <c r="AU276" s="324">
        <v>0</v>
      </c>
      <c r="AV276" s="324">
        <v>0</v>
      </c>
      <c r="AW276" s="324">
        <v>0</v>
      </c>
      <c r="AX276" s="324">
        <v>0</v>
      </c>
      <c r="AY276" s="324">
        <v>0</v>
      </c>
      <c r="AZ276" s="324">
        <v>150</v>
      </c>
      <c r="BA276" s="324">
        <v>0</v>
      </c>
      <c r="BB276" s="324">
        <v>0</v>
      </c>
      <c r="BC276" s="324">
        <v>0</v>
      </c>
      <c r="BD276" s="324">
        <v>0</v>
      </c>
      <c r="BE276" s="324">
        <v>0</v>
      </c>
      <c r="BF276" s="324">
        <v>0</v>
      </c>
      <c r="BG276" s="140">
        <f t="shared" si="152"/>
        <v>150</v>
      </c>
      <c r="BH276" s="324">
        <v>0</v>
      </c>
      <c r="BI276" s="324">
        <v>0</v>
      </c>
      <c r="BJ276" s="324">
        <v>0</v>
      </c>
      <c r="BK276" s="324">
        <v>0</v>
      </c>
      <c r="BL276" s="324">
        <v>0</v>
      </c>
      <c r="BM276" s="324">
        <v>0</v>
      </c>
      <c r="BN276" s="324">
        <v>0</v>
      </c>
      <c r="BO276" s="324">
        <v>0</v>
      </c>
      <c r="BP276" s="324">
        <v>0</v>
      </c>
      <c r="BQ276" s="324">
        <v>0</v>
      </c>
      <c r="BR276" s="324">
        <v>0</v>
      </c>
      <c r="BS276" s="324">
        <v>0</v>
      </c>
      <c r="BT276" s="140">
        <f t="shared" si="153"/>
        <v>0</v>
      </c>
      <c r="BU276" s="114">
        <f t="shared" si="154"/>
        <v>300</v>
      </c>
      <c r="BV276" s="372">
        <v>1</v>
      </c>
      <c r="BW276" s="372">
        <v>1</v>
      </c>
      <c r="BX276" s="372">
        <v>-1</v>
      </c>
      <c r="BY276" s="372">
        <v>-1</v>
      </c>
      <c r="BZ276" s="436">
        <f>IFERROR((EX276/T276%),0)</f>
        <v>0</v>
      </c>
      <c r="CA276" s="436">
        <f>IFERROR((FD276/T276%),0)</f>
        <v>99.333333333333329</v>
      </c>
      <c r="CB276" s="7" t="s">
        <v>1702</v>
      </c>
      <c r="CC276" s="3">
        <v>0</v>
      </c>
      <c r="CD276" s="3">
        <v>0</v>
      </c>
      <c r="CE276" s="3">
        <v>0</v>
      </c>
      <c r="CF276" s="3">
        <v>0</v>
      </c>
      <c r="CG276" s="3">
        <v>0</v>
      </c>
      <c r="CH276" s="3">
        <v>0</v>
      </c>
      <c r="CI276" s="3">
        <v>1</v>
      </c>
      <c r="CJ276" s="3">
        <v>0</v>
      </c>
      <c r="CK276" s="3">
        <v>0</v>
      </c>
      <c r="CL276" s="3">
        <v>0</v>
      </c>
      <c r="CM276" s="3">
        <v>0</v>
      </c>
      <c r="CN276" s="3">
        <v>0</v>
      </c>
      <c r="CO276" s="4">
        <f t="shared" si="144"/>
        <v>1</v>
      </c>
      <c r="CP276" s="3">
        <v>0</v>
      </c>
      <c r="CQ276" s="3">
        <v>0</v>
      </c>
      <c r="CR276" s="3">
        <v>0</v>
      </c>
      <c r="CS276" s="3">
        <v>0</v>
      </c>
      <c r="CT276" s="3">
        <v>0</v>
      </c>
      <c r="CU276" s="3">
        <v>0</v>
      </c>
      <c r="CV276" s="3">
        <v>0</v>
      </c>
      <c r="CW276" s="3">
        <v>0</v>
      </c>
      <c r="CX276" s="3">
        <v>0</v>
      </c>
      <c r="CY276" s="3">
        <v>0</v>
      </c>
      <c r="CZ276" s="3">
        <v>0</v>
      </c>
      <c r="DA276" s="3">
        <v>0</v>
      </c>
      <c r="DB276" s="4">
        <f t="shared" si="145"/>
        <v>0</v>
      </c>
      <c r="DC276" s="3">
        <v>0</v>
      </c>
      <c r="DD276" s="3">
        <v>0</v>
      </c>
      <c r="DE276" s="3">
        <v>0</v>
      </c>
      <c r="DF276" s="3">
        <v>0</v>
      </c>
      <c r="DG276" s="3">
        <v>0</v>
      </c>
      <c r="DH276" s="3">
        <v>0</v>
      </c>
      <c r="DI276" s="3">
        <v>0</v>
      </c>
      <c r="DJ276" s="3">
        <v>0</v>
      </c>
      <c r="DK276" s="3">
        <v>0</v>
      </c>
      <c r="DL276" s="3">
        <v>0</v>
      </c>
      <c r="DM276" s="3">
        <v>0</v>
      </c>
      <c r="DN276" s="3">
        <v>0</v>
      </c>
      <c r="DO276" s="4">
        <f t="shared" si="146"/>
        <v>0</v>
      </c>
      <c r="DP276" s="3">
        <v>0</v>
      </c>
      <c r="DQ276" s="3">
        <v>0</v>
      </c>
      <c r="DR276" s="3">
        <v>0</v>
      </c>
      <c r="DS276" s="3">
        <v>0</v>
      </c>
      <c r="DT276" s="3">
        <v>0</v>
      </c>
      <c r="DU276" s="3">
        <v>1</v>
      </c>
      <c r="DV276" s="3">
        <v>0</v>
      </c>
      <c r="DW276" s="3">
        <v>0</v>
      </c>
      <c r="DX276" s="3">
        <v>0</v>
      </c>
      <c r="DY276" s="3">
        <v>0</v>
      </c>
      <c r="DZ276" s="3">
        <v>0</v>
      </c>
      <c r="EA276" s="3">
        <v>0</v>
      </c>
      <c r="EB276" s="4">
        <f t="shared" si="147"/>
        <v>1</v>
      </c>
      <c r="EC276" s="3">
        <v>0</v>
      </c>
      <c r="ED276" s="3">
        <v>0</v>
      </c>
      <c r="EE276" s="3">
        <v>0</v>
      </c>
      <c r="EF276" s="3">
        <v>0</v>
      </c>
      <c r="EG276" s="3">
        <v>0</v>
      </c>
      <c r="EH276" s="3">
        <v>0</v>
      </c>
      <c r="EI276" s="3">
        <v>0</v>
      </c>
      <c r="EJ276" s="3">
        <v>0</v>
      </c>
      <c r="EK276" s="3">
        <v>0</v>
      </c>
      <c r="EL276" s="3">
        <v>0</v>
      </c>
      <c r="EM276" s="3">
        <v>0</v>
      </c>
      <c r="EN276" s="3">
        <v>0</v>
      </c>
      <c r="EO276" s="4">
        <f t="shared" si="148"/>
        <v>0</v>
      </c>
      <c r="EP276" s="8">
        <f t="shared" si="149"/>
        <v>2</v>
      </c>
      <c r="EQ276" s="181">
        <f>IFERROR(VLOOKUP(I276,CEI_012018!$A$1:$U$509,9,FALSE),0)</f>
        <v>0</v>
      </c>
      <c r="ER276" s="181">
        <f>IFERROR(VLOOKUP(I276,CEI_022018!$A$1:$U$509,9,FALSE),0)</f>
        <v>0</v>
      </c>
      <c r="ES276" s="181">
        <f>IFERROR(VLOOKUP(I276,CEI_032018!$A$1:$U$509,9,FALSE),0)</f>
        <v>0</v>
      </c>
      <c r="ET276" s="181">
        <f>IFERROR(VLOOKUP(I276,CEI_042018!$A$1:$U$491,9,FALSE),0)</f>
        <v>0</v>
      </c>
      <c r="EU276" s="181">
        <f>IFERROR(VLOOKUP(I276,CEI_052018!$A$1:$U$489,9,FALSE),0)</f>
        <v>0</v>
      </c>
      <c r="EV276" s="181">
        <f>IFERROR(VLOOKUP(I276,CEI_062018!$A$1:$U$489,9,FALSE),0)</f>
        <v>0</v>
      </c>
      <c r="EW276" s="181">
        <f>IFERROR(VLOOKUP(I276,CEI_072018!$A$1:$U$489,9,FALSE),0)</f>
        <v>0</v>
      </c>
      <c r="EX276" s="181">
        <f>IFERROR(VLOOKUP(I276,CEI_082018!$A$1:$U$489,9,FALSE),0)</f>
        <v>0</v>
      </c>
      <c r="EY276" s="181">
        <f>IFERROR(VLOOKUP(I276,CEI_092018!$A$1:$U$489,9,FALSE),0)</f>
        <v>0</v>
      </c>
      <c r="EZ276" s="181"/>
      <c r="FA276" s="181"/>
      <c r="FB276" s="181"/>
      <c r="FC276" s="181">
        <f>IFERROR(VLOOKUP(I276,CEI_092018!$A$1:$U$489,12,FALSE),0)</f>
        <v>149</v>
      </c>
      <c r="FD276" s="181">
        <f t="shared" si="155"/>
        <v>149</v>
      </c>
      <c r="FE276" s="181">
        <f t="shared" si="156"/>
        <v>1</v>
      </c>
      <c r="FF276"/>
      <c r="FG276"/>
      <c r="FH276"/>
      <c r="FI276"/>
      <c r="FJ276"/>
      <c r="FK276"/>
      <c r="FL276"/>
      <c r="FM276"/>
      <c r="FN276"/>
      <c r="FO276"/>
      <c r="FP276"/>
      <c r="FQ276"/>
      <c r="FR276"/>
      <c r="FS276"/>
      <c r="FT276"/>
      <c r="FU276"/>
      <c r="FV276"/>
      <c r="FW276"/>
      <c r="FX276"/>
      <c r="FY276"/>
      <c r="FZ276"/>
      <c r="GA276"/>
      <c r="GB276"/>
      <c r="GC276"/>
    </row>
    <row r="277" spans="1:185" ht="12.75" customHeight="1" x14ac:dyDescent="0.25">
      <c r="A277" s="202"/>
      <c r="B277" s="22" t="s">
        <v>57</v>
      </c>
      <c r="C277" s="34" t="s">
        <v>44</v>
      </c>
      <c r="D277" s="22" t="s">
        <v>1059</v>
      </c>
      <c r="E277" s="25" t="s">
        <v>1063</v>
      </c>
      <c r="F277" s="25" t="s">
        <v>1059</v>
      </c>
      <c r="G277" s="25" t="s">
        <v>1063</v>
      </c>
      <c r="H277" s="22" t="s">
        <v>56</v>
      </c>
      <c r="I277" s="423" t="s">
        <v>1017</v>
      </c>
      <c r="J277" s="37" t="s">
        <v>59</v>
      </c>
      <c r="K277" s="23" t="s">
        <v>1018</v>
      </c>
      <c r="L277" s="23"/>
      <c r="M277" s="23"/>
      <c r="N277" s="23" t="s">
        <v>1864</v>
      </c>
      <c r="O277" s="2">
        <v>0</v>
      </c>
      <c r="P277" s="2">
        <v>0</v>
      </c>
      <c r="Q277" s="2">
        <v>0</v>
      </c>
      <c r="R277" s="2">
        <v>0</v>
      </c>
      <c r="S277" s="2">
        <v>0</v>
      </c>
      <c r="T277" s="116">
        <f t="shared" si="143"/>
        <v>0</v>
      </c>
      <c r="U277" s="324">
        <v>0</v>
      </c>
      <c r="V277" s="324">
        <v>0</v>
      </c>
      <c r="W277" s="324">
        <v>0</v>
      </c>
      <c r="X277" s="324">
        <v>0</v>
      </c>
      <c r="Y277" s="324">
        <v>0</v>
      </c>
      <c r="Z277" s="324">
        <v>0</v>
      </c>
      <c r="AA277" s="324">
        <v>0</v>
      </c>
      <c r="AB277" s="324">
        <v>0</v>
      </c>
      <c r="AC277" s="324">
        <v>0</v>
      </c>
      <c r="AD277" s="324">
        <v>0</v>
      </c>
      <c r="AE277" s="324">
        <v>0</v>
      </c>
      <c r="AF277" s="324">
        <v>0</v>
      </c>
      <c r="AG277" s="140">
        <f t="shared" si="150"/>
        <v>0</v>
      </c>
      <c r="AH277" s="324">
        <v>0</v>
      </c>
      <c r="AI277" s="324">
        <v>0</v>
      </c>
      <c r="AJ277" s="324">
        <v>150</v>
      </c>
      <c r="AK277" s="324">
        <v>0</v>
      </c>
      <c r="AL277" s="324">
        <v>0</v>
      </c>
      <c r="AM277" s="324">
        <v>0</v>
      </c>
      <c r="AN277" s="324">
        <v>0</v>
      </c>
      <c r="AO277" s="324">
        <v>0</v>
      </c>
      <c r="AP277" s="324">
        <v>0</v>
      </c>
      <c r="AQ277" s="324">
        <v>0</v>
      </c>
      <c r="AR277" s="324">
        <v>0</v>
      </c>
      <c r="AS277" s="324">
        <v>0</v>
      </c>
      <c r="AT277" s="140">
        <f t="shared" si="151"/>
        <v>150</v>
      </c>
      <c r="AU277" s="324">
        <v>0</v>
      </c>
      <c r="AV277" s="324">
        <v>0</v>
      </c>
      <c r="AW277" s="324">
        <v>150</v>
      </c>
      <c r="AX277" s="324">
        <v>0</v>
      </c>
      <c r="AY277" s="324">
        <v>0</v>
      </c>
      <c r="AZ277" s="324">
        <v>0</v>
      </c>
      <c r="BA277" s="324">
        <v>0</v>
      </c>
      <c r="BB277" s="324">
        <v>0</v>
      </c>
      <c r="BC277" s="324">
        <v>0</v>
      </c>
      <c r="BD277" s="324">
        <v>0</v>
      </c>
      <c r="BE277" s="324">
        <v>0</v>
      </c>
      <c r="BF277" s="324">
        <v>0</v>
      </c>
      <c r="BG277" s="140">
        <f t="shared" si="152"/>
        <v>150</v>
      </c>
      <c r="BH277" s="324">
        <v>0</v>
      </c>
      <c r="BI277" s="324">
        <v>0</v>
      </c>
      <c r="BJ277" s="324">
        <v>0</v>
      </c>
      <c r="BK277" s="324">
        <v>0</v>
      </c>
      <c r="BL277" s="324">
        <v>0</v>
      </c>
      <c r="BM277" s="324">
        <v>0</v>
      </c>
      <c r="BN277" s="324">
        <v>0</v>
      </c>
      <c r="BO277" s="324">
        <v>0</v>
      </c>
      <c r="BP277" s="324">
        <v>0</v>
      </c>
      <c r="BQ277" s="324">
        <v>0</v>
      </c>
      <c r="BR277" s="324">
        <v>0</v>
      </c>
      <c r="BS277" s="324">
        <v>0</v>
      </c>
      <c r="BT277" s="140">
        <f t="shared" si="153"/>
        <v>0</v>
      </c>
      <c r="BU277" s="114">
        <f t="shared" si="154"/>
        <v>300</v>
      </c>
      <c r="BV277" s="432"/>
      <c r="BW277" s="432"/>
      <c r="BX277" s="432"/>
      <c r="BY277" s="432"/>
      <c r="BZ277" s="433"/>
      <c r="CA277" s="434"/>
      <c r="CB277" s="7" t="s">
        <v>1699</v>
      </c>
      <c r="CC277" s="3">
        <v>0</v>
      </c>
      <c r="CD277" s="3">
        <v>0</v>
      </c>
      <c r="CE277" s="3">
        <v>0</v>
      </c>
      <c r="CF277" s="3">
        <v>0</v>
      </c>
      <c r="CG277" s="3">
        <v>0</v>
      </c>
      <c r="CH277" s="3">
        <v>0</v>
      </c>
      <c r="CI277" s="3">
        <v>0</v>
      </c>
      <c r="CJ277" s="3">
        <v>0</v>
      </c>
      <c r="CK277" s="3">
        <v>0</v>
      </c>
      <c r="CL277" s="3">
        <v>0</v>
      </c>
      <c r="CM277" s="3">
        <v>0</v>
      </c>
      <c r="CN277" s="3">
        <v>0</v>
      </c>
      <c r="CO277" s="4">
        <f t="shared" si="144"/>
        <v>0</v>
      </c>
      <c r="CP277" s="3">
        <v>0</v>
      </c>
      <c r="CQ277" s="3">
        <v>0</v>
      </c>
      <c r="CR277" s="3">
        <v>0</v>
      </c>
      <c r="CS277" s="3">
        <v>0</v>
      </c>
      <c r="CT277" s="3">
        <v>0</v>
      </c>
      <c r="CU277" s="3">
        <v>0</v>
      </c>
      <c r="CV277" s="3">
        <v>0</v>
      </c>
      <c r="CW277" s="3">
        <v>0</v>
      </c>
      <c r="CX277" s="3">
        <v>0</v>
      </c>
      <c r="CY277" s="3">
        <v>0</v>
      </c>
      <c r="CZ277" s="3">
        <v>0</v>
      </c>
      <c r="DA277" s="3">
        <v>0</v>
      </c>
      <c r="DB277" s="4">
        <f t="shared" si="145"/>
        <v>0</v>
      </c>
      <c r="DC277" s="3">
        <v>0</v>
      </c>
      <c r="DD277" s="3">
        <v>0</v>
      </c>
      <c r="DE277" s="3">
        <v>1</v>
      </c>
      <c r="DF277" s="3">
        <v>0</v>
      </c>
      <c r="DG277" s="3">
        <v>0</v>
      </c>
      <c r="DH277" s="3">
        <v>0</v>
      </c>
      <c r="DI277" s="3">
        <v>0</v>
      </c>
      <c r="DJ277" s="3">
        <v>0</v>
      </c>
      <c r="DK277" s="3">
        <v>0</v>
      </c>
      <c r="DL277" s="3">
        <v>0</v>
      </c>
      <c r="DM277" s="3">
        <v>0</v>
      </c>
      <c r="DN277" s="3">
        <v>0</v>
      </c>
      <c r="DO277" s="4">
        <f t="shared" si="146"/>
        <v>1</v>
      </c>
      <c r="DP277" s="3">
        <v>0</v>
      </c>
      <c r="DQ277" s="3">
        <v>0</v>
      </c>
      <c r="DR277" s="3">
        <v>1</v>
      </c>
      <c r="DS277" s="3">
        <v>0</v>
      </c>
      <c r="DT277" s="3">
        <v>0</v>
      </c>
      <c r="DU277" s="3">
        <v>0</v>
      </c>
      <c r="DV277" s="3">
        <v>0</v>
      </c>
      <c r="DW277" s="3">
        <v>0</v>
      </c>
      <c r="DX277" s="3">
        <v>0</v>
      </c>
      <c r="DY277" s="3">
        <v>0</v>
      </c>
      <c r="DZ277" s="3">
        <v>0</v>
      </c>
      <c r="EA277" s="3">
        <v>0</v>
      </c>
      <c r="EB277" s="4">
        <f t="shared" si="147"/>
        <v>1</v>
      </c>
      <c r="EC277" s="3">
        <v>0</v>
      </c>
      <c r="ED277" s="3">
        <v>0</v>
      </c>
      <c r="EE277" s="3">
        <v>0</v>
      </c>
      <c r="EF277" s="3">
        <v>0</v>
      </c>
      <c r="EG277" s="3">
        <v>0</v>
      </c>
      <c r="EH277" s="3">
        <v>0</v>
      </c>
      <c r="EI277" s="3">
        <v>0</v>
      </c>
      <c r="EJ277" s="3">
        <v>0</v>
      </c>
      <c r="EK277" s="3">
        <v>0</v>
      </c>
      <c r="EL277" s="3">
        <v>0</v>
      </c>
      <c r="EM277" s="3">
        <v>0</v>
      </c>
      <c r="EN277" s="3">
        <v>0</v>
      </c>
      <c r="EO277" s="4">
        <f t="shared" si="148"/>
        <v>0</v>
      </c>
      <c r="EP277" s="8">
        <f t="shared" si="149"/>
        <v>2</v>
      </c>
      <c r="EQ277" s="181">
        <f>IFERROR(VLOOKUP(I277,CEI_012018!$A$1:$U$509,9,FALSE),0)</f>
        <v>0</v>
      </c>
      <c r="ER277" s="181">
        <f>IFERROR(VLOOKUP(I277,CEI_022018!$A$1:$U$509,9,FALSE),0)</f>
        <v>0</v>
      </c>
      <c r="ES277" s="181">
        <f>IFERROR(VLOOKUP(I277,CEI_032018!$A$1:$U$509,9,FALSE),0)</f>
        <v>0</v>
      </c>
      <c r="ET277" s="181">
        <f>IFERROR(VLOOKUP(I277,CEI_042018!$A$1:$U$491,9,FALSE),0)</f>
        <v>0</v>
      </c>
      <c r="EU277" s="181">
        <f>IFERROR(VLOOKUP(I277,CEI_052018!$A$1:$U$489,9,FALSE),0)</f>
        <v>0</v>
      </c>
      <c r="EV277" s="181">
        <f>IFERROR(VLOOKUP(I277,CEI_062018!$A$1:$U$489,9,FALSE),0)</f>
        <v>0</v>
      </c>
      <c r="EW277" s="181">
        <f>IFERROR(VLOOKUP(I277,CEI_072018!$A$1:$U$489,9,FALSE),0)</f>
        <v>0</v>
      </c>
      <c r="EX277" s="181">
        <f>IFERROR(VLOOKUP(I277,CEI_082018!$A$1:$U$489,9,FALSE),0)</f>
        <v>0</v>
      </c>
      <c r="EY277" s="181">
        <f>IFERROR(VLOOKUP(I277,CEI_092018!$A$1:$U$489,9,FALSE),0)</f>
        <v>0</v>
      </c>
      <c r="EZ277" s="181"/>
      <c r="FA277" s="181"/>
      <c r="FB277" s="181"/>
      <c r="FC277" s="181">
        <f>IFERROR(VLOOKUP(I277,CEI_092018!$A$1:$U$489,12,FALSE),0)</f>
        <v>0</v>
      </c>
      <c r="FD277" s="181">
        <f t="shared" si="155"/>
        <v>0</v>
      </c>
      <c r="FE277" s="181">
        <f t="shared" si="156"/>
        <v>0</v>
      </c>
      <c r="FF277"/>
      <c r="FG277"/>
      <c r="FH277"/>
      <c r="FI277"/>
      <c r="FJ277"/>
      <c r="FK277"/>
      <c r="FL277"/>
      <c r="FM277"/>
      <c r="FN277"/>
      <c r="FO277"/>
      <c r="FP277"/>
      <c r="FQ277"/>
      <c r="FR277"/>
      <c r="FS277"/>
      <c r="FT277"/>
      <c r="FU277"/>
      <c r="FV277"/>
      <c r="FW277"/>
      <c r="FX277"/>
      <c r="FY277"/>
      <c r="FZ277"/>
      <c r="GA277"/>
      <c r="GB277"/>
      <c r="GC277"/>
    </row>
    <row r="278" spans="1:185" ht="12.75" customHeight="1" x14ac:dyDescent="0.25">
      <c r="A278" s="202"/>
      <c r="B278" s="22" t="s">
        <v>57</v>
      </c>
      <c r="C278" s="34" t="s">
        <v>44</v>
      </c>
      <c r="D278" s="22" t="s">
        <v>1059</v>
      </c>
      <c r="E278" s="25" t="s">
        <v>1063</v>
      </c>
      <c r="F278" s="25" t="s">
        <v>1059</v>
      </c>
      <c r="G278" s="25" t="s">
        <v>1063</v>
      </c>
      <c r="H278" s="22" t="s">
        <v>56</v>
      </c>
      <c r="I278" s="423" t="s">
        <v>565</v>
      </c>
      <c r="J278" s="37" t="s">
        <v>59</v>
      </c>
      <c r="K278" s="23" t="s">
        <v>409</v>
      </c>
      <c r="L278" s="23" t="s">
        <v>776</v>
      </c>
      <c r="M278" s="23" t="s">
        <v>777</v>
      </c>
      <c r="N278" s="23" t="s">
        <v>59</v>
      </c>
      <c r="O278" s="2">
        <v>0</v>
      </c>
      <c r="P278" s="2">
        <v>0</v>
      </c>
      <c r="Q278" s="2">
        <v>0</v>
      </c>
      <c r="R278" s="2">
        <v>0</v>
      </c>
      <c r="S278" s="2">
        <v>0</v>
      </c>
      <c r="T278" s="116">
        <f t="shared" si="143"/>
        <v>0</v>
      </c>
      <c r="U278" s="324">
        <v>0</v>
      </c>
      <c r="V278" s="324">
        <v>0</v>
      </c>
      <c r="W278" s="324">
        <v>0</v>
      </c>
      <c r="X278" s="324">
        <v>0</v>
      </c>
      <c r="Y278" s="324">
        <v>0</v>
      </c>
      <c r="Z278" s="324">
        <v>0</v>
      </c>
      <c r="AA278" s="324">
        <v>0</v>
      </c>
      <c r="AB278" s="324">
        <v>0</v>
      </c>
      <c r="AC278" s="324">
        <v>0</v>
      </c>
      <c r="AD278" s="324">
        <v>0</v>
      </c>
      <c r="AE278" s="324">
        <v>0</v>
      </c>
      <c r="AF278" s="324">
        <v>150</v>
      </c>
      <c r="AG278" s="140">
        <f t="shared" si="150"/>
        <v>150</v>
      </c>
      <c r="AH278" s="324">
        <v>0</v>
      </c>
      <c r="AI278" s="324">
        <v>75</v>
      </c>
      <c r="AJ278" s="324">
        <v>75</v>
      </c>
      <c r="AK278" s="324">
        <v>0</v>
      </c>
      <c r="AL278" s="324">
        <v>0</v>
      </c>
      <c r="AM278" s="324">
        <v>0</v>
      </c>
      <c r="AN278" s="324">
        <v>0</v>
      </c>
      <c r="AO278" s="324">
        <v>0</v>
      </c>
      <c r="AP278" s="324">
        <v>0</v>
      </c>
      <c r="AQ278" s="324">
        <v>0</v>
      </c>
      <c r="AR278" s="324">
        <v>0</v>
      </c>
      <c r="AS278" s="324">
        <v>0</v>
      </c>
      <c r="AT278" s="140">
        <f t="shared" si="151"/>
        <v>150</v>
      </c>
      <c r="AU278" s="324">
        <v>0</v>
      </c>
      <c r="AV278" s="324">
        <v>0</v>
      </c>
      <c r="AW278" s="324">
        <v>0</v>
      </c>
      <c r="AX278" s="324">
        <v>0</v>
      </c>
      <c r="AY278" s="324">
        <v>0</v>
      </c>
      <c r="AZ278" s="324">
        <v>0</v>
      </c>
      <c r="BA278" s="324">
        <v>0</v>
      </c>
      <c r="BB278" s="324">
        <v>0</v>
      </c>
      <c r="BC278" s="324">
        <v>0</v>
      </c>
      <c r="BD278" s="324">
        <v>0</v>
      </c>
      <c r="BE278" s="324">
        <v>0</v>
      </c>
      <c r="BF278" s="324">
        <v>0</v>
      </c>
      <c r="BG278" s="140">
        <f t="shared" si="152"/>
        <v>0</v>
      </c>
      <c r="BH278" s="324">
        <v>0</v>
      </c>
      <c r="BI278" s="324">
        <v>0</v>
      </c>
      <c r="BJ278" s="324">
        <v>0</v>
      </c>
      <c r="BK278" s="324">
        <v>0</v>
      </c>
      <c r="BL278" s="324">
        <v>0</v>
      </c>
      <c r="BM278" s="324">
        <v>0</v>
      </c>
      <c r="BN278" s="324">
        <v>0</v>
      </c>
      <c r="BO278" s="324">
        <v>0</v>
      </c>
      <c r="BP278" s="324">
        <v>0</v>
      </c>
      <c r="BQ278" s="324">
        <v>0</v>
      </c>
      <c r="BR278" s="324">
        <v>0</v>
      </c>
      <c r="BS278" s="324">
        <v>0</v>
      </c>
      <c r="BT278" s="140">
        <f t="shared" si="153"/>
        <v>0</v>
      </c>
      <c r="BU278" s="114">
        <f t="shared" si="154"/>
        <v>300</v>
      </c>
      <c r="BV278" s="432"/>
      <c r="BW278" s="432"/>
      <c r="BX278" s="432"/>
      <c r="BY278" s="432"/>
      <c r="BZ278" s="433"/>
      <c r="CA278" s="434"/>
      <c r="CB278" s="7" t="s">
        <v>1699</v>
      </c>
      <c r="CC278" s="3">
        <v>0</v>
      </c>
      <c r="CD278" s="3">
        <v>0</v>
      </c>
      <c r="CE278" s="3">
        <v>0</v>
      </c>
      <c r="CF278" s="3">
        <v>0</v>
      </c>
      <c r="CG278" s="3">
        <v>0</v>
      </c>
      <c r="CH278" s="3">
        <v>0</v>
      </c>
      <c r="CI278" s="3">
        <v>0</v>
      </c>
      <c r="CJ278" s="3">
        <v>0</v>
      </c>
      <c r="CK278" s="3">
        <v>0</v>
      </c>
      <c r="CL278" s="3">
        <v>0</v>
      </c>
      <c r="CM278" s="3">
        <v>0</v>
      </c>
      <c r="CN278" s="3">
        <v>0</v>
      </c>
      <c r="CO278" s="4">
        <f t="shared" si="144"/>
        <v>0</v>
      </c>
      <c r="CP278" s="3">
        <v>0</v>
      </c>
      <c r="CQ278" s="3">
        <v>0</v>
      </c>
      <c r="CR278" s="3">
        <v>0</v>
      </c>
      <c r="CS278" s="3">
        <v>0</v>
      </c>
      <c r="CT278" s="3">
        <v>0</v>
      </c>
      <c r="CU278" s="3">
        <v>0</v>
      </c>
      <c r="CV278" s="3">
        <v>0</v>
      </c>
      <c r="CW278" s="3">
        <v>0</v>
      </c>
      <c r="CX278" s="3">
        <v>0</v>
      </c>
      <c r="CY278" s="3">
        <v>0</v>
      </c>
      <c r="CZ278" s="3">
        <v>0</v>
      </c>
      <c r="DA278" s="3">
        <v>1</v>
      </c>
      <c r="DB278" s="4">
        <f t="shared" si="145"/>
        <v>1</v>
      </c>
      <c r="DC278" s="3">
        <v>0</v>
      </c>
      <c r="DD278" s="3">
        <v>0</v>
      </c>
      <c r="DE278" s="3">
        <v>0</v>
      </c>
      <c r="DF278" s="3">
        <v>0</v>
      </c>
      <c r="DG278" s="3">
        <v>0</v>
      </c>
      <c r="DH278" s="3">
        <v>0</v>
      </c>
      <c r="DI278" s="3">
        <v>0</v>
      </c>
      <c r="DJ278" s="3">
        <v>0</v>
      </c>
      <c r="DK278" s="3">
        <v>0</v>
      </c>
      <c r="DL278" s="3">
        <v>0</v>
      </c>
      <c r="DM278" s="3">
        <v>0</v>
      </c>
      <c r="DN278" s="3">
        <v>0</v>
      </c>
      <c r="DO278" s="4">
        <f t="shared" si="146"/>
        <v>0</v>
      </c>
      <c r="DP278" s="3">
        <v>0</v>
      </c>
      <c r="DQ278" s="3">
        <v>0</v>
      </c>
      <c r="DR278" s="3">
        <v>0</v>
      </c>
      <c r="DS278" s="3">
        <v>0</v>
      </c>
      <c r="DT278" s="3">
        <v>0</v>
      </c>
      <c r="DU278" s="3">
        <v>0</v>
      </c>
      <c r="DV278" s="3">
        <v>0</v>
      </c>
      <c r="DW278" s="3">
        <v>0</v>
      </c>
      <c r="DX278" s="3">
        <v>0</v>
      </c>
      <c r="DY278" s="3">
        <v>0</v>
      </c>
      <c r="DZ278" s="3">
        <v>0</v>
      </c>
      <c r="EA278" s="3">
        <v>0</v>
      </c>
      <c r="EB278" s="4">
        <f t="shared" si="147"/>
        <v>0</v>
      </c>
      <c r="EC278" s="3">
        <v>0</v>
      </c>
      <c r="ED278" s="3">
        <v>0</v>
      </c>
      <c r="EE278" s="3">
        <v>0</v>
      </c>
      <c r="EF278" s="3">
        <v>0</v>
      </c>
      <c r="EG278" s="3">
        <v>0</v>
      </c>
      <c r="EH278" s="3">
        <v>0</v>
      </c>
      <c r="EI278" s="3">
        <v>0</v>
      </c>
      <c r="EJ278" s="3">
        <v>0</v>
      </c>
      <c r="EK278" s="3">
        <v>0</v>
      </c>
      <c r="EL278" s="3">
        <v>0</v>
      </c>
      <c r="EM278" s="3">
        <v>0</v>
      </c>
      <c r="EN278" s="3">
        <v>0</v>
      </c>
      <c r="EO278" s="4">
        <f t="shared" si="148"/>
        <v>0</v>
      </c>
      <c r="EP278" s="8">
        <f t="shared" si="149"/>
        <v>1</v>
      </c>
      <c r="EQ278" s="181">
        <f>IFERROR(VLOOKUP(I278,CEI_012018!$A$1:$U$509,9,FALSE),0)</f>
        <v>0</v>
      </c>
      <c r="ER278" s="181">
        <f>IFERROR(VLOOKUP(I278,CEI_022018!$A$1:$U$509,9,FALSE),0)</f>
        <v>0</v>
      </c>
      <c r="ES278" s="181">
        <f>IFERROR(VLOOKUP(I278,CEI_032018!$A$1:$U$509,9,FALSE),0)</f>
        <v>0</v>
      </c>
      <c r="ET278" s="181">
        <f>IFERROR(VLOOKUP(I278,CEI_042018!$A$1:$U$491,9,FALSE),0)</f>
        <v>0</v>
      </c>
      <c r="EU278" s="181">
        <f>IFERROR(VLOOKUP(I278,CEI_052018!$A$1:$U$489,9,FALSE),0)</f>
        <v>0</v>
      </c>
      <c r="EV278" s="181">
        <f>IFERROR(VLOOKUP(I278,CEI_062018!$A$1:$U$489,9,FALSE),0)</f>
        <v>0</v>
      </c>
      <c r="EW278" s="181">
        <f>IFERROR(VLOOKUP(I278,CEI_072018!$A$1:$U$489,9,FALSE),0)</f>
        <v>0</v>
      </c>
      <c r="EX278" s="181">
        <f>IFERROR(VLOOKUP(I278,CEI_082018!$A$1:$U$489,9,FALSE),0)</f>
        <v>0</v>
      </c>
      <c r="EY278" s="181">
        <f>IFERROR(VLOOKUP(I278,CEI_092018!$A$1:$U$489,9,FALSE),0)</f>
        <v>0</v>
      </c>
      <c r="EZ278" s="181"/>
      <c r="FA278" s="181"/>
      <c r="FB278" s="181"/>
      <c r="FC278" s="181">
        <f>IFERROR(VLOOKUP(I278,CEI_092018!$A$1:$U$489,12,FALSE),0)</f>
        <v>0</v>
      </c>
      <c r="FD278" s="181">
        <f t="shared" si="155"/>
        <v>0</v>
      </c>
      <c r="FE278" s="181">
        <f t="shared" si="156"/>
        <v>0</v>
      </c>
      <c r="FF278"/>
      <c r="FG278"/>
      <c r="FH278"/>
      <c r="FI278"/>
      <c r="FJ278"/>
      <c r="FK278"/>
      <c r="FL278"/>
      <c r="FM278"/>
      <c r="FN278"/>
      <c r="FO278"/>
      <c r="FP278"/>
      <c r="FQ278"/>
      <c r="FR278"/>
      <c r="FS278"/>
      <c r="FT278"/>
      <c r="FU278"/>
      <c r="FV278"/>
      <c r="FW278"/>
      <c r="FX278"/>
      <c r="FY278"/>
      <c r="FZ278"/>
      <c r="GA278"/>
      <c r="GB278"/>
      <c r="GC278"/>
    </row>
    <row r="279" spans="1:185" ht="12.75" customHeight="1" x14ac:dyDescent="0.25">
      <c r="A279" s="202"/>
      <c r="B279" s="22" t="s">
        <v>57</v>
      </c>
      <c r="C279" s="34" t="s">
        <v>44</v>
      </c>
      <c r="D279" s="22" t="s">
        <v>1059</v>
      </c>
      <c r="E279" s="25" t="s">
        <v>1063</v>
      </c>
      <c r="F279" s="25" t="s">
        <v>1059</v>
      </c>
      <c r="G279" s="25" t="s">
        <v>1063</v>
      </c>
      <c r="H279" s="22" t="s">
        <v>56</v>
      </c>
      <c r="I279" s="423" t="s">
        <v>565</v>
      </c>
      <c r="J279" s="37" t="s">
        <v>59</v>
      </c>
      <c r="K279" s="23" t="s">
        <v>411</v>
      </c>
      <c r="L279" s="23" t="s">
        <v>783</v>
      </c>
      <c r="M279" s="23" t="s">
        <v>777</v>
      </c>
      <c r="N279" s="23" t="s">
        <v>1864</v>
      </c>
      <c r="O279" s="2">
        <v>0</v>
      </c>
      <c r="P279" s="2">
        <v>0</v>
      </c>
      <c r="Q279" s="2">
        <v>0</v>
      </c>
      <c r="R279" s="2">
        <v>0</v>
      </c>
      <c r="S279" s="2">
        <v>0</v>
      </c>
      <c r="T279" s="116">
        <f t="shared" si="143"/>
        <v>0</v>
      </c>
      <c r="U279" s="324">
        <v>0</v>
      </c>
      <c r="V279" s="324">
        <v>0</v>
      </c>
      <c r="W279" s="324">
        <v>0</v>
      </c>
      <c r="X279" s="324">
        <v>0</v>
      </c>
      <c r="Y279" s="324">
        <v>0</v>
      </c>
      <c r="Z279" s="324">
        <v>0</v>
      </c>
      <c r="AA279" s="324">
        <v>0</v>
      </c>
      <c r="AB279" s="324">
        <v>0</v>
      </c>
      <c r="AC279" s="324">
        <v>0</v>
      </c>
      <c r="AD279" s="324">
        <v>0</v>
      </c>
      <c r="AE279" s="324">
        <v>0</v>
      </c>
      <c r="AF279" s="324">
        <v>0</v>
      </c>
      <c r="AG279" s="140">
        <f t="shared" si="150"/>
        <v>0</v>
      </c>
      <c r="AH279" s="324">
        <v>0</v>
      </c>
      <c r="AI279" s="324">
        <v>0</v>
      </c>
      <c r="AJ279" s="324">
        <v>0</v>
      </c>
      <c r="AK279" s="324">
        <v>0</v>
      </c>
      <c r="AL279" s="324">
        <v>0</v>
      </c>
      <c r="AM279" s="324">
        <v>0</v>
      </c>
      <c r="AN279" s="324">
        <v>300</v>
      </c>
      <c r="AO279" s="324">
        <v>0</v>
      </c>
      <c r="AP279" s="324">
        <v>0</v>
      </c>
      <c r="AQ279" s="324">
        <v>0</v>
      </c>
      <c r="AR279" s="324">
        <v>0</v>
      </c>
      <c r="AS279" s="324">
        <v>0</v>
      </c>
      <c r="AT279" s="140">
        <f t="shared" si="151"/>
        <v>300</v>
      </c>
      <c r="AU279" s="324">
        <v>0</v>
      </c>
      <c r="AV279" s="324">
        <v>0</v>
      </c>
      <c r="AW279" s="324">
        <v>0</v>
      </c>
      <c r="AX279" s="324">
        <v>0</v>
      </c>
      <c r="AY279" s="324">
        <v>0</v>
      </c>
      <c r="AZ279" s="324">
        <v>0</v>
      </c>
      <c r="BA279" s="324">
        <v>0</v>
      </c>
      <c r="BB279" s="324">
        <v>0</v>
      </c>
      <c r="BC279" s="324">
        <v>0</v>
      </c>
      <c r="BD279" s="324">
        <v>0</v>
      </c>
      <c r="BE279" s="324">
        <v>0</v>
      </c>
      <c r="BF279" s="324">
        <v>0</v>
      </c>
      <c r="BG279" s="140">
        <f t="shared" si="152"/>
        <v>0</v>
      </c>
      <c r="BH279" s="324">
        <v>0</v>
      </c>
      <c r="BI279" s="324">
        <v>0</v>
      </c>
      <c r="BJ279" s="324">
        <v>0</v>
      </c>
      <c r="BK279" s="324">
        <v>0</v>
      </c>
      <c r="BL279" s="324">
        <v>0</v>
      </c>
      <c r="BM279" s="324">
        <v>0</v>
      </c>
      <c r="BN279" s="324">
        <v>0</v>
      </c>
      <c r="BO279" s="324">
        <v>0</v>
      </c>
      <c r="BP279" s="324">
        <v>0</v>
      </c>
      <c r="BQ279" s="324">
        <v>0</v>
      </c>
      <c r="BR279" s="324">
        <v>0</v>
      </c>
      <c r="BS279" s="324">
        <v>0</v>
      </c>
      <c r="BT279" s="140">
        <f t="shared" si="153"/>
        <v>0</v>
      </c>
      <c r="BU279" s="114">
        <f t="shared" si="154"/>
        <v>300</v>
      </c>
      <c r="BV279" s="432"/>
      <c r="BW279" s="432"/>
      <c r="BX279" s="432"/>
      <c r="BY279" s="432"/>
      <c r="BZ279" s="433"/>
      <c r="CA279" s="434"/>
      <c r="CB279" s="7" t="s">
        <v>1699</v>
      </c>
      <c r="CC279" s="3">
        <v>0</v>
      </c>
      <c r="CD279" s="3">
        <v>0</v>
      </c>
      <c r="CE279" s="3">
        <v>0</v>
      </c>
      <c r="CF279" s="3">
        <v>0</v>
      </c>
      <c r="CG279" s="3">
        <v>0</v>
      </c>
      <c r="CH279" s="3">
        <v>0</v>
      </c>
      <c r="CI279" s="3">
        <v>0</v>
      </c>
      <c r="CJ279" s="3">
        <v>0</v>
      </c>
      <c r="CK279" s="3">
        <v>0</v>
      </c>
      <c r="CL279" s="3">
        <v>0</v>
      </c>
      <c r="CM279" s="3">
        <v>0</v>
      </c>
      <c r="CN279" s="3">
        <v>0</v>
      </c>
      <c r="CO279" s="4">
        <f t="shared" si="144"/>
        <v>0</v>
      </c>
      <c r="CP279" s="3">
        <v>0</v>
      </c>
      <c r="CQ279" s="3">
        <v>0</v>
      </c>
      <c r="CR279" s="3">
        <v>0</v>
      </c>
      <c r="CS279" s="3">
        <v>0</v>
      </c>
      <c r="CT279" s="3">
        <v>0</v>
      </c>
      <c r="CU279" s="3">
        <v>0</v>
      </c>
      <c r="CV279" s="3">
        <v>0</v>
      </c>
      <c r="CW279" s="3">
        <v>0</v>
      </c>
      <c r="CX279" s="3">
        <v>0</v>
      </c>
      <c r="CY279" s="3">
        <v>0</v>
      </c>
      <c r="CZ279" s="3">
        <v>0</v>
      </c>
      <c r="DA279" s="3">
        <v>0</v>
      </c>
      <c r="DB279" s="4">
        <f t="shared" si="145"/>
        <v>0</v>
      </c>
      <c r="DC279" s="3">
        <v>0</v>
      </c>
      <c r="DD279" s="3">
        <v>0</v>
      </c>
      <c r="DE279" s="3">
        <v>0</v>
      </c>
      <c r="DF279" s="3">
        <v>0</v>
      </c>
      <c r="DG279" s="3">
        <v>0</v>
      </c>
      <c r="DH279" s="3">
        <v>0</v>
      </c>
      <c r="DI279" s="3">
        <v>1</v>
      </c>
      <c r="DJ279" s="3">
        <v>0</v>
      </c>
      <c r="DK279" s="3">
        <v>0</v>
      </c>
      <c r="DL279" s="3">
        <v>0</v>
      </c>
      <c r="DM279" s="3">
        <v>0</v>
      </c>
      <c r="DN279" s="3">
        <v>0</v>
      </c>
      <c r="DO279" s="4">
        <f t="shared" si="146"/>
        <v>1</v>
      </c>
      <c r="DP279" s="3">
        <v>0</v>
      </c>
      <c r="DQ279" s="3">
        <v>0</v>
      </c>
      <c r="DR279" s="3">
        <v>0</v>
      </c>
      <c r="DS279" s="3">
        <v>0</v>
      </c>
      <c r="DT279" s="3">
        <v>0</v>
      </c>
      <c r="DU279" s="3">
        <v>0</v>
      </c>
      <c r="DV279" s="3">
        <v>0</v>
      </c>
      <c r="DW279" s="3">
        <v>0</v>
      </c>
      <c r="DX279" s="3">
        <v>0</v>
      </c>
      <c r="DY279" s="3">
        <v>0</v>
      </c>
      <c r="DZ279" s="3">
        <v>0</v>
      </c>
      <c r="EA279" s="3">
        <v>0</v>
      </c>
      <c r="EB279" s="4">
        <f t="shared" si="147"/>
        <v>0</v>
      </c>
      <c r="EC279" s="3">
        <v>0</v>
      </c>
      <c r="ED279" s="3">
        <v>0</v>
      </c>
      <c r="EE279" s="3">
        <v>0</v>
      </c>
      <c r="EF279" s="3">
        <v>0</v>
      </c>
      <c r="EG279" s="3">
        <v>0</v>
      </c>
      <c r="EH279" s="3">
        <v>0</v>
      </c>
      <c r="EI279" s="3">
        <v>0</v>
      </c>
      <c r="EJ279" s="3">
        <v>0</v>
      </c>
      <c r="EK279" s="3">
        <v>0</v>
      </c>
      <c r="EL279" s="3">
        <v>0</v>
      </c>
      <c r="EM279" s="3">
        <v>0</v>
      </c>
      <c r="EN279" s="3">
        <v>0</v>
      </c>
      <c r="EO279" s="4">
        <f t="shared" si="148"/>
        <v>0</v>
      </c>
      <c r="EP279" s="8">
        <f t="shared" si="149"/>
        <v>1</v>
      </c>
      <c r="EQ279" s="181">
        <f>IFERROR(VLOOKUP(I279,CEI_012018!$A$1:$U$509,9,FALSE),0)</f>
        <v>0</v>
      </c>
      <c r="ER279" s="181">
        <f>IFERROR(VLOOKUP(I279,CEI_022018!$A$1:$U$509,9,FALSE),0)</f>
        <v>0</v>
      </c>
      <c r="ES279" s="181">
        <f>IFERROR(VLOOKUP(I279,CEI_032018!$A$1:$U$509,9,FALSE),0)</f>
        <v>0</v>
      </c>
      <c r="ET279" s="181">
        <f>IFERROR(VLOOKUP(I279,CEI_042018!$A$1:$U$491,9,FALSE),0)</f>
        <v>0</v>
      </c>
      <c r="EU279" s="181">
        <f>IFERROR(VLOOKUP(I279,CEI_052018!$A$1:$U$489,9,FALSE),0)</f>
        <v>0</v>
      </c>
      <c r="EV279" s="181">
        <f>IFERROR(VLOOKUP(I279,CEI_062018!$A$1:$U$489,9,FALSE),0)</f>
        <v>0</v>
      </c>
      <c r="EW279" s="181">
        <f>IFERROR(VLOOKUP(I279,CEI_072018!$A$1:$U$489,9,FALSE),0)</f>
        <v>0</v>
      </c>
      <c r="EX279" s="181">
        <f>IFERROR(VLOOKUP(I279,CEI_082018!$A$1:$U$489,9,FALSE),0)</f>
        <v>0</v>
      </c>
      <c r="EY279" s="181">
        <f>IFERROR(VLOOKUP(I279,CEI_092018!$A$1:$U$489,9,FALSE),0)</f>
        <v>0</v>
      </c>
      <c r="EZ279" s="181"/>
      <c r="FA279" s="181"/>
      <c r="FB279" s="181"/>
      <c r="FC279" s="181">
        <f>IFERROR(VLOOKUP(I279,CEI_092018!$A$1:$U$489,12,FALSE),0)</f>
        <v>0</v>
      </c>
      <c r="FD279" s="181">
        <f t="shared" si="155"/>
        <v>0</v>
      </c>
      <c r="FE279" s="181">
        <f t="shared" si="156"/>
        <v>0</v>
      </c>
      <c r="FF279"/>
      <c r="FG279"/>
      <c r="FH279"/>
      <c r="FI279"/>
      <c r="FJ279"/>
      <c r="FK279"/>
      <c r="FL279"/>
      <c r="FM279"/>
      <c r="FN279"/>
      <c r="FO279"/>
      <c r="FP279"/>
      <c r="FQ279"/>
      <c r="FR279"/>
      <c r="FS279"/>
      <c r="FT279"/>
      <c r="FU279"/>
      <c r="FV279"/>
      <c r="FW279"/>
      <c r="FX279"/>
      <c r="FY279"/>
      <c r="FZ279"/>
      <c r="GA279"/>
      <c r="GB279"/>
      <c r="GC279"/>
    </row>
    <row r="280" spans="1:185" ht="12.75" customHeight="1" x14ac:dyDescent="0.25">
      <c r="A280" s="202"/>
      <c r="B280" s="22" t="s">
        <v>57</v>
      </c>
      <c r="C280" s="34" t="s">
        <v>44</v>
      </c>
      <c r="D280" s="22" t="s">
        <v>1059</v>
      </c>
      <c r="E280" s="25" t="s">
        <v>1063</v>
      </c>
      <c r="F280" s="25" t="s">
        <v>1059</v>
      </c>
      <c r="G280" s="25" t="s">
        <v>1063</v>
      </c>
      <c r="H280" s="22" t="s">
        <v>56</v>
      </c>
      <c r="I280" s="423" t="s">
        <v>759</v>
      </c>
      <c r="J280" s="412" t="s">
        <v>1353</v>
      </c>
      <c r="K280" s="23" t="s">
        <v>347</v>
      </c>
      <c r="L280" s="23" t="s">
        <v>348</v>
      </c>
      <c r="M280" s="23" t="s">
        <v>349</v>
      </c>
      <c r="N280" s="23" t="s">
        <v>59</v>
      </c>
      <c r="O280" s="2">
        <v>199.38568115234375</v>
      </c>
      <c r="P280" s="2">
        <v>19</v>
      </c>
      <c r="Q280" s="2">
        <v>19.883230000000001</v>
      </c>
      <c r="R280" s="2">
        <v>25</v>
      </c>
      <c r="S280" s="2">
        <v>13.733479886474612</v>
      </c>
      <c r="T280" s="116">
        <f t="shared" si="143"/>
        <v>277.00239103881836</v>
      </c>
      <c r="U280" s="324">
        <v>0</v>
      </c>
      <c r="V280" s="324">
        <v>0</v>
      </c>
      <c r="W280" s="324">
        <v>0</v>
      </c>
      <c r="X280" s="324">
        <v>0</v>
      </c>
      <c r="Y280" s="324">
        <v>0</v>
      </c>
      <c r="Z280" s="324">
        <v>0</v>
      </c>
      <c r="AA280" s="324">
        <v>0</v>
      </c>
      <c r="AB280" s="324">
        <v>0</v>
      </c>
      <c r="AC280" s="324">
        <v>0</v>
      </c>
      <c r="AD280" s="324">
        <v>0</v>
      </c>
      <c r="AE280" s="324">
        <v>0</v>
      </c>
      <c r="AF280" s="324">
        <v>0</v>
      </c>
      <c r="AG280" s="140">
        <f t="shared" si="150"/>
        <v>0</v>
      </c>
      <c r="AH280" s="324">
        <v>0</v>
      </c>
      <c r="AI280" s="324">
        <v>0</v>
      </c>
      <c r="AJ280" s="324">
        <v>0</v>
      </c>
      <c r="AK280" s="324">
        <v>0</v>
      </c>
      <c r="AL280" s="324">
        <v>0</v>
      </c>
      <c r="AM280" s="324">
        <v>0</v>
      </c>
      <c r="AN280" s="324">
        <v>0</v>
      </c>
      <c r="AO280" s="324">
        <v>0</v>
      </c>
      <c r="AP280" s="324">
        <v>0</v>
      </c>
      <c r="AQ280" s="324">
        <v>0</v>
      </c>
      <c r="AR280" s="324">
        <v>0</v>
      </c>
      <c r="AS280" s="324">
        <v>0</v>
      </c>
      <c r="AT280" s="140">
        <f t="shared" si="151"/>
        <v>0</v>
      </c>
      <c r="AU280" s="324">
        <v>0</v>
      </c>
      <c r="AV280" s="324">
        <v>0</v>
      </c>
      <c r="AW280" s="324">
        <v>0</v>
      </c>
      <c r="AX280" s="324">
        <v>0</v>
      </c>
      <c r="AY280" s="324">
        <v>0</v>
      </c>
      <c r="AZ280" s="324">
        <v>0</v>
      </c>
      <c r="BA280" s="324">
        <v>0</v>
      </c>
      <c r="BB280" s="324">
        <v>0</v>
      </c>
      <c r="BC280" s="324">
        <v>0</v>
      </c>
      <c r="BD280" s="324">
        <v>0</v>
      </c>
      <c r="BE280" s="324">
        <v>0</v>
      </c>
      <c r="BF280" s="324">
        <v>0</v>
      </c>
      <c r="BG280" s="140">
        <f t="shared" si="152"/>
        <v>0</v>
      </c>
      <c r="BH280" s="324">
        <v>0</v>
      </c>
      <c r="BI280" s="324">
        <v>0</v>
      </c>
      <c r="BJ280" s="324">
        <v>0</v>
      </c>
      <c r="BK280" s="324">
        <v>0</v>
      </c>
      <c r="BL280" s="324">
        <v>0</v>
      </c>
      <c r="BM280" s="324">
        <v>0</v>
      </c>
      <c r="BN280" s="324">
        <v>0</v>
      </c>
      <c r="BO280" s="324">
        <v>0</v>
      </c>
      <c r="BP280" s="324">
        <v>0</v>
      </c>
      <c r="BQ280" s="324">
        <v>0</v>
      </c>
      <c r="BR280" s="324">
        <v>0</v>
      </c>
      <c r="BS280" s="324">
        <v>0</v>
      </c>
      <c r="BT280" s="140">
        <f t="shared" si="153"/>
        <v>0</v>
      </c>
      <c r="BU280" s="114">
        <f t="shared" si="154"/>
        <v>277.00239103881836</v>
      </c>
      <c r="BV280" s="372">
        <v>1</v>
      </c>
      <c r="BW280" s="372">
        <v>1</v>
      </c>
      <c r="BX280" s="372">
        <v>1</v>
      </c>
      <c r="BY280" s="372">
        <v>1</v>
      </c>
      <c r="BZ280" s="436">
        <f t="shared" ref="BZ280:BZ282" si="157">IFERROR((EX280/T280%),0)</f>
        <v>71.979768984883009</v>
      </c>
      <c r="CA280" s="428">
        <f t="shared" ref="CA280:CA288" si="158">IFERROR((FD280/T280%),0)</f>
        <v>67.956908668061615</v>
      </c>
      <c r="CB280" s="7" t="s">
        <v>1700</v>
      </c>
      <c r="CC280" s="3">
        <v>46.005306451612903</v>
      </c>
      <c r="CD280" s="3">
        <v>48.575435483870969</v>
      </c>
      <c r="CE280" s="3">
        <v>41.767129032258069</v>
      </c>
      <c r="CF280" s="3">
        <v>48.575435483870969</v>
      </c>
      <c r="CG280" s="3">
        <v>43.864870967741936</v>
      </c>
      <c r="CH280" s="3">
        <v>0</v>
      </c>
      <c r="CI280" s="3">
        <v>24.193548387096776</v>
      </c>
      <c r="CJ280" s="3">
        <v>24.193548387096776</v>
      </c>
      <c r="CK280" s="3">
        <v>30.64516129032258</v>
      </c>
      <c r="CL280" s="3">
        <v>32.069725806451615</v>
      </c>
      <c r="CM280" s="3">
        <v>40.322580645161288</v>
      </c>
      <c r="CN280" s="3">
        <v>66.565306451612912</v>
      </c>
      <c r="CO280" s="4">
        <f t="shared" si="144"/>
        <v>446.77804838709676</v>
      </c>
      <c r="CP280" s="3">
        <v>0</v>
      </c>
      <c r="CQ280" s="3">
        <v>0</v>
      </c>
      <c r="CR280" s="3">
        <v>0</v>
      </c>
      <c r="CS280" s="3">
        <v>0</v>
      </c>
      <c r="CT280" s="3">
        <v>0</v>
      </c>
      <c r="CU280" s="3">
        <v>0</v>
      </c>
      <c r="CV280" s="3">
        <v>0</v>
      </c>
      <c r="CW280" s="3">
        <v>0</v>
      </c>
      <c r="CX280" s="3">
        <v>0</v>
      </c>
      <c r="CY280" s="3">
        <v>0</v>
      </c>
      <c r="CZ280" s="3">
        <v>0</v>
      </c>
      <c r="DA280" s="3">
        <v>0</v>
      </c>
      <c r="DB280" s="4">
        <f t="shared" si="145"/>
        <v>0</v>
      </c>
      <c r="DC280" s="3">
        <v>0</v>
      </c>
      <c r="DD280" s="3">
        <v>0</v>
      </c>
      <c r="DE280" s="3">
        <v>0</v>
      </c>
      <c r="DF280" s="3">
        <v>0</v>
      </c>
      <c r="DG280" s="3">
        <v>0</v>
      </c>
      <c r="DH280" s="3">
        <v>0</v>
      </c>
      <c r="DI280" s="3">
        <v>0</v>
      </c>
      <c r="DJ280" s="3">
        <v>0</v>
      </c>
      <c r="DK280" s="3">
        <v>0</v>
      </c>
      <c r="DL280" s="3">
        <v>0</v>
      </c>
      <c r="DM280" s="3">
        <v>0</v>
      </c>
      <c r="DN280" s="3">
        <v>0</v>
      </c>
      <c r="DO280" s="4">
        <f t="shared" si="146"/>
        <v>0</v>
      </c>
      <c r="DP280" s="3">
        <v>0</v>
      </c>
      <c r="DQ280" s="3">
        <v>0</v>
      </c>
      <c r="DR280" s="3">
        <v>0</v>
      </c>
      <c r="DS280" s="3">
        <v>0</v>
      </c>
      <c r="DT280" s="3">
        <v>0</v>
      </c>
      <c r="DU280" s="3">
        <v>0</v>
      </c>
      <c r="DV280" s="3">
        <v>0</v>
      </c>
      <c r="DW280" s="3">
        <v>0</v>
      </c>
      <c r="DX280" s="3">
        <v>0</v>
      </c>
      <c r="DY280" s="3">
        <v>0</v>
      </c>
      <c r="DZ280" s="3">
        <v>0</v>
      </c>
      <c r="EA280" s="3">
        <v>0</v>
      </c>
      <c r="EB280" s="4">
        <f t="shared" si="147"/>
        <v>0</v>
      </c>
      <c r="EC280" s="3">
        <v>0</v>
      </c>
      <c r="ED280" s="3">
        <v>0</v>
      </c>
      <c r="EE280" s="3">
        <v>0</v>
      </c>
      <c r="EF280" s="3">
        <v>0</v>
      </c>
      <c r="EG280" s="3">
        <v>0</v>
      </c>
      <c r="EH280" s="3">
        <v>0</v>
      </c>
      <c r="EI280" s="3">
        <v>0</v>
      </c>
      <c r="EJ280" s="3">
        <v>0</v>
      </c>
      <c r="EK280" s="3">
        <v>0</v>
      </c>
      <c r="EL280" s="3">
        <v>0</v>
      </c>
      <c r="EM280" s="3">
        <v>0</v>
      </c>
      <c r="EN280" s="3">
        <v>0</v>
      </c>
      <c r="EO280" s="4">
        <f t="shared" si="148"/>
        <v>0</v>
      </c>
      <c r="EP280" s="8">
        <f t="shared" si="149"/>
        <v>446.77804838709676</v>
      </c>
      <c r="EQ280" s="181">
        <f>IFERROR(VLOOKUP(I280,CEI_012018!$A$1:$U$509,9,FALSE),0)</f>
        <v>28.523290634155273</v>
      </c>
      <c r="ER280" s="181">
        <f>IFERROR(VLOOKUP(I280,CEI_022018!$A$1:$U$509,9,FALSE),0)</f>
        <v>58.640060424804688</v>
      </c>
      <c r="ES280" s="181">
        <f>IFERROR(VLOOKUP(I280,CEI_032018!$A$1:$U$509,9,FALSE),0)</f>
        <v>84.535680770874023</v>
      </c>
      <c r="ET280" s="181">
        <f>IFERROR(VLOOKUP(I280,CEI_042018!$A$1:$U$491,9,FALSE),0)</f>
        <v>114.65245056152344</v>
      </c>
      <c r="EU280" s="181">
        <f>IFERROR(VLOOKUP(I280,CEI_052018!$A$1:$U$489,9,FALSE),0)</f>
        <v>141.84867095947266</v>
      </c>
      <c r="EV280" s="181">
        <f>IFERROR(VLOOKUP(I280,CEI_062018!$A$1:$U$489,9,FALSE),0)</f>
        <v>141.84867095947266</v>
      </c>
      <c r="EW280" s="181">
        <f>IFERROR(VLOOKUP(I280,CEI_072018!$A$1:$U$489,9,FALSE),0)</f>
        <v>170.73672103881836</v>
      </c>
      <c r="EX280" s="181">
        <f>IFERROR(VLOOKUP(I280,CEI_082018!$A$1:$U$489,9,FALSE),0)</f>
        <v>199.38568115234375</v>
      </c>
      <c r="EY280" s="181">
        <f>IFERROR(VLOOKUP(I280,CEI_092018!$A$1:$U$489,9,FALSE),0)</f>
        <v>199.38568115234375</v>
      </c>
      <c r="EZ280" s="181"/>
      <c r="FA280" s="181"/>
      <c r="FB280" s="181"/>
      <c r="FC280" s="181">
        <f>IFERROR(VLOOKUP(I280,CEI_092018!$A$1:$U$489,12,FALSE),0)</f>
        <v>17.50554084777832</v>
      </c>
      <c r="FD280" s="181">
        <f t="shared" si="155"/>
        <v>188.24226188659668</v>
      </c>
      <c r="FE280" s="181">
        <f t="shared" si="156"/>
        <v>88.76012915222168</v>
      </c>
      <c r="FF280"/>
      <c r="FG280"/>
      <c r="FH280"/>
      <c r="FI280"/>
      <c r="FJ280"/>
      <c r="FK280"/>
      <c r="FL280"/>
      <c r="FM280"/>
      <c r="FN280"/>
      <c r="FO280"/>
      <c r="FP280"/>
      <c r="FQ280"/>
      <c r="FR280"/>
      <c r="FS280"/>
      <c r="FT280"/>
      <c r="FU280"/>
      <c r="FV280"/>
      <c r="FW280"/>
      <c r="FX280"/>
      <c r="FY280"/>
      <c r="FZ280"/>
      <c r="GA280"/>
      <c r="GB280"/>
      <c r="GC280"/>
    </row>
    <row r="281" spans="1:185" ht="12.75" customHeight="1" x14ac:dyDescent="0.25">
      <c r="A281" s="202"/>
      <c r="B281" s="22" t="s">
        <v>57</v>
      </c>
      <c r="C281" s="34" t="s">
        <v>44</v>
      </c>
      <c r="D281" s="22" t="s">
        <v>1059</v>
      </c>
      <c r="E281" s="25" t="s">
        <v>1063</v>
      </c>
      <c r="F281" s="25" t="s">
        <v>1855</v>
      </c>
      <c r="G281" s="25" t="s">
        <v>1856</v>
      </c>
      <c r="H281" s="22" t="s">
        <v>56</v>
      </c>
      <c r="I281" s="423" t="s">
        <v>2002</v>
      </c>
      <c r="J281" s="37" t="s">
        <v>59</v>
      </c>
      <c r="K281" s="23" t="s">
        <v>2005</v>
      </c>
      <c r="L281" s="23" t="s">
        <v>224</v>
      </c>
      <c r="M281" s="23" t="s">
        <v>225</v>
      </c>
      <c r="N281" s="23" t="s">
        <v>1872</v>
      </c>
      <c r="O281" s="2">
        <v>0</v>
      </c>
      <c r="P281" s="2">
        <v>0</v>
      </c>
      <c r="Q281" s="2">
        <v>0</v>
      </c>
      <c r="R281" s="2">
        <v>0</v>
      </c>
      <c r="S281" s="2">
        <v>50</v>
      </c>
      <c r="T281" s="116">
        <f t="shared" si="143"/>
        <v>50</v>
      </c>
      <c r="U281" s="324">
        <v>30</v>
      </c>
      <c r="V281" s="324">
        <v>30</v>
      </c>
      <c r="W281" s="324">
        <v>30</v>
      </c>
      <c r="X281" s="324">
        <v>30</v>
      </c>
      <c r="Y281" s="324">
        <v>0</v>
      </c>
      <c r="Z281" s="324">
        <v>0</v>
      </c>
      <c r="AA281" s="324">
        <v>0</v>
      </c>
      <c r="AB281" s="324">
        <v>0</v>
      </c>
      <c r="AC281" s="324">
        <v>0</v>
      </c>
      <c r="AD281" s="324">
        <v>0</v>
      </c>
      <c r="AE281" s="324">
        <v>0</v>
      </c>
      <c r="AF281" s="324">
        <v>0</v>
      </c>
      <c r="AG281" s="140">
        <f t="shared" si="150"/>
        <v>120</v>
      </c>
      <c r="AH281" s="324">
        <v>0</v>
      </c>
      <c r="AI281" s="324">
        <v>25</v>
      </c>
      <c r="AJ281" s="324">
        <v>25</v>
      </c>
      <c r="AK281" s="324">
        <v>50</v>
      </c>
      <c r="AL281" s="324">
        <v>0</v>
      </c>
      <c r="AM281" s="324">
        <v>0</v>
      </c>
      <c r="AN281" s="324">
        <v>0</v>
      </c>
      <c r="AO281" s="324">
        <v>0</v>
      </c>
      <c r="AP281" s="324">
        <v>0</v>
      </c>
      <c r="AQ281" s="324">
        <v>0</v>
      </c>
      <c r="AR281" s="324">
        <v>0</v>
      </c>
      <c r="AS281" s="324">
        <v>0</v>
      </c>
      <c r="AT281" s="140">
        <f t="shared" si="151"/>
        <v>100</v>
      </c>
      <c r="AU281" s="324">
        <v>0</v>
      </c>
      <c r="AV281" s="324">
        <v>0</v>
      </c>
      <c r="AW281" s="324">
        <v>0</v>
      </c>
      <c r="AX281" s="324">
        <v>0</v>
      </c>
      <c r="AY281" s="324">
        <v>0</v>
      </c>
      <c r="AZ281" s="324">
        <v>0</v>
      </c>
      <c r="BA281" s="324">
        <v>0</v>
      </c>
      <c r="BB281" s="324">
        <v>0</v>
      </c>
      <c r="BC281" s="324">
        <v>0</v>
      </c>
      <c r="BD281" s="324">
        <v>0</v>
      </c>
      <c r="BE281" s="324">
        <v>0</v>
      </c>
      <c r="BF281" s="324">
        <v>0</v>
      </c>
      <c r="BG281" s="140">
        <f t="shared" si="152"/>
        <v>0</v>
      </c>
      <c r="BH281" s="324">
        <v>0</v>
      </c>
      <c r="BI281" s="324">
        <v>0</v>
      </c>
      <c r="BJ281" s="324">
        <v>0</v>
      </c>
      <c r="BK281" s="324">
        <v>0</v>
      </c>
      <c r="BL281" s="324">
        <v>0</v>
      </c>
      <c r="BM281" s="324">
        <v>0</v>
      </c>
      <c r="BN281" s="324">
        <v>0</v>
      </c>
      <c r="BO281" s="324">
        <v>0</v>
      </c>
      <c r="BP281" s="324">
        <v>0</v>
      </c>
      <c r="BQ281" s="324">
        <v>0</v>
      </c>
      <c r="BR281" s="324">
        <v>0</v>
      </c>
      <c r="BS281" s="324">
        <v>0</v>
      </c>
      <c r="BT281" s="140">
        <f t="shared" si="153"/>
        <v>0</v>
      </c>
      <c r="BU281" s="114">
        <f t="shared" si="154"/>
        <v>270</v>
      </c>
      <c r="BV281" s="372">
        <v>-1</v>
      </c>
      <c r="BW281" s="372">
        <v>-1</v>
      </c>
      <c r="BX281" s="372">
        <v>-1</v>
      </c>
      <c r="BY281" s="372">
        <v>-1</v>
      </c>
      <c r="BZ281" s="436">
        <f t="shared" si="157"/>
        <v>0</v>
      </c>
      <c r="CA281" s="428">
        <f t="shared" si="158"/>
        <v>99.999900817871094</v>
      </c>
      <c r="CB281" s="7" t="s">
        <v>1699</v>
      </c>
      <c r="CC281" s="3">
        <v>0</v>
      </c>
      <c r="CD281" s="3">
        <v>0</v>
      </c>
      <c r="CE281" s="3">
        <v>0</v>
      </c>
      <c r="CF281" s="3">
        <v>0</v>
      </c>
      <c r="CG281" s="3">
        <v>0</v>
      </c>
      <c r="CH281" s="3">
        <v>0</v>
      </c>
      <c r="CI281" s="3">
        <v>0</v>
      </c>
      <c r="CJ281" s="3">
        <v>0</v>
      </c>
      <c r="CK281" s="3">
        <v>0</v>
      </c>
      <c r="CL281" s="3">
        <v>0</v>
      </c>
      <c r="CM281" s="3">
        <v>0</v>
      </c>
      <c r="CN281" s="3">
        <v>1</v>
      </c>
      <c r="CO281" s="4">
        <f t="shared" si="144"/>
        <v>1</v>
      </c>
      <c r="CP281" s="3">
        <v>0</v>
      </c>
      <c r="CQ281" s="3">
        <v>0</v>
      </c>
      <c r="CR281" s="3">
        <v>0</v>
      </c>
      <c r="CS281" s="3">
        <v>1</v>
      </c>
      <c r="CT281" s="3">
        <v>0</v>
      </c>
      <c r="CU281" s="3">
        <v>0</v>
      </c>
      <c r="CV281" s="3">
        <v>0</v>
      </c>
      <c r="CW281" s="3">
        <v>0</v>
      </c>
      <c r="CX281" s="3">
        <v>0</v>
      </c>
      <c r="CY281" s="3">
        <v>0</v>
      </c>
      <c r="CZ281" s="3">
        <v>0</v>
      </c>
      <c r="DA281" s="3">
        <v>0</v>
      </c>
      <c r="DB281" s="4">
        <f t="shared" si="145"/>
        <v>1</v>
      </c>
      <c r="DC281" s="3">
        <v>0</v>
      </c>
      <c r="DD281" s="3">
        <v>0</v>
      </c>
      <c r="DE281" s="3">
        <v>1</v>
      </c>
      <c r="DF281" s="3">
        <v>0</v>
      </c>
      <c r="DG281" s="3">
        <v>0</v>
      </c>
      <c r="DH281" s="3">
        <v>0</v>
      </c>
      <c r="DI281" s="3">
        <v>0</v>
      </c>
      <c r="DJ281" s="3">
        <v>0</v>
      </c>
      <c r="DK281" s="3">
        <v>0</v>
      </c>
      <c r="DL281" s="3">
        <v>0</v>
      </c>
      <c r="DM281" s="3">
        <v>0</v>
      </c>
      <c r="DN281" s="3">
        <v>0</v>
      </c>
      <c r="DO281" s="4">
        <f t="shared" si="146"/>
        <v>1</v>
      </c>
      <c r="DP281" s="3">
        <v>0</v>
      </c>
      <c r="DQ281" s="3">
        <v>0</v>
      </c>
      <c r="DR281" s="3">
        <v>0</v>
      </c>
      <c r="DS281" s="3">
        <v>0</v>
      </c>
      <c r="DT281" s="3">
        <v>0</v>
      </c>
      <c r="DU281" s="3">
        <v>0</v>
      </c>
      <c r="DV281" s="3">
        <v>0</v>
      </c>
      <c r="DW281" s="3">
        <v>0</v>
      </c>
      <c r="DX281" s="3">
        <v>0</v>
      </c>
      <c r="DY281" s="3">
        <v>0</v>
      </c>
      <c r="DZ281" s="3">
        <v>0</v>
      </c>
      <c r="EA281" s="3">
        <v>0</v>
      </c>
      <c r="EB281" s="4">
        <f t="shared" si="147"/>
        <v>0</v>
      </c>
      <c r="EC281" s="3">
        <v>0</v>
      </c>
      <c r="ED281" s="3">
        <v>0</v>
      </c>
      <c r="EE281" s="3">
        <v>0</v>
      </c>
      <c r="EF281" s="3">
        <v>0</v>
      </c>
      <c r="EG281" s="3">
        <v>0</v>
      </c>
      <c r="EH281" s="3">
        <v>0</v>
      </c>
      <c r="EI281" s="3">
        <v>0</v>
      </c>
      <c r="EJ281" s="3">
        <v>0</v>
      </c>
      <c r="EK281" s="3">
        <v>0</v>
      </c>
      <c r="EL281" s="3">
        <v>0</v>
      </c>
      <c r="EM281" s="3">
        <v>0</v>
      </c>
      <c r="EN281" s="3">
        <v>0</v>
      </c>
      <c r="EO281" s="4">
        <f t="shared" si="148"/>
        <v>0</v>
      </c>
      <c r="EP281" s="8">
        <f t="shared" si="149"/>
        <v>3</v>
      </c>
      <c r="EQ281" s="181">
        <f>IFERROR(VLOOKUP(I281,CEI_012018!$A$1:$U$509,9,FALSE),0)</f>
        <v>0</v>
      </c>
      <c r="ER281" s="181">
        <f>IFERROR(VLOOKUP(I281,CEI_022018!$A$1:$U$509,9,FALSE),0)</f>
        <v>0</v>
      </c>
      <c r="ES281" s="181">
        <f>IFERROR(VLOOKUP(I281,CEI_032018!$A$1:$U$509,9,FALSE),0)</f>
        <v>0</v>
      </c>
      <c r="ET281" s="181">
        <f>IFERROR(VLOOKUP(I281,CEI_042018!$A$1:$U$491,9,FALSE),0)</f>
        <v>0</v>
      </c>
      <c r="EU281" s="181">
        <f>IFERROR(VLOOKUP(I281,CEI_052018!$A$1:$U$489,9,FALSE),0)</f>
        <v>0</v>
      </c>
      <c r="EV281" s="181">
        <f>IFERROR(VLOOKUP(I281,CEI_062018!$A$1:$U$489,9,FALSE),0)</f>
        <v>0</v>
      </c>
      <c r="EW281" s="181">
        <f>IFERROR(VLOOKUP(I281,CEI_072018!$A$1:$U$489,9,FALSE),0)</f>
        <v>0</v>
      </c>
      <c r="EX281" s="181">
        <f>IFERROR(VLOOKUP(I281,CEI_082018!$A$1:$U$489,9,FALSE),0)</f>
        <v>0</v>
      </c>
      <c r="EY281" s="181">
        <f>IFERROR(VLOOKUP(I281,CEI_092018!$A$1:$U$489,9,FALSE),0)</f>
        <v>0</v>
      </c>
      <c r="EZ281" s="181"/>
      <c r="FA281" s="181"/>
      <c r="FB281" s="181"/>
      <c r="FC281" s="181">
        <f>IFERROR(VLOOKUP(I281,CEI_092018!$A$1:$U$489,12,FALSE),0)</f>
        <v>49.999950408935547</v>
      </c>
      <c r="FD281" s="181">
        <f t="shared" si="155"/>
        <v>49.999950408935547</v>
      </c>
      <c r="FE281" s="181">
        <f t="shared" si="156"/>
        <v>4.9591064453125E-5</v>
      </c>
      <c r="FF281"/>
      <c r="FG281"/>
      <c r="FH281"/>
      <c r="FI281"/>
      <c r="FJ281"/>
      <c r="FK281"/>
      <c r="FL281"/>
      <c r="FM281"/>
      <c r="FN281"/>
      <c r="FO281"/>
      <c r="FP281"/>
      <c r="FQ281"/>
      <c r="FR281"/>
      <c r="FS281"/>
      <c r="FT281"/>
      <c r="FU281"/>
      <c r="FV281"/>
      <c r="FW281"/>
      <c r="FX281"/>
      <c r="FY281"/>
      <c r="FZ281"/>
      <c r="GA281"/>
      <c r="GB281"/>
      <c r="GC281"/>
    </row>
    <row r="282" spans="1:185" ht="12.75" customHeight="1" x14ac:dyDescent="0.25">
      <c r="A282" s="202"/>
      <c r="B282" s="22" t="s">
        <v>57</v>
      </c>
      <c r="C282" s="34" t="s">
        <v>44</v>
      </c>
      <c r="D282" s="22" t="s">
        <v>1059</v>
      </c>
      <c r="E282" s="25" t="s">
        <v>1063</v>
      </c>
      <c r="F282" s="25" t="s">
        <v>1059</v>
      </c>
      <c r="G282" s="25" t="s">
        <v>1063</v>
      </c>
      <c r="H282" s="22" t="s">
        <v>56</v>
      </c>
      <c r="I282" s="423" t="s">
        <v>1147</v>
      </c>
      <c r="J282" s="37" t="s">
        <v>1388</v>
      </c>
      <c r="K282" s="23" t="s">
        <v>1023</v>
      </c>
      <c r="L282" s="23" t="s">
        <v>1148</v>
      </c>
      <c r="M282" s="23" t="s">
        <v>1057</v>
      </c>
      <c r="N282" s="23" t="s">
        <v>59</v>
      </c>
      <c r="O282" s="2">
        <v>0</v>
      </c>
      <c r="P282" s="2">
        <v>0</v>
      </c>
      <c r="Q282" s="2">
        <v>0</v>
      </c>
      <c r="R282" s="2">
        <v>0</v>
      </c>
      <c r="S282" s="2">
        <v>0</v>
      </c>
      <c r="T282" s="116">
        <f t="shared" si="143"/>
        <v>0</v>
      </c>
      <c r="U282" s="324">
        <v>0</v>
      </c>
      <c r="V282" s="324">
        <v>20</v>
      </c>
      <c r="W282" s="324">
        <v>23</v>
      </c>
      <c r="X282" s="324">
        <v>30</v>
      </c>
      <c r="Y282" s="324">
        <v>20</v>
      </c>
      <c r="Z282" s="324">
        <v>20</v>
      </c>
      <c r="AA282" s="324">
        <v>20</v>
      </c>
      <c r="AB282" s="324">
        <v>20</v>
      </c>
      <c r="AC282" s="324">
        <v>20</v>
      </c>
      <c r="AD282" s="324">
        <v>20</v>
      </c>
      <c r="AE282" s="324">
        <v>28</v>
      </c>
      <c r="AF282" s="324">
        <v>27</v>
      </c>
      <c r="AG282" s="140">
        <f t="shared" si="150"/>
        <v>248</v>
      </c>
      <c r="AH282" s="324">
        <v>0</v>
      </c>
      <c r="AI282" s="324">
        <v>0</v>
      </c>
      <c r="AJ282" s="324">
        <v>0</v>
      </c>
      <c r="AK282" s="324">
        <v>0</v>
      </c>
      <c r="AL282" s="324">
        <v>0</v>
      </c>
      <c r="AM282" s="324">
        <v>0</v>
      </c>
      <c r="AN282" s="324">
        <v>0</v>
      </c>
      <c r="AO282" s="324">
        <v>0</v>
      </c>
      <c r="AP282" s="324">
        <v>0</v>
      </c>
      <c r="AQ282" s="324">
        <v>0</v>
      </c>
      <c r="AR282" s="324">
        <v>0</v>
      </c>
      <c r="AS282" s="324">
        <v>0</v>
      </c>
      <c r="AT282" s="140">
        <f t="shared" si="151"/>
        <v>0</v>
      </c>
      <c r="AU282" s="324">
        <v>0</v>
      </c>
      <c r="AV282" s="324">
        <v>0</v>
      </c>
      <c r="AW282" s="324">
        <v>0</v>
      </c>
      <c r="AX282" s="324">
        <v>0</v>
      </c>
      <c r="AY282" s="324">
        <v>0</v>
      </c>
      <c r="AZ282" s="324">
        <v>0</v>
      </c>
      <c r="BA282" s="324">
        <v>0</v>
      </c>
      <c r="BB282" s="324">
        <v>0</v>
      </c>
      <c r="BC282" s="324">
        <v>0</v>
      </c>
      <c r="BD282" s="324">
        <v>0</v>
      </c>
      <c r="BE282" s="324">
        <v>0</v>
      </c>
      <c r="BF282" s="324">
        <v>0</v>
      </c>
      <c r="BG282" s="140">
        <f t="shared" si="152"/>
        <v>0</v>
      </c>
      <c r="BH282" s="324">
        <v>0</v>
      </c>
      <c r="BI282" s="324">
        <v>0</v>
      </c>
      <c r="BJ282" s="324">
        <v>0</v>
      </c>
      <c r="BK282" s="324">
        <v>0</v>
      </c>
      <c r="BL282" s="324">
        <v>0</v>
      </c>
      <c r="BM282" s="324">
        <v>0</v>
      </c>
      <c r="BN282" s="324">
        <v>0</v>
      </c>
      <c r="BO282" s="324">
        <v>0</v>
      </c>
      <c r="BP282" s="324">
        <v>0</v>
      </c>
      <c r="BQ282" s="324">
        <v>0</v>
      </c>
      <c r="BR282" s="324">
        <v>0</v>
      </c>
      <c r="BS282" s="324">
        <v>0</v>
      </c>
      <c r="BT282" s="140">
        <f t="shared" si="153"/>
        <v>0</v>
      </c>
      <c r="BU282" s="114">
        <f t="shared" si="154"/>
        <v>248</v>
      </c>
      <c r="BV282" s="372">
        <v>1</v>
      </c>
      <c r="BW282" s="372">
        <v>1</v>
      </c>
      <c r="BX282" s="372">
        <v>1</v>
      </c>
      <c r="BY282" s="372">
        <v>1</v>
      </c>
      <c r="BZ282" s="436">
        <f t="shared" si="157"/>
        <v>0</v>
      </c>
      <c r="CA282" s="428">
        <f t="shared" si="158"/>
        <v>0</v>
      </c>
      <c r="CB282" s="7" t="s">
        <v>1700</v>
      </c>
      <c r="CC282" s="3">
        <v>0</v>
      </c>
      <c r="CD282" s="3">
        <v>0</v>
      </c>
      <c r="CE282" s="3">
        <v>0</v>
      </c>
      <c r="CF282" s="3">
        <v>0</v>
      </c>
      <c r="CG282" s="3">
        <v>0</v>
      </c>
      <c r="CH282" s="3">
        <v>0</v>
      </c>
      <c r="CI282" s="3">
        <v>122.97734627831716</v>
      </c>
      <c r="CJ282" s="3">
        <v>0</v>
      </c>
      <c r="CK282" s="3">
        <v>122.97734627831716</v>
      </c>
      <c r="CL282" s="3">
        <v>0</v>
      </c>
      <c r="CM282" s="3">
        <v>122.97734627831716</v>
      </c>
      <c r="CN282" s="3">
        <v>131.06796116504856</v>
      </c>
      <c r="CO282" s="4">
        <f t="shared" si="144"/>
        <v>500</v>
      </c>
      <c r="CP282" s="3">
        <v>64.724919093851128</v>
      </c>
      <c r="CQ282" s="3">
        <v>64.724919093851128</v>
      </c>
      <c r="CR282" s="3">
        <v>74.433656957928804</v>
      </c>
      <c r="CS282" s="3">
        <v>97.087378640776706</v>
      </c>
      <c r="CT282" s="3">
        <v>0</v>
      </c>
      <c r="CU282" s="3">
        <v>0</v>
      </c>
      <c r="CV282" s="3">
        <v>0</v>
      </c>
      <c r="CW282" s="3">
        <v>0</v>
      </c>
      <c r="CX282" s="3">
        <v>0</v>
      </c>
      <c r="CY282" s="3">
        <v>0</v>
      </c>
      <c r="CZ282" s="3">
        <v>0</v>
      </c>
      <c r="DA282" s="3">
        <v>0</v>
      </c>
      <c r="DB282" s="4">
        <f t="shared" si="145"/>
        <v>300.97087378640776</v>
      </c>
      <c r="DC282" s="3">
        <v>0</v>
      </c>
      <c r="DD282" s="3">
        <v>0</v>
      </c>
      <c r="DE282" s="3">
        <v>0</v>
      </c>
      <c r="DF282" s="3">
        <v>0</v>
      </c>
      <c r="DG282" s="3">
        <v>0</v>
      </c>
      <c r="DH282" s="3">
        <v>0</v>
      </c>
      <c r="DI282" s="3">
        <v>0</v>
      </c>
      <c r="DJ282" s="3">
        <v>0</v>
      </c>
      <c r="DK282" s="3">
        <v>0</v>
      </c>
      <c r="DL282" s="3">
        <v>0</v>
      </c>
      <c r="DM282" s="3">
        <v>0</v>
      </c>
      <c r="DN282" s="3">
        <v>0</v>
      </c>
      <c r="DO282" s="4">
        <f t="shared" si="146"/>
        <v>0</v>
      </c>
      <c r="DP282" s="3">
        <v>0</v>
      </c>
      <c r="DQ282" s="3">
        <v>0</v>
      </c>
      <c r="DR282" s="3">
        <v>0</v>
      </c>
      <c r="DS282" s="3">
        <v>0</v>
      </c>
      <c r="DT282" s="3">
        <v>0</v>
      </c>
      <c r="DU282" s="3">
        <v>0</v>
      </c>
      <c r="DV282" s="3">
        <v>0</v>
      </c>
      <c r="DW282" s="3">
        <v>0</v>
      </c>
      <c r="DX282" s="3">
        <v>0</v>
      </c>
      <c r="DY282" s="3">
        <v>0</v>
      </c>
      <c r="DZ282" s="3">
        <v>0</v>
      </c>
      <c r="EA282" s="3">
        <v>0</v>
      </c>
      <c r="EB282" s="4">
        <f t="shared" si="147"/>
        <v>0</v>
      </c>
      <c r="EC282" s="3">
        <v>0</v>
      </c>
      <c r="ED282" s="3">
        <v>0</v>
      </c>
      <c r="EE282" s="3">
        <v>0</v>
      </c>
      <c r="EF282" s="3">
        <v>0</v>
      </c>
      <c r="EG282" s="3">
        <v>0</v>
      </c>
      <c r="EH282" s="3">
        <v>0</v>
      </c>
      <c r="EI282" s="3">
        <v>0</v>
      </c>
      <c r="EJ282" s="3">
        <v>0</v>
      </c>
      <c r="EK282" s="3">
        <v>0</v>
      </c>
      <c r="EL282" s="3">
        <v>0</v>
      </c>
      <c r="EM282" s="3">
        <v>0</v>
      </c>
      <c r="EN282" s="3">
        <v>0</v>
      </c>
      <c r="EO282" s="4">
        <f t="shared" si="148"/>
        <v>0</v>
      </c>
      <c r="EP282" s="8">
        <f t="shared" si="149"/>
        <v>800.97087378640776</v>
      </c>
      <c r="EQ282" s="181">
        <f>IFERROR(VLOOKUP(I282,CEI_012018!$A$1:$U$509,9,FALSE),0)</f>
        <v>0</v>
      </c>
      <c r="ER282" s="181">
        <f>IFERROR(VLOOKUP(I282,CEI_022018!$A$1:$U$509,9,FALSE),0)</f>
        <v>0</v>
      </c>
      <c r="ES282" s="181">
        <f>IFERROR(VLOOKUP(I282,CEI_032018!$A$1:$U$509,9,FALSE),0)</f>
        <v>0</v>
      </c>
      <c r="ET282" s="181">
        <f>IFERROR(VLOOKUP(I282,CEI_042018!$A$1:$U$491,9,FALSE),0)</f>
        <v>0</v>
      </c>
      <c r="EU282" s="181">
        <f>IFERROR(VLOOKUP(I282,CEI_052018!$A$1:$U$489,9,FALSE),0)</f>
        <v>0</v>
      </c>
      <c r="EV282" s="181">
        <f>IFERROR(VLOOKUP(I282,CEI_062018!$A$1:$U$489,9,FALSE),0)</f>
        <v>0</v>
      </c>
      <c r="EW282" s="181">
        <f>IFERROR(VLOOKUP(I282,CEI_072018!$A$1:$U$489,9,FALSE),0)</f>
        <v>0</v>
      </c>
      <c r="EX282" s="181">
        <f>IFERROR(VLOOKUP(I282,CEI_082018!$A$1:$U$489,9,FALSE),0)</f>
        <v>0</v>
      </c>
      <c r="EY282" s="181">
        <f>IFERROR(VLOOKUP(I282,CEI_092018!$A$1:$U$489,9,FALSE),0)</f>
        <v>0</v>
      </c>
      <c r="EZ282" s="181"/>
      <c r="FA282" s="181"/>
      <c r="FB282" s="181"/>
      <c r="FC282" s="181">
        <f>IFERROR(VLOOKUP(I282,CEI_092018!$A$1:$U$489,12,FALSE),0)</f>
        <v>154.5</v>
      </c>
      <c r="FD282" s="181">
        <f t="shared" si="155"/>
        <v>154.5</v>
      </c>
      <c r="FE282" s="181">
        <f t="shared" si="156"/>
        <v>-154.5</v>
      </c>
      <c r="FF282"/>
      <c r="FG282"/>
      <c r="FH282"/>
      <c r="FI282"/>
      <c r="FJ282"/>
      <c r="FK282"/>
      <c r="FL282"/>
      <c r="FM282"/>
      <c r="FN282"/>
      <c r="FO282"/>
      <c r="FP282"/>
      <c r="FQ282"/>
      <c r="FR282"/>
      <c r="FS282"/>
      <c r="FT282"/>
      <c r="FU282"/>
      <c r="FV282"/>
      <c r="FW282"/>
      <c r="FX282"/>
      <c r="FY282"/>
      <c r="FZ282"/>
      <c r="GA282"/>
      <c r="GB282"/>
      <c r="GC282"/>
    </row>
    <row r="283" spans="1:185" ht="12.75" customHeight="1" x14ac:dyDescent="0.25">
      <c r="A283" s="202"/>
      <c r="B283" s="22" t="s">
        <v>57</v>
      </c>
      <c r="C283" s="34" t="s">
        <v>44</v>
      </c>
      <c r="D283" s="22" t="s">
        <v>1059</v>
      </c>
      <c r="E283" s="25" t="s">
        <v>1063</v>
      </c>
      <c r="F283" s="25" t="s">
        <v>515</v>
      </c>
      <c r="G283" s="25" t="s">
        <v>516</v>
      </c>
      <c r="H283" s="22" t="s">
        <v>62</v>
      </c>
      <c r="I283" s="423" t="s">
        <v>565</v>
      </c>
      <c r="J283" s="37" t="s">
        <v>59</v>
      </c>
      <c r="K283" s="23" t="s">
        <v>862</v>
      </c>
      <c r="L283" s="23" t="s">
        <v>863</v>
      </c>
      <c r="M283" s="23" t="s">
        <v>864</v>
      </c>
      <c r="N283" s="23" t="s">
        <v>59</v>
      </c>
      <c r="O283" s="2">
        <v>0</v>
      </c>
      <c r="P283" s="2">
        <v>0</v>
      </c>
      <c r="Q283" s="2">
        <v>0</v>
      </c>
      <c r="R283" s="2">
        <v>100</v>
      </c>
      <c r="S283" s="2">
        <v>100</v>
      </c>
      <c r="T283" s="116">
        <f t="shared" si="143"/>
        <v>200</v>
      </c>
      <c r="U283" s="324">
        <v>0</v>
      </c>
      <c r="V283" s="324">
        <v>0</v>
      </c>
      <c r="W283" s="324">
        <v>0</v>
      </c>
      <c r="X283" s="324">
        <v>0</v>
      </c>
      <c r="Y283" s="324">
        <v>0</v>
      </c>
      <c r="Z283" s="324">
        <v>0</v>
      </c>
      <c r="AA283" s="324">
        <v>0</v>
      </c>
      <c r="AB283" s="324">
        <v>0</v>
      </c>
      <c r="AC283" s="324">
        <v>0</v>
      </c>
      <c r="AD283" s="324">
        <v>0</v>
      </c>
      <c r="AE283" s="324">
        <v>0</v>
      </c>
      <c r="AF283" s="324">
        <v>0</v>
      </c>
      <c r="AG283" s="140">
        <f t="shared" si="150"/>
        <v>0</v>
      </c>
      <c r="AH283" s="324">
        <v>0</v>
      </c>
      <c r="AI283" s="324">
        <v>0</v>
      </c>
      <c r="AJ283" s="324">
        <v>0</v>
      </c>
      <c r="AK283" s="324">
        <v>0</v>
      </c>
      <c r="AL283" s="324">
        <v>0</v>
      </c>
      <c r="AM283" s="324">
        <v>0</v>
      </c>
      <c r="AN283" s="324">
        <v>0</v>
      </c>
      <c r="AO283" s="324">
        <v>0</v>
      </c>
      <c r="AP283" s="324">
        <v>0</v>
      </c>
      <c r="AQ283" s="324">
        <v>0</v>
      </c>
      <c r="AR283" s="324">
        <v>0</v>
      </c>
      <c r="AS283" s="324">
        <v>0</v>
      </c>
      <c r="AT283" s="140">
        <f t="shared" si="151"/>
        <v>0</v>
      </c>
      <c r="AU283" s="324">
        <v>0</v>
      </c>
      <c r="AV283" s="324">
        <v>0</v>
      </c>
      <c r="AW283" s="324">
        <v>0</v>
      </c>
      <c r="AX283" s="324">
        <v>0</v>
      </c>
      <c r="AY283" s="324">
        <v>0</v>
      </c>
      <c r="AZ283" s="324">
        <v>0</v>
      </c>
      <c r="BA283" s="324">
        <v>0</v>
      </c>
      <c r="BB283" s="324">
        <v>0</v>
      </c>
      <c r="BC283" s="324">
        <v>0</v>
      </c>
      <c r="BD283" s="324">
        <v>0</v>
      </c>
      <c r="BE283" s="324">
        <v>0</v>
      </c>
      <c r="BF283" s="324">
        <v>0</v>
      </c>
      <c r="BG283" s="140">
        <f t="shared" si="152"/>
        <v>0</v>
      </c>
      <c r="BH283" s="324">
        <v>0</v>
      </c>
      <c r="BI283" s="324">
        <v>0</v>
      </c>
      <c r="BJ283" s="324">
        <v>0</v>
      </c>
      <c r="BK283" s="324">
        <v>0</v>
      </c>
      <c r="BL283" s="324">
        <v>0</v>
      </c>
      <c r="BM283" s="324">
        <v>0</v>
      </c>
      <c r="BN283" s="324">
        <v>0</v>
      </c>
      <c r="BO283" s="324">
        <v>0</v>
      </c>
      <c r="BP283" s="324">
        <v>0</v>
      </c>
      <c r="BQ283" s="324">
        <v>0</v>
      </c>
      <c r="BR283" s="324">
        <v>0</v>
      </c>
      <c r="BS283" s="324">
        <v>0</v>
      </c>
      <c r="BT283" s="140">
        <f t="shared" si="153"/>
        <v>0</v>
      </c>
      <c r="BU283" s="114">
        <f t="shared" si="154"/>
        <v>200</v>
      </c>
      <c r="BV283" s="372">
        <v>-1</v>
      </c>
      <c r="BW283" s="372">
        <v>-1</v>
      </c>
      <c r="BX283" s="372">
        <v>-1</v>
      </c>
      <c r="BY283" s="372">
        <v>-1</v>
      </c>
      <c r="BZ283" s="436">
        <f>IFERROR((EX283/T283%),0)</f>
        <v>0</v>
      </c>
      <c r="CA283" s="428">
        <f t="shared" si="158"/>
        <v>0</v>
      </c>
      <c r="CB283" s="7" t="s">
        <v>1699</v>
      </c>
      <c r="CC283" s="3">
        <v>0</v>
      </c>
      <c r="CD283" s="3">
        <v>0</v>
      </c>
      <c r="CE283" s="3">
        <v>0</v>
      </c>
      <c r="CF283" s="3">
        <v>0</v>
      </c>
      <c r="CG283" s="3">
        <v>0</v>
      </c>
      <c r="CH283" s="3">
        <v>0</v>
      </c>
      <c r="CI283" s="3">
        <v>0</v>
      </c>
      <c r="CJ283" s="3">
        <v>0</v>
      </c>
      <c r="CK283" s="3">
        <v>0</v>
      </c>
      <c r="CL283" s="3">
        <v>0</v>
      </c>
      <c r="CM283" s="3">
        <v>0</v>
      </c>
      <c r="CN283" s="3">
        <v>1</v>
      </c>
      <c r="CO283" s="4">
        <f t="shared" si="144"/>
        <v>1</v>
      </c>
      <c r="CP283" s="3">
        <v>0</v>
      </c>
      <c r="CQ283" s="3">
        <v>0</v>
      </c>
      <c r="CR283" s="3">
        <v>0</v>
      </c>
      <c r="CS283" s="3">
        <v>0</v>
      </c>
      <c r="CT283" s="3">
        <v>0</v>
      </c>
      <c r="CU283" s="3">
        <v>0</v>
      </c>
      <c r="CV283" s="3">
        <v>0</v>
      </c>
      <c r="CW283" s="3">
        <v>0</v>
      </c>
      <c r="CX283" s="3">
        <v>0</v>
      </c>
      <c r="CY283" s="3">
        <v>0</v>
      </c>
      <c r="CZ283" s="3">
        <v>0</v>
      </c>
      <c r="DA283" s="3">
        <v>0</v>
      </c>
      <c r="DB283" s="4">
        <f t="shared" si="145"/>
        <v>0</v>
      </c>
      <c r="DC283" s="3">
        <v>0</v>
      </c>
      <c r="DD283" s="3">
        <v>0</v>
      </c>
      <c r="DE283" s="3">
        <v>0</v>
      </c>
      <c r="DF283" s="3">
        <v>0</v>
      </c>
      <c r="DG283" s="3">
        <v>0</v>
      </c>
      <c r="DH283" s="3">
        <v>0</v>
      </c>
      <c r="DI283" s="3">
        <v>0</v>
      </c>
      <c r="DJ283" s="3">
        <v>0</v>
      </c>
      <c r="DK283" s="3">
        <v>0</v>
      </c>
      <c r="DL283" s="3">
        <v>0</v>
      </c>
      <c r="DM283" s="3">
        <v>0</v>
      </c>
      <c r="DN283" s="3">
        <v>0</v>
      </c>
      <c r="DO283" s="4">
        <f t="shared" si="146"/>
        <v>0</v>
      </c>
      <c r="DP283" s="3">
        <v>0</v>
      </c>
      <c r="DQ283" s="3">
        <v>0</v>
      </c>
      <c r="DR283" s="3">
        <v>0</v>
      </c>
      <c r="DS283" s="3">
        <v>0</v>
      </c>
      <c r="DT283" s="3">
        <v>0</v>
      </c>
      <c r="DU283" s="3">
        <v>0</v>
      </c>
      <c r="DV283" s="3">
        <v>0</v>
      </c>
      <c r="DW283" s="3">
        <v>0</v>
      </c>
      <c r="DX283" s="3">
        <v>0</v>
      </c>
      <c r="DY283" s="3">
        <v>0</v>
      </c>
      <c r="DZ283" s="3">
        <v>0</v>
      </c>
      <c r="EA283" s="3">
        <v>0</v>
      </c>
      <c r="EB283" s="4">
        <f t="shared" si="147"/>
        <v>0</v>
      </c>
      <c r="EC283" s="3">
        <v>0</v>
      </c>
      <c r="ED283" s="3">
        <v>0</v>
      </c>
      <c r="EE283" s="3">
        <v>0</v>
      </c>
      <c r="EF283" s="3">
        <v>0</v>
      </c>
      <c r="EG283" s="3">
        <v>0</v>
      </c>
      <c r="EH283" s="3">
        <v>0</v>
      </c>
      <c r="EI283" s="3">
        <v>0</v>
      </c>
      <c r="EJ283" s="3">
        <v>0</v>
      </c>
      <c r="EK283" s="3">
        <v>0</v>
      </c>
      <c r="EL283" s="3">
        <v>0</v>
      </c>
      <c r="EM283" s="3">
        <v>0</v>
      </c>
      <c r="EN283" s="3">
        <v>0</v>
      </c>
      <c r="EO283" s="4">
        <f t="shared" si="148"/>
        <v>0</v>
      </c>
      <c r="EP283" s="8">
        <f t="shared" si="149"/>
        <v>1</v>
      </c>
      <c r="EQ283" s="181">
        <f>IFERROR(VLOOKUP(I283,CEI_012018!$A$1:$U$509,9,FALSE),0)</f>
        <v>0</v>
      </c>
      <c r="ER283" s="181">
        <f>IFERROR(VLOOKUP(I283,CEI_022018!$A$1:$U$509,9,FALSE),0)</f>
        <v>0</v>
      </c>
      <c r="ES283" s="181">
        <f>IFERROR(VLOOKUP(I283,CEI_032018!$A$1:$U$509,9,FALSE),0)</f>
        <v>0</v>
      </c>
      <c r="ET283" s="181">
        <f>IFERROR(VLOOKUP(I283,CEI_042018!$A$1:$U$491,9,FALSE),0)</f>
        <v>0</v>
      </c>
      <c r="EU283" s="181">
        <f>IFERROR(VLOOKUP(I283,CEI_052018!$A$1:$U$489,9,FALSE),0)</f>
        <v>0</v>
      </c>
      <c r="EV283" s="181">
        <f>IFERROR(VLOOKUP(I283,CEI_062018!$A$1:$U$489,9,FALSE),0)</f>
        <v>0</v>
      </c>
      <c r="EW283" s="181">
        <f>IFERROR(VLOOKUP(I283,CEI_072018!$A$1:$U$489,9,FALSE),0)</f>
        <v>0</v>
      </c>
      <c r="EX283" s="181">
        <f>IFERROR(VLOOKUP(I283,CEI_082018!$A$1:$U$489,9,FALSE),0)</f>
        <v>0</v>
      </c>
      <c r="EY283" s="181">
        <f>IFERROR(VLOOKUP(I283,CEI_092018!$A$1:$U$489,9,FALSE),0)</f>
        <v>0</v>
      </c>
      <c r="EZ283" s="181"/>
      <c r="FA283" s="181"/>
      <c r="FB283" s="181"/>
      <c r="FC283" s="181">
        <f>IFERROR(VLOOKUP(I283,CEI_092018!$A$1:$U$489,12,FALSE),0)</f>
        <v>0</v>
      </c>
      <c r="FD283" s="181">
        <f t="shared" si="155"/>
        <v>0</v>
      </c>
      <c r="FE283" s="181">
        <f t="shared" si="156"/>
        <v>200</v>
      </c>
      <c r="FF283"/>
      <c r="FG283"/>
      <c r="FH283"/>
      <c r="FI283"/>
      <c r="FJ283"/>
      <c r="FK283"/>
      <c r="FL283"/>
      <c r="FM283"/>
      <c r="FN283"/>
      <c r="FO283"/>
      <c r="FP283"/>
      <c r="FQ283"/>
      <c r="FR283"/>
      <c r="FS283"/>
      <c r="FT283"/>
      <c r="FU283"/>
      <c r="FV283"/>
      <c r="FW283"/>
      <c r="FX283"/>
      <c r="FY283"/>
      <c r="FZ283"/>
      <c r="GA283"/>
      <c r="GB283"/>
      <c r="GC283"/>
    </row>
    <row r="284" spans="1:185" ht="12.75" customHeight="1" x14ac:dyDescent="0.25">
      <c r="A284" s="202"/>
      <c r="B284" s="22" t="s">
        <v>57</v>
      </c>
      <c r="C284" s="34" t="s">
        <v>44</v>
      </c>
      <c r="D284" s="22" t="s">
        <v>1059</v>
      </c>
      <c r="E284" s="25" t="s">
        <v>1063</v>
      </c>
      <c r="F284" s="25" t="s">
        <v>1059</v>
      </c>
      <c r="G284" s="25" t="s">
        <v>1063</v>
      </c>
      <c r="H284" s="22" t="s">
        <v>56</v>
      </c>
      <c r="I284" s="423" t="s">
        <v>767</v>
      </c>
      <c r="J284" s="37" t="s">
        <v>1365</v>
      </c>
      <c r="K284" s="23" t="s">
        <v>768</v>
      </c>
      <c r="L284" s="23" t="s">
        <v>769</v>
      </c>
      <c r="M284" s="23" t="s">
        <v>770</v>
      </c>
      <c r="N284" s="23" t="s">
        <v>1881</v>
      </c>
      <c r="O284" s="2">
        <v>67.199996948242187</v>
      </c>
      <c r="P284" s="2">
        <v>0</v>
      </c>
      <c r="Q284" s="2">
        <v>30</v>
      </c>
      <c r="R284" s="2">
        <v>0</v>
      </c>
      <c r="S284" s="2">
        <v>22.8</v>
      </c>
      <c r="T284" s="116">
        <f t="shared" si="143"/>
        <v>119.99999694824218</v>
      </c>
      <c r="U284" s="324">
        <v>0</v>
      </c>
      <c r="V284" s="324">
        <v>15</v>
      </c>
      <c r="W284" s="324"/>
      <c r="X284" s="324">
        <v>45</v>
      </c>
      <c r="Y284" s="324">
        <v>0</v>
      </c>
      <c r="Z284" s="324">
        <v>0</v>
      </c>
      <c r="AA284" s="324">
        <v>0</v>
      </c>
      <c r="AB284" s="324">
        <v>0</v>
      </c>
      <c r="AC284" s="324">
        <v>0</v>
      </c>
      <c r="AD284" s="324">
        <v>0</v>
      </c>
      <c r="AE284" s="324">
        <v>0</v>
      </c>
      <c r="AF284" s="324">
        <v>0</v>
      </c>
      <c r="AG284" s="140">
        <f t="shared" si="150"/>
        <v>60</v>
      </c>
      <c r="AH284" s="324">
        <v>0</v>
      </c>
      <c r="AI284" s="324">
        <v>0</v>
      </c>
      <c r="AJ284" s="324">
        <v>0</v>
      </c>
      <c r="AK284" s="324">
        <v>0</v>
      </c>
      <c r="AL284" s="324">
        <v>0</v>
      </c>
      <c r="AM284" s="324">
        <v>0</v>
      </c>
      <c r="AN284" s="324">
        <v>0</v>
      </c>
      <c r="AO284" s="324">
        <v>0</v>
      </c>
      <c r="AP284" s="324">
        <v>0</v>
      </c>
      <c r="AQ284" s="324">
        <v>0</v>
      </c>
      <c r="AR284" s="324">
        <v>0</v>
      </c>
      <c r="AS284" s="324">
        <v>0</v>
      </c>
      <c r="AT284" s="140">
        <f t="shared" si="151"/>
        <v>0</v>
      </c>
      <c r="AU284" s="324">
        <v>0</v>
      </c>
      <c r="AV284" s="324">
        <v>0</v>
      </c>
      <c r="AW284" s="324">
        <v>0</v>
      </c>
      <c r="AX284" s="324">
        <v>0</v>
      </c>
      <c r="AY284" s="324">
        <v>0</v>
      </c>
      <c r="AZ284" s="324">
        <v>0</v>
      </c>
      <c r="BA284" s="324">
        <v>0</v>
      </c>
      <c r="BB284" s="324">
        <v>0</v>
      </c>
      <c r="BC284" s="324">
        <v>0</v>
      </c>
      <c r="BD284" s="324">
        <v>0</v>
      </c>
      <c r="BE284" s="324">
        <v>0</v>
      </c>
      <c r="BF284" s="324">
        <v>0</v>
      </c>
      <c r="BG284" s="140">
        <f t="shared" si="152"/>
        <v>0</v>
      </c>
      <c r="BH284" s="324">
        <v>0</v>
      </c>
      <c r="BI284" s="324">
        <v>0</v>
      </c>
      <c r="BJ284" s="324">
        <v>0</v>
      </c>
      <c r="BK284" s="324">
        <v>0</v>
      </c>
      <c r="BL284" s="324">
        <v>0</v>
      </c>
      <c r="BM284" s="324">
        <v>0</v>
      </c>
      <c r="BN284" s="324">
        <v>0</v>
      </c>
      <c r="BO284" s="324">
        <v>0</v>
      </c>
      <c r="BP284" s="324">
        <v>0</v>
      </c>
      <c r="BQ284" s="324">
        <v>0</v>
      </c>
      <c r="BR284" s="324">
        <v>0</v>
      </c>
      <c r="BS284" s="324">
        <v>0</v>
      </c>
      <c r="BT284" s="140">
        <f t="shared" si="153"/>
        <v>0</v>
      </c>
      <c r="BU284" s="114">
        <f t="shared" si="154"/>
        <v>179.9999969482422</v>
      </c>
      <c r="BV284" s="372">
        <v>1</v>
      </c>
      <c r="BW284" s="372">
        <v>1</v>
      </c>
      <c r="BX284" s="372">
        <v>1</v>
      </c>
      <c r="BY284" s="372">
        <v>1</v>
      </c>
      <c r="BZ284" s="436">
        <f t="shared" ref="BZ284:BZ288" si="159">IFERROR((EX284/T284%),0)</f>
        <v>55.999998881022101</v>
      </c>
      <c r="CA284" s="428">
        <f t="shared" si="158"/>
        <v>99.999999364217103</v>
      </c>
      <c r="CB284" s="7" t="s">
        <v>1699</v>
      </c>
      <c r="CC284" s="3">
        <v>0</v>
      </c>
      <c r="CD284" s="3">
        <v>0</v>
      </c>
      <c r="CE284" s="3">
        <v>0</v>
      </c>
      <c r="CF284" s="3">
        <v>0</v>
      </c>
      <c r="CG284" s="3">
        <v>0</v>
      </c>
      <c r="CH284" s="3">
        <v>0</v>
      </c>
      <c r="CI284" s="3">
        <v>0</v>
      </c>
      <c r="CJ284" s="3">
        <v>0</v>
      </c>
      <c r="CK284" s="3">
        <v>0</v>
      </c>
      <c r="CL284" s="3">
        <v>0</v>
      </c>
      <c r="CM284" s="3">
        <v>0</v>
      </c>
      <c r="CN284" s="3">
        <v>1</v>
      </c>
      <c r="CO284" s="4">
        <f t="shared" si="144"/>
        <v>1</v>
      </c>
      <c r="CP284" s="3">
        <v>0</v>
      </c>
      <c r="CQ284" s="3">
        <v>0</v>
      </c>
      <c r="CR284" s="3">
        <v>0</v>
      </c>
      <c r="CS284" s="3">
        <v>1</v>
      </c>
      <c r="CT284" s="3">
        <v>0</v>
      </c>
      <c r="CU284" s="3">
        <v>0</v>
      </c>
      <c r="CV284" s="3">
        <v>0</v>
      </c>
      <c r="CW284" s="3">
        <v>0</v>
      </c>
      <c r="CX284" s="3">
        <v>0</v>
      </c>
      <c r="CY284" s="3">
        <v>0</v>
      </c>
      <c r="CZ284" s="3">
        <v>0</v>
      </c>
      <c r="DA284" s="3">
        <v>0</v>
      </c>
      <c r="DB284" s="4">
        <f t="shared" si="145"/>
        <v>1</v>
      </c>
      <c r="DC284" s="3">
        <v>0</v>
      </c>
      <c r="DD284" s="3">
        <v>0</v>
      </c>
      <c r="DE284" s="3">
        <v>0</v>
      </c>
      <c r="DF284" s="3">
        <v>0</v>
      </c>
      <c r="DG284" s="3">
        <v>0</v>
      </c>
      <c r="DH284" s="3">
        <v>0</v>
      </c>
      <c r="DI284" s="3">
        <v>0</v>
      </c>
      <c r="DJ284" s="3">
        <v>0</v>
      </c>
      <c r="DK284" s="3">
        <v>0</v>
      </c>
      <c r="DL284" s="3">
        <v>0</v>
      </c>
      <c r="DM284" s="3">
        <v>0</v>
      </c>
      <c r="DN284" s="3">
        <v>0</v>
      </c>
      <c r="DO284" s="4">
        <f t="shared" si="146"/>
        <v>0</v>
      </c>
      <c r="DP284" s="3">
        <v>0</v>
      </c>
      <c r="DQ284" s="3">
        <v>0</v>
      </c>
      <c r="DR284" s="3">
        <v>0</v>
      </c>
      <c r="DS284" s="3">
        <v>0</v>
      </c>
      <c r="DT284" s="3">
        <v>0</v>
      </c>
      <c r="DU284" s="3">
        <v>0</v>
      </c>
      <c r="DV284" s="3">
        <v>0</v>
      </c>
      <c r="DW284" s="3">
        <v>0</v>
      </c>
      <c r="DX284" s="3">
        <v>0</v>
      </c>
      <c r="DY284" s="3">
        <v>0</v>
      </c>
      <c r="DZ284" s="3">
        <v>0</v>
      </c>
      <c r="EA284" s="3">
        <v>0</v>
      </c>
      <c r="EB284" s="4">
        <f t="shared" si="147"/>
        <v>0</v>
      </c>
      <c r="EC284" s="3">
        <v>0</v>
      </c>
      <c r="ED284" s="3">
        <v>0</v>
      </c>
      <c r="EE284" s="3">
        <v>0</v>
      </c>
      <c r="EF284" s="3">
        <v>0</v>
      </c>
      <c r="EG284" s="3">
        <v>0</v>
      </c>
      <c r="EH284" s="3">
        <v>0</v>
      </c>
      <c r="EI284" s="3">
        <v>0</v>
      </c>
      <c r="EJ284" s="3">
        <v>0</v>
      </c>
      <c r="EK284" s="3">
        <v>0</v>
      </c>
      <c r="EL284" s="3">
        <v>0</v>
      </c>
      <c r="EM284" s="3">
        <v>0</v>
      </c>
      <c r="EN284" s="3">
        <v>0</v>
      </c>
      <c r="EO284" s="4">
        <f t="shared" si="148"/>
        <v>0</v>
      </c>
      <c r="EP284" s="8">
        <f t="shared" si="149"/>
        <v>2</v>
      </c>
      <c r="EQ284" s="181">
        <f>IFERROR(VLOOKUP(I284,CEI_012018!$A$1:$U$509,9,FALSE),0)</f>
        <v>0</v>
      </c>
      <c r="ER284" s="181">
        <f>IFERROR(VLOOKUP(I284,CEI_022018!$A$1:$U$509,9,FALSE),0)</f>
        <v>0</v>
      </c>
      <c r="ES284" s="181">
        <f>IFERROR(VLOOKUP(I284,CEI_032018!$A$1:$U$509,9,FALSE),0)</f>
        <v>0</v>
      </c>
      <c r="ET284" s="181">
        <f>IFERROR(VLOOKUP(I284,CEI_042018!$A$1:$U$491,9,FALSE),0)</f>
        <v>0</v>
      </c>
      <c r="EU284" s="181">
        <f>IFERROR(VLOOKUP(I284,CEI_052018!$A$1:$U$489,9,FALSE),0)</f>
        <v>0</v>
      </c>
      <c r="EV284" s="181">
        <f>IFERROR(VLOOKUP(I284,CEI_062018!$A$1:$U$489,9,FALSE),0)</f>
        <v>0</v>
      </c>
      <c r="EW284" s="181">
        <f>IFERROR(VLOOKUP(I284,CEI_072018!$A$1:$U$489,9,FALSE),0)</f>
        <v>67.199996948242187</v>
      </c>
      <c r="EX284" s="181">
        <f>IFERROR(VLOOKUP(I284,CEI_082018!$A$1:$U$489,9,FALSE),0)</f>
        <v>67.199996948242187</v>
      </c>
      <c r="EY284" s="181">
        <f>IFERROR(VLOOKUP(I284,CEI_092018!$A$1:$U$489,9,FALSE),0)</f>
        <v>67.199996948242187</v>
      </c>
      <c r="EZ284" s="181"/>
      <c r="FA284" s="181"/>
      <c r="FB284" s="181"/>
      <c r="FC284" s="181">
        <f>IFERROR(VLOOKUP(I284,CEI_092018!$A$1:$U$489,12,FALSE),0)</f>
        <v>52.799999237060547</v>
      </c>
      <c r="FD284" s="181">
        <f t="shared" si="155"/>
        <v>119.99999618530273</v>
      </c>
      <c r="FE284" s="181">
        <f t="shared" si="156"/>
        <v>7.6293945028282906E-7</v>
      </c>
      <c r="FF284"/>
      <c r="FG284"/>
      <c r="FH284"/>
      <c r="FI284"/>
      <c r="FJ284"/>
      <c r="FK284"/>
      <c r="FL284"/>
      <c r="FM284"/>
      <c r="FN284"/>
      <c r="FO284"/>
      <c r="FP284"/>
      <c r="FQ284"/>
      <c r="FR284"/>
      <c r="FS284"/>
      <c r="FT284"/>
      <c r="FU284"/>
      <c r="FV284"/>
      <c r="FW284"/>
      <c r="FX284"/>
      <c r="FY284"/>
      <c r="FZ284"/>
      <c r="GA284"/>
      <c r="GB284"/>
      <c r="GC284"/>
    </row>
    <row r="285" spans="1:185" ht="12.75" customHeight="1" x14ac:dyDescent="0.25">
      <c r="A285" s="202"/>
      <c r="B285" s="22" t="s">
        <v>57</v>
      </c>
      <c r="C285" s="34" t="s">
        <v>44</v>
      </c>
      <c r="D285" s="22" t="s">
        <v>1059</v>
      </c>
      <c r="E285" s="25" t="s">
        <v>1063</v>
      </c>
      <c r="F285" s="25" t="s">
        <v>1059</v>
      </c>
      <c r="G285" s="25" t="s">
        <v>1063</v>
      </c>
      <c r="H285" s="22" t="s">
        <v>56</v>
      </c>
      <c r="I285" s="423" t="s">
        <v>1750</v>
      </c>
      <c r="J285" s="37" t="s">
        <v>1751</v>
      </c>
      <c r="K285" s="23" t="s">
        <v>1025</v>
      </c>
      <c r="L285" s="23" t="s">
        <v>1688</v>
      </c>
      <c r="M285" s="23" t="s">
        <v>1695</v>
      </c>
      <c r="N285" s="23" t="s">
        <v>1873</v>
      </c>
      <c r="O285" s="2">
        <v>0</v>
      </c>
      <c r="P285" s="2">
        <v>17.117999999999999</v>
      </c>
      <c r="Q285" s="2">
        <v>17.117999999999999</v>
      </c>
      <c r="R285" s="2">
        <v>17.117999999999999</v>
      </c>
      <c r="S285" s="2">
        <v>17.117999999999999</v>
      </c>
      <c r="T285" s="116">
        <f t="shared" si="143"/>
        <v>68.471999999999994</v>
      </c>
      <c r="U285" s="324">
        <v>17.117999999999999</v>
      </c>
      <c r="V285" s="324">
        <v>17.117999999999999</v>
      </c>
      <c r="W285" s="324">
        <v>17.117999999999999</v>
      </c>
      <c r="X285" s="324">
        <v>4.2794999999999996</v>
      </c>
      <c r="Y285" s="324">
        <v>4.2794999999999996</v>
      </c>
      <c r="Z285" s="324">
        <v>4.2794999999999996</v>
      </c>
      <c r="AA285" s="324">
        <v>4.2794999999999996</v>
      </c>
      <c r="AB285" s="324">
        <v>4.2794999999999996</v>
      </c>
      <c r="AC285" s="324">
        <v>4.2794999999999996</v>
      </c>
      <c r="AD285" s="324">
        <v>4.2794999999999996</v>
      </c>
      <c r="AE285" s="324">
        <v>4.2794999999999996</v>
      </c>
      <c r="AF285" s="324">
        <v>4.2794999999999996</v>
      </c>
      <c r="AG285" s="140">
        <f t="shared" si="150"/>
        <v>89.869499999999988</v>
      </c>
      <c r="AH285" s="324">
        <v>4.2794999999999996</v>
      </c>
      <c r="AI285" s="324">
        <v>4.2794999999999996</v>
      </c>
      <c r="AJ285" s="324">
        <v>4.2794999999999996</v>
      </c>
      <c r="AK285" s="324">
        <v>0</v>
      </c>
      <c r="AL285" s="324">
        <v>0</v>
      </c>
      <c r="AM285" s="324">
        <v>0</v>
      </c>
      <c r="AN285" s="324">
        <v>0</v>
      </c>
      <c r="AO285" s="324">
        <v>0</v>
      </c>
      <c r="AP285" s="324">
        <v>0</v>
      </c>
      <c r="AQ285" s="324">
        <v>0</v>
      </c>
      <c r="AR285" s="324">
        <v>0</v>
      </c>
      <c r="AS285" s="324">
        <v>0</v>
      </c>
      <c r="AT285" s="140">
        <f t="shared" si="151"/>
        <v>12.8385</v>
      </c>
      <c r="AU285" s="324">
        <v>0</v>
      </c>
      <c r="AV285" s="324">
        <v>0</v>
      </c>
      <c r="AW285" s="324">
        <v>0</v>
      </c>
      <c r="AX285" s="324">
        <v>0</v>
      </c>
      <c r="AY285" s="324">
        <v>0</v>
      </c>
      <c r="AZ285" s="324">
        <v>0</v>
      </c>
      <c r="BA285" s="324">
        <v>0</v>
      </c>
      <c r="BB285" s="324">
        <v>0</v>
      </c>
      <c r="BC285" s="324">
        <v>0</v>
      </c>
      <c r="BD285" s="324">
        <v>0</v>
      </c>
      <c r="BE285" s="324">
        <v>0</v>
      </c>
      <c r="BF285" s="324">
        <v>0</v>
      </c>
      <c r="BG285" s="140">
        <f t="shared" si="152"/>
        <v>0</v>
      </c>
      <c r="BH285" s="324">
        <v>0</v>
      </c>
      <c r="BI285" s="324">
        <v>0</v>
      </c>
      <c r="BJ285" s="324">
        <v>0</v>
      </c>
      <c r="BK285" s="324">
        <v>0</v>
      </c>
      <c r="BL285" s="324">
        <v>0</v>
      </c>
      <c r="BM285" s="324">
        <v>0</v>
      </c>
      <c r="BN285" s="324">
        <v>0</v>
      </c>
      <c r="BO285" s="324">
        <v>0</v>
      </c>
      <c r="BP285" s="324">
        <v>0</v>
      </c>
      <c r="BQ285" s="324">
        <v>0</v>
      </c>
      <c r="BR285" s="324">
        <v>0</v>
      </c>
      <c r="BS285" s="324">
        <v>0</v>
      </c>
      <c r="BT285" s="140">
        <f t="shared" si="153"/>
        <v>0</v>
      </c>
      <c r="BU285" s="114">
        <f t="shared" si="154"/>
        <v>171.17999999999998</v>
      </c>
      <c r="BV285" s="372">
        <v>1</v>
      </c>
      <c r="BW285" s="372">
        <v>1</v>
      </c>
      <c r="BX285" s="372">
        <v>1</v>
      </c>
      <c r="BY285" s="372">
        <v>1</v>
      </c>
      <c r="BZ285" s="436">
        <f t="shared" si="159"/>
        <v>0</v>
      </c>
      <c r="CA285" s="428">
        <f t="shared" si="158"/>
        <v>100.00000017827772</v>
      </c>
      <c r="CB285" s="7" t="s">
        <v>1700</v>
      </c>
      <c r="CC285" s="3">
        <v>0</v>
      </c>
      <c r="CD285" s="3">
        <v>0</v>
      </c>
      <c r="CE285" s="3">
        <v>0</v>
      </c>
      <c r="CF285" s="3">
        <v>0</v>
      </c>
      <c r="CG285" s="3">
        <v>0</v>
      </c>
      <c r="CH285" s="3">
        <v>0</v>
      </c>
      <c r="CI285" s="3">
        <v>0</v>
      </c>
      <c r="CJ285" s="3">
        <v>0</v>
      </c>
      <c r="CK285" s="3">
        <v>39.809302325581392</v>
      </c>
      <c r="CL285" s="3">
        <v>39.809302325581392</v>
      </c>
      <c r="CM285" s="3">
        <v>39.809302325581392</v>
      </c>
      <c r="CN285" s="3">
        <v>39.809302325581392</v>
      </c>
      <c r="CO285" s="4">
        <f t="shared" si="144"/>
        <v>159.23720930232557</v>
      </c>
      <c r="CP285" s="3">
        <v>39.809302325581392</v>
      </c>
      <c r="CQ285" s="3">
        <v>39.809302325581392</v>
      </c>
      <c r="CR285" s="3">
        <v>39.809302325581392</v>
      </c>
      <c r="CS285" s="3">
        <v>9.952325581395348</v>
      </c>
      <c r="CT285" s="3">
        <v>9.952325581395348</v>
      </c>
      <c r="CU285" s="3">
        <v>9.952325581395348</v>
      </c>
      <c r="CV285" s="3">
        <v>9.952325581395348</v>
      </c>
      <c r="CW285" s="3">
        <v>9.952325581395348</v>
      </c>
      <c r="CX285" s="3">
        <v>9.952325581395348</v>
      </c>
      <c r="CY285" s="3">
        <v>9.952325581395348</v>
      </c>
      <c r="CZ285" s="3">
        <v>9.952325581395348</v>
      </c>
      <c r="DA285" s="3">
        <v>9.952325581395348</v>
      </c>
      <c r="DB285" s="4">
        <f t="shared" si="145"/>
        <v>208.99883720930225</v>
      </c>
      <c r="DC285" s="3">
        <v>9.952325581395348</v>
      </c>
      <c r="DD285" s="3">
        <v>9.952325581395348</v>
      </c>
      <c r="DE285" s="3">
        <v>9.952325581395348</v>
      </c>
      <c r="DF285" s="3">
        <v>0</v>
      </c>
      <c r="DG285" s="3">
        <v>0</v>
      </c>
      <c r="DH285" s="3">
        <v>0</v>
      </c>
      <c r="DI285" s="3">
        <v>0</v>
      </c>
      <c r="DJ285" s="3">
        <v>0</v>
      </c>
      <c r="DK285" s="3">
        <v>0</v>
      </c>
      <c r="DL285" s="3">
        <v>0</v>
      </c>
      <c r="DM285" s="3">
        <v>0</v>
      </c>
      <c r="DN285" s="3">
        <v>0</v>
      </c>
      <c r="DO285" s="4">
        <f t="shared" si="146"/>
        <v>29.856976744186042</v>
      </c>
      <c r="DP285" s="3">
        <v>0</v>
      </c>
      <c r="DQ285" s="3">
        <v>0</v>
      </c>
      <c r="DR285" s="3">
        <v>0</v>
      </c>
      <c r="DS285" s="3">
        <v>0</v>
      </c>
      <c r="DT285" s="3">
        <v>0</v>
      </c>
      <c r="DU285" s="3">
        <v>0</v>
      </c>
      <c r="DV285" s="3">
        <v>0</v>
      </c>
      <c r="DW285" s="3">
        <v>0</v>
      </c>
      <c r="DX285" s="3">
        <v>0</v>
      </c>
      <c r="DY285" s="3">
        <v>0</v>
      </c>
      <c r="DZ285" s="3">
        <v>0</v>
      </c>
      <c r="EA285" s="3">
        <v>0</v>
      </c>
      <c r="EB285" s="4">
        <f t="shared" si="147"/>
        <v>0</v>
      </c>
      <c r="EC285" s="3">
        <v>0</v>
      </c>
      <c r="ED285" s="3">
        <v>0</v>
      </c>
      <c r="EE285" s="3">
        <v>0</v>
      </c>
      <c r="EF285" s="3">
        <v>0</v>
      </c>
      <c r="EG285" s="3">
        <v>0</v>
      </c>
      <c r="EH285" s="3">
        <v>0</v>
      </c>
      <c r="EI285" s="3">
        <v>0</v>
      </c>
      <c r="EJ285" s="3">
        <v>0</v>
      </c>
      <c r="EK285" s="3">
        <v>0</v>
      </c>
      <c r="EL285" s="3">
        <v>0</v>
      </c>
      <c r="EM285" s="3">
        <v>0</v>
      </c>
      <c r="EN285" s="3">
        <v>0</v>
      </c>
      <c r="EO285" s="4">
        <f t="shared" si="148"/>
        <v>0</v>
      </c>
      <c r="EP285" s="8">
        <f t="shared" si="149"/>
        <v>398.09302325581382</v>
      </c>
      <c r="EQ285" s="181">
        <f>IFERROR(VLOOKUP(I285,CEI_012018!$A$1:$U$509,9,FALSE),0)</f>
        <v>0</v>
      </c>
      <c r="ER285" s="181">
        <f>IFERROR(VLOOKUP(I285,CEI_022018!$A$1:$U$509,9,FALSE),0)</f>
        <v>0</v>
      </c>
      <c r="ES285" s="181">
        <f>IFERROR(VLOOKUP(I285,CEI_032018!$A$1:$U$509,9,FALSE),0)</f>
        <v>0</v>
      </c>
      <c r="ET285" s="181">
        <f>IFERROR(VLOOKUP(I285,CEI_042018!$A$1:$U$491,9,FALSE),0)</f>
        <v>0</v>
      </c>
      <c r="EU285" s="181">
        <f>IFERROR(VLOOKUP(I285,CEI_052018!$A$1:$U$489,9,FALSE),0)</f>
        <v>0</v>
      </c>
      <c r="EV285" s="181">
        <f>IFERROR(VLOOKUP(I285,CEI_062018!$A$1:$U$489,9,FALSE),0)</f>
        <v>0</v>
      </c>
      <c r="EW285" s="181">
        <f>IFERROR(VLOOKUP(I285,CEI_072018!$A$1:$U$489,9,FALSE),0)</f>
        <v>0</v>
      </c>
      <c r="EX285" s="181">
        <f>IFERROR(VLOOKUP(I285,CEI_082018!$A$1:$U$489,9,FALSE),0)</f>
        <v>0</v>
      </c>
      <c r="EY285" s="181">
        <f>IFERROR(VLOOKUP(I285,CEI_092018!$A$1:$U$489,9,FALSE),0)</f>
        <v>0</v>
      </c>
      <c r="EZ285" s="181"/>
      <c r="FA285" s="181"/>
      <c r="FB285" s="181"/>
      <c r="FC285" s="181">
        <f>IFERROR(VLOOKUP(I285,CEI_092018!$A$1:$U$489,12,FALSE),0)</f>
        <v>68.472000122070313</v>
      </c>
      <c r="FD285" s="181">
        <f t="shared" si="155"/>
        <v>68.472000122070313</v>
      </c>
      <c r="FE285" s="181">
        <f t="shared" si="156"/>
        <v>-1.2207031829802872E-7</v>
      </c>
      <c r="FF285"/>
      <c r="FG285"/>
      <c r="FH285"/>
      <c r="FI285"/>
      <c r="FJ285"/>
      <c r="FK285"/>
      <c r="FL285"/>
      <c r="FM285"/>
      <c r="FN285"/>
      <c r="FO285"/>
      <c r="FP285"/>
      <c r="FQ285"/>
      <c r="FR285"/>
      <c r="FS285"/>
      <c r="FT285"/>
      <c r="FU285"/>
      <c r="FV285"/>
      <c r="FW285"/>
      <c r="FX285"/>
      <c r="FY285"/>
      <c r="FZ285"/>
      <c r="GA285"/>
      <c r="GB285"/>
      <c r="GC285"/>
    </row>
    <row r="286" spans="1:185" ht="12.75" customHeight="1" x14ac:dyDescent="0.25">
      <c r="A286" s="202"/>
      <c r="B286" s="23" t="s">
        <v>57</v>
      </c>
      <c r="C286" s="34" t="s">
        <v>44</v>
      </c>
      <c r="D286" s="23" t="s">
        <v>1058</v>
      </c>
      <c r="E286" s="34" t="s">
        <v>1979</v>
      </c>
      <c r="F286" s="23" t="s">
        <v>1058</v>
      </c>
      <c r="G286" s="34" t="s">
        <v>1979</v>
      </c>
      <c r="H286" s="23" t="s">
        <v>56</v>
      </c>
      <c r="I286" s="423" t="s">
        <v>1938</v>
      </c>
      <c r="J286" s="373"/>
      <c r="K286" s="23" t="s">
        <v>1939</v>
      </c>
      <c r="L286" s="23"/>
      <c r="M286" s="23"/>
      <c r="N286" s="23"/>
      <c r="O286" s="2">
        <v>5.8700799942016602</v>
      </c>
      <c r="P286" s="2">
        <v>0</v>
      </c>
      <c r="Q286" s="2">
        <v>160.12995000000001</v>
      </c>
      <c r="R286" s="2">
        <v>0</v>
      </c>
      <c r="S286" s="2">
        <v>0</v>
      </c>
      <c r="T286" s="116">
        <f t="shared" si="143"/>
        <v>166.00002999420167</v>
      </c>
      <c r="U286" s="324"/>
      <c r="V286" s="324"/>
      <c r="W286" s="324"/>
      <c r="X286" s="324"/>
      <c r="Y286" s="324"/>
      <c r="Z286" s="324"/>
      <c r="AA286" s="324"/>
      <c r="AB286" s="324"/>
      <c r="AC286" s="324"/>
      <c r="AD286" s="324"/>
      <c r="AE286" s="324"/>
      <c r="AF286" s="324"/>
      <c r="AG286" s="140">
        <f t="shared" si="150"/>
        <v>0</v>
      </c>
      <c r="AH286" s="324"/>
      <c r="AI286" s="324"/>
      <c r="AJ286" s="324"/>
      <c r="AK286" s="324"/>
      <c r="AL286" s="324"/>
      <c r="AM286" s="324"/>
      <c r="AN286" s="324"/>
      <c r="AO286" s="324"/>
      <c r="AP286" s="324"/>
      <c r="AQ286" s="324"/>
      <c r="AR286" s="324"/>
      <c r="AS286" s="324"/>
      <c r="AT286" s="140">
        <f t="shared" si="151"/>
        <v>0</v>
      </c>
      <c r="AU286" s="324">
        <v>0</v>
      </c>
      <c r="AV286" s="324">
        <v>0</v>
      </c>
      <c r="AW286" s="324">
        <v>0</v>
      </c>
      <c r="AX286" s="324">
        <v>0</v>
      </c>
      <c r="AY286" s="324">
        <v>0</v>
      </c>
      <c r="AZ286" s="324">
        <v>0</v>
      </c>
      <c r="BA286" s="324">
        <v>0</v>
      </c>
      <c r="BB286" s="324">
        <v>0</v>
      </c>
      <c r="BC286" s="324">
        <v>0</v>
      </c>
      <c r="BD286" s="324">
        <v>0</v>
      </c>
      <c r="BE286" s="324">
        <v>0</v>
      </c>
      <c r="BF286" s="324">
        <v>0</v>
      </c>
      <c r="BG286" s="140">
        <f t="shared" si="152"/>
        <v>0</v>
      </c>
      <c r="BH286" s="324">
        <v>0</v>
      </c>
      <c r="BI286" s="324">
        <v>0</v>
      </c>
      <c r="BJ286" s="324">
        <v>0</v>
      </c>
      <c r="BK286" s="324">
        <v>0</v>
      </c>
      <c r="BL286" s="324">
        <v>0</v>
      </c>
      <c r="BM286" s="324">
        <v>0</v>
      </c>
      <c r="BN286" s="324">
        <v>0</v>
      </c>
      <c r="BO286" s="324">
        <v>0</v>
      </c>
      <c r="BP286" s="324">
        <v>0</v>
      </c>
      <c r="BQ286" s="324">
        <v>0</v>
      </c>
      <c r="BR286" s="324">
        <v>0</v>
      </c>
      <c r="BS286" s="324">
        <v>0</v>
      </c>
      <c r="BT286" s="140">
        <f t="shared" si="153"/>
        <v>0</v>
      </c>
      <c r="BU286" s="114">
        <f t="shared" si="154"/>
        <v>166.00002999420167</v>
      </c>
      <c r="BV286" s="372">
        <v>1</v>
      </c>
      <c r="BW286" s="372">
        <v>1</v>
      </c>
      <c r="BX286" s="372">
        <v>1</v>
      </c>
      <c r="BY286" s="372">
        <v>1</v>
      </c>
      <c r="BZ286" s="436">
        <f t="shared" si="159"/>
        <v>3.536192128644013</v>
      </c>
      <c r="CA286" s="428">
        <f t="shared" si="158"/>
        <v>99.921716881614685</v>
      </c>
      <c r="CB286" s="7"/>
      <c r="CC286" s="3"/>
      <c r="CD286" s="3"/>
      <c r="CE286" s="3"/>
      <c r="CF286" s="3"/>
      <c r="CG286" s="3"/>
      <c r="CH286" s="3"/>
      <c r="CI286" s="3"/>
      <c r="CJ286" s="3"/>
      <c r="CK286" s="3"/>
      <c r="CL286" s="3"/>
      <c r="CM286" s="3"/>
      <c r="CN286" s="3"/>
      <c r="CO286" s="4">
        <f t="shared" si="144"/>
        <v>0</v>
      </c>
      <c r="CP286" s="3"/>
      <c r="CQ286" s="3"/>
      <c r="CR286" s="3"/>
      <c r="CS286" s="3"/>
      <c r="CT286" s="3"/>
      <c r="CU286" s="3"/>
      <c r="CV286" s="3"/>
      <c r="CW286" s="3"/>
      <c r="CX286" s="3"/>
      <c r="CY286" s="3"/>
      <c r="CZ286" s="3"/>
      <c r="DA286" s="3"/>
      <c r="DB286" s="4">
        <f t="shared" si="145"/>
        <v>0</v>
      </c>
      <c r="DC286" s="3"/>
      <c r="DD286" s="3"/>
      <c r="DE286" s="3"/>
      <c r="DF286" s="3"/>
      <c r="DG286" s="3"/>
      <c r="DH286" s="3"/>
      <c r="DI286" s="3"/>
      <c r="DJ286" s="3"/>
      <c r="DK286" s="3"/>
      <c r="DL286" s="3"/>
      <c r="DM286" s="3"/>
      <c r="DN286" s="3"/>
      <c r="DO286" s="4">
        <f t="shared" si="146"/>
        <v>0</v>
      </c>
      <c r="DP286" s="3"/>
      <c r="DQ286" s="3"/>
      <c r="DR286" s="3"/>
      <c r="DS286" s="3"/>
      <c r="DT286" s="3"/>
      <c r="DU286" s="3"/>
      <c r="DV286" s="3"/>
      <c r="DW286" s="3"/>
      <c r="DX286" s="3"/>
      <c r="DY286" s="3"/>
      <c r="DZ286" s="3"/>
      <c r="EA286" s="3"/>
      <c r="EB286" s="4">
        <f t="shared" si="147"/>
        <v>0</v>
      </c>
      <c r="EC286" s="3"/>
      <c r="ED286" s="3"/>
      <c r="EE286" s="3"/>
      <c r="EF286" s="3"/>
      <c r="EG286" s="3"/>
      <c r="EH286" s="3"/>
      <c r="EI286" s="3"/>
      <c r="EJ286" s="3"/>
      <c r="EK286" s="3"/>
      <c r="EL286" s="3"/>
      <c r="EM286" s="3"/>
      <c r="EN286" s="3"/>
      <c r="EO286" s="4">
        <f t="shared" si="148"/>
        <v>0</v>
      </c>
      <c r="EP286" s="8">
        <f t="shared" si="149"/>
        <v>0</v>
      </c>
      <c r="EQ286" s="181">
        <f>IFERROR(VLOOKUP(I286,CEI_012018!$A$1:$U$509,9,FALSE),0)</f>
        <v>0</v>
      </c>
      <c r="ER286" s="181">
        <f>IFERROR(VLOOKUP(I286,CEI_022018!$A$1:$U$509,9,FALSE),0)</f>
        <v>0</v>
      </c>
      <c r="ES286" s="181">
        <f>IFERROR(VLOOKUP(I286,CEI_032018!$A$1:$U$509,9,FALSE),0)</f>
        <v>0</v>
      </c>
      <c r="ET286" s="181">
        <f>IFERROR(VLOOKUP(I286,CEI_042018!$A$1:$U$491,9,FALSE),0)</f>
        <v>0</v>
      </c>
      <c r="EU286" s="181">
        <f>IFERROR(VLOOKUP(I286,CEI_052018!$A$1:$U$489,9,FALSE),0)</f>
        <v>0</v>
      </c>
      <c r="EV286" s="181">
        <f>IFERROR(VLOOKUP(I286,CEI_062018!$A$1:$U$489,9,FALSE),0)</f>
        <v>0</v>
      </c>
      <c r="EW286" s="181">
        <f>IFERROR(VLOOKUP(I286,CEI_072018!$A$1:$U$489,9,FALSE),0)</f>
        <v>5.8700799942016602</v>
      </c>
      <c r="EX286" s="181">
        <f>IFERROR(VLOOKUP(I286,CEI_082018!$A$1:$U$489,9,FALSE),0)</f>
        <v>5.8700799942016602</v>
      </c>
      <c r="EY286" s="181">
        <f>IFERROR(VLOOKUP(I286,CEI_092018!$A$1:$U$489,9,FALSE),0)</f>
        <v>5.8700799942016602</v>
      </c>
      <c r="EZ286" s="181"/>
      <c r="FA286" s="181"/>
      <c r="FB286" s="181"/>
      <c r="FC286" s="181">
        <f>IFERROR(VLOOKUP(I286,CEI_092018!$A$1:$U$489,12,FALSE),0)</f>
        <v>160</v>
      </c>
      <c r="FD286" s="181">
        <f t="shared" si="155"/>
        <v>165.87007999420166</v>
      </c>
      <c r="FE286" s="181">
        <f t="shared" si="156"/>
        <v>0.129950000000008</v>
      </c>
      <c r="FF286"/>
      <c r="FG286"/>
      <c r="FH286"/>
      <c r="FI286"/>
      <c r="FJ286"/>
      <c r="FK286"/>
      <c r="FL286"/>
      <c r="FM286"/>
      <c r="FN286"/>
      <c r="FO286"/>
      <c r="FP286"/>
      <c r="FQ286"/>
      <c r="FR286"/>
      <c r="FS286"/>
      <c r="FT286"/>
      <c r="FU286"/>
      <c r="FV286"/>
      <c r="FW286"/>
      <c r="FX286"/>
      <c r="FY286"/>
      <c r="FZ286"/>
      <c r="GA286"/>
      <c r="GB286"/>
      <c r="GC286"/>
    </row>
    <row r="287" spans="1:185" ht="12.75" customHeight="1" x14ac:dyDescent="0.25">
      <c r="A287" s="202"/>
      <c r="B287" s="22" t="s">
        <v>57</v>
      </c>
      <c r="C287" s="34" t="s">
        <v>44</v>
      </c>
      <c r="D287" s="22" t="s">
        <v>1059</v>
      </c>
      <c r="E287" s="25" t="s">
        <v>1063</v>
      </c>
      <c r="F287" s="25" t="s">
        <v>1059</v>
      </c>
      <c r="G287" s="25" t="s">
        <v>1063</v>
      </c>
      <c r="H287" s="22" t="s">
        <v>56</v>
      </c>
      <c r="I287" s="423" t="s">
        <v>1748</v>
      </c>
      <c r="J287" s="37" t="s">
        <v>1749</v>
      </c>
      <c r="K287" s="23" t="s">
        <v>1678</v>
      </c>
      <c r="L287" s="23" t="s">
        <v>1679</v>
      </c>
      <c r="M287" s="23" t="s">
        <v>1680</v>
      </c>
      <c r="N287" s="23" t="s">
        <v>1873</v>
      </c>
      <c r="O287" s="2"/>
      <c r="P287" s="2">
        <v>0</v>
      </c>
      <c r="Q287" s="2">
        <v>8.56</v>
      </c>
      <c r="R287" s="2">
        <v>0</v>
      </c>
      <c r="S287" s="2">
        <f>8.56+8.56</f>
        <v>17.12</v>
      </c>
      <c r="T287" s="116">
        <f t="shared" si="143"/>
        <v>25.68</v>
      </c>
      <c r="U287" s="324">
        <v>8.5589999999999993</v>
      </c>
      <c r="V287" s="324">
        <v>0</v>
      </c>
      <c r="W287" s="324">
        <v>8.5589999999999993</v>
      </c>
      <c r="X287" s="324">
        <v>8.5589999999999993</v>
      </c>
      <c r="Y287" s="324">
        <v>8.5589999999999993</v>
      </c>
      <c r="Z287" s="324">
        <v>0</v>
      </c>
      <c r="AA287" s="324">
        <v>8.5589999999999993</v>
      </c>
      <c r="AB287" s="324">
        <v>8.5589999999999993</v>
      </c>
      <c r="AC287" s="324">
        <v>8.5589999999999993</v>
      </c>
      <c r="AD287" s="324">
        <v>0</v>
      </c>
      <c r="AE287" s="324">
        <v>8.5589999999999993</v>
      </c>
      <c r="AF287" s="324">
        <v>8.5589999999999993</v>
      </c>
      <c r="AG287" s="140">
        <f t="shared" si="150"/>
        <v>77.030999999999992</v>
      </c>
      <c r="AH287" s="324">
        <v>8.56</v>
      </c>
      <c r="AI287" s="324">
        <v>8.56</v>
      </c>
      <c r="AJ287" s="324">
        <v>8.56</v>
      </c>
      <c r="AK287" s="324">
        <v>8.56</v>
      </c>
      <c r="AL287" s="324">
        <v>0</v>
      </c>
      <c r="AM287" s="324">
        <v>0</v>
      </c>
      <c r="AN287" s="324">
        <v>0</v>
      </c>
      <c r="AO287" s="324">
        <v>0</v>
      </c>
      <c r="AP287" s="324">
        <v>0</v>
      </c>
      <c r="AQ287" s="324">
        <v>0</v>
      </c>
      <c r="AR287" s="324">
        <v>0</v>
      </c>
      <c r="AS287" s="324">
        <v>0</v>
      </c>
      <c r="AT287" s="140">
        <f t="shared" si="151"/>
        <v>34.24</v>
      </c>
      <c r="AU287" s="324">
        <v>0</v>
      </c>
      <c r="AV287" s="324">
        <v>0</v>
      </c>
      <c r="AW287" s="324">
        <v>0</v>
      </c>
      <c r="AX287" s="324">
        <v>0</v>
      </c>
      <c r="AY287" s="324">
        <v>0</v>
      </c>
      <c r="AZ287" s="324">
        <v>0</v>
      </c>
      <c r="BA287" s="324">
        <v>0</v>
      </c>
      <c r="BB287" s="324">
        <v>0</v>
      </c>
      <c r="BC287" s="324">
        <v>0</v>
      </c>
      <c r="BD287" s="324">
        <v>0</v>
      </c>
      <c r="BE287" s="324">
        <v>0</v>
      </c>
      <c r="BF287" s="324">
        <v>0</v>
      </c>
      <c r="BG287" s="140">
        <f t="shared" si="152"/>
        <v>0</v>
      </c>
      <c r="BH287" s="324"/>
      <c r="BI287" s="324"/>
      <c r="BJ287" s="324"/>
      <c r="BK287" s="324"/>
      <c r="BL287" s="324"/>
      <c r="BM287" s="324"/>
      <c r="BN287" s="324"/>
      <c r="BO287" s="324"/>
      <c r="BP287" s="324"/>
      <c r="BQ287" s="324"/>
      <c r="BR287" s="324"/>
      <c r="BS287" s="324"/>
      <c r="BT287" s="140">
        <f t="shared" si="153"/>
        <v>0</v>
      </c>
      <c r="BU287" s="114">
        <f t="shared" si="154"/>
        <v>136.95099999999999</v>
      </c>
      <c r="BV287" s="372">
        <v>1</v>
      </c>
      <c r="BW287" s="372">
        <v>1</v>
      </c>
      <c r="BX287" s="372">
        <v>1</v>
      </c>
      <c r="BY287" s="372">
        <v>1</v>
      </c>
      <c r="BZ287" s="436">
        <f t="shared" si="159"/>
        <v>0</v>
      </c>
      <c r="CA287" s="428">
        <f t="shared" si="158"/>
        <v>99.988317935266238</v>
      </c>
      <c r="CB287" s="7" t="s">
        <v>1700</v>
      </c>
      <c r="CC287" s="3">
        <v>0</v>
      </c>
      <c r="CD287" s="3">
        <v>0</v>
      </c>
      <c r="CE287" s="3">
        <v>0</v>
      </c>
      <c r="CF287" s="3">
        <v>0</v>
      </c>
      <c r="CG287" s="3">
        <v>0</v>
      </c>
      <c r="CH287" s="3">
        <v>0</v>
      </c>
      <c r="CI287" s="3">
        <v>0</v>
      </c>
      <c r="CJ287" s="3">
        <v>19.906976744186046</v>
      </c>
      <c r="CK287" s="3">
        <v>0</v>
      </c>
      <c r="CL287" s="3">
        <v>19.906976744186046</v>
      </c>
      <c r="CM287" s="3">
        <v>0</v>
      </c>
      <c r="CN287" s="3">
        <v>19.906976744186046</v>
      </c>
      <c r="CO287" s="4">
        <f t="shared" si="144"/>
        <v>59.720930232558139</v>
      </c>
      <c r="CP287" s="3">
        <v>19.904651162790696</v>
      </c>
      <c r="CQ287" s="3">
        <v>0</v>
      </c>
      <c r="CR287" s="3">
        <v>19.904651162790696</v>
      </c>
      <c r="CS287" s="3">
        <v>19.904651162790696</v>
      </c>
      <c r="CT287" s="3">
        <v>19.904651162790696</v>
      </c>
      <c r="CU287" s="3">
        <v>0</v>
      </c>
      <c r="CV287" s="3">
        <v>19.904651162790696</v>
      </c>
      <c r="CW287" s="3">
        <v>19.904651162790696</v>
      </c>
      <c r="CX287" s="3">
        <v>19.904651162790696</v>
      </c>
      <c r="CY287" s="3">
        <v>0</v>
      </c>
      <c r="CZ287" s="3">
        <v>19.904651162790696</v>
      </c>
      <c r="DA287" s="3">
        <v>19.904651162790696</v>
      </c>
      <c r="DB287" s="4">
        <f t="shared" si="145"/>
        <v>179.14186046511625</v>
      </c>
      <c r="DC287" s="3">
        <v>19.906976744186046</v>
      </c>
      <c r="DD287" s="3">
        <v>19.906976744186046</v>
      </c>
      <c r="DE287" s="3">
        <v>19.906976744186046</v>
      </c>
      <c r="DF287" s="3">
        <v>19.906976744186046</v>
      </c>
      <c r="DG287" s="3">
        <v>0</v>
      </c>
      <c r="DH287" s="3">
        <v>0</v>
      </c>
      <c r="DI287" s="3">
        <v>0</v>
      </c>
      <c r="DJ287" s="3">
        <v>0</v>
      </c>
      <c r="DK287" s="3">
        <v>0</v>
      </c>
      <c r="DL287" s="3">
        <v>0</v>
      </c>
      <c r="DM287" s="3">
        <v>0</v>
      </c>
      <c r="DN287" s="3">
        <v>0</v>
      </c>
      <c r="DO287" s="4">
        <f t="shared" si="146"/>
        <v>79.627906976744185</v>
      </c>
      <c r="DP287" s="3">
        <v>0</v>
      </c>
      <c r="DQ287" s="3">
        <v>0</v>
      </c>
      <c r="DR287" s="3">
        <v>0</v>
      </c>
      <c r="DS287" s="3">
        <v>0</v>
      </c>
      <c r="DT287" s="3">
        <v>0</v>
      </c>
      <c r="DU287" s="3">
        <v>0</v>
      </c>
      <c r="DV287" s="3">
        <v>0</v>
      </c>
      <c r="DW287" s="3">
        <v>0</v>
      </c>
      <c r="DX287" s="3">
        <v>0</v>
      </c>
      <c r="DY287" s="3">
        <v>0</v>
      </c>
      <c r="DZ287" s="3">
        <v>0</v>
      </c>
      <c r="EA287" s="3">
        <v>0</v>
      </c>
      <c r="EB287" s="4">
        <f t="shared" si="147"/>
        <v>0</v>
      </c>
      <c r="EC287" s="3">
        <v>0</v>
      </c>
      <c r="ED287" s="3">
        <v>0</v>
      </c>
      <c r="EE287" s="3">
        <v>0</v>
      </c>
      <c r="EF287" s="3">
        <v>0</v>
      </c>
      <c r="EG287" s="3">
        <v>0</v>
      </c>
      <c r="EH287" s="3">
        <v>0</v>
      </c>
      <c r="EI287" s="3">
        <v>0</v>
      </c>
      <c r="EJ287" s="3">
        <v>0</v>
      </c>
      <c r="EK287" s="3">
        <v>0</v>
      </c>
      <c r="EL287" s="3">
        <v>0</v>
      </c>
      <c r="EM287" s="3">
        <v>0</v>
      </c>
      <c r="EN287" s="3">
        <v>0</v>
      </c>
      <c r="EO287" s="4">
        <f t="shared" si="148"/>
        <v>0</v>
      </c>
      <c r="EP287" s="8">
        <f t="shared" si="149"/>
        <v>318.49069767441858</v>
      </c>
      <c r="EQ287" s="181">
        <f>IFERROR(VLOOKUP(I287,CEI_012018!$A$1:$U$509,9,FALSE),0)</f>
        <v>0</v>
      </c>
      <c r="ER287" s="181">
        <f>IFERROR(VLOOKUP(I287,CEI_022018!$A$1:$U$509,9,FALSE),0)</f>
        <v>0</v>
      </c>
      <c r="ES287" s="181">
        <f>IFERROR(VLOOKUP(I287,CEI_032018!$A$1:$U$509,9,FALSE),0)</f>
        <v>0</v>
      </c>
      <c r="ET287" s="181">
        <f>IFERROR(VLOOKUP(I287,CEI_042018!$A$1:$U$491,9,FALSE),0)</f>
        <v>0</v>
      </c>
      <c r="EU287" s="181">
        <f>IFERROR(VLOOKUP(I287,CEI_052018!$A$1:$U$489,9,FALSE),0)</f>
        <v>0</v>
      </c>
      <c r="EV287" s="181">
        <f>IFERROR(VLOOKUP(I287,CEI_062018!$A$1:$U$489,9,FALSE),0)</f>
        <v>0</v>
      </c>
      <c r="EW287" s="181">
        <f>IFERROR(VLOOKUP(I287,CEI_072018!$A$1:$U$489,9,FALSE),0)</f>
        <v>0</v>
      </c>
      <c r="EX287" s="181">
        <f>IFERROR(VLOOKUP(I287,CEI_082018!$A$1:$U$489,9,FALSE),0)</f>
        <v>0</v>
      </c>
      <c r="EY287" s="181">
        <f>IFERROR(VLOOKUP(I287,CEI_092018!$A$1:$U$489,9,FALSE),0)</f>
        <v>0</v>
      </c>
      <c r="EZ287" s="181"/>
      <c r="FA287" s="181"/>
      <c r="FB287" s="181"/>
      <c r="FC287" s="181">
        <f>IFERROR(VLOOKUP(I287,CEI_092018!$A$1:$U$489,12,FALSE),0)</f>
        <v>25.677000045776367</v>
      </c>
      <c r="FD287" s="181">
        <f t="shared" si="155"/>
        <v>25.677000045776367</v>
      </c>
      <c r="FE287" s="181">
        <f t="shared" si="156"/>
        <v>2.9999542236325283E-3</v>
      </c>
      <c r="FF287"/>
      <c r="FG287"/>
      <c r="FH287"/>
      <c r="FI287"/>
      <c r="FJ287"/>
      <c r="FK287"/>
      <c r="FL287"/>
      <c r="FM287"/>
      <c r="FN287"/>
      <c r="FO287"/>
      <c r="FP287"/>
      <c r="FQ287"/>
      <c r="FR287"/>
      <c r="FS287"/>
      <c r="FT287"/>
      <c r="FU287"/>
      <c r="FV287"/>
      <c r="FW287"/>
      <c r="FX287"/>
      <c r="FY287"/>
      <c r="FZ287"/>
      <c r="GA287"/>
      <c r="GB287"/>
      <c r="GC287"/>
    </row>
    <row r="288" spans="1:185" ht="12.75" customHeight="1" x14ac:dyDescent="0.25">
      <c r="A288" s="202"/>
      <c r="B288" s="22" t="s">
        <v>57</v>
      </c>
      <c r="C288" s="34" t="s">
        <v>44</v>
      </c>
      <c r="D288" s="22" t="s">
        <v>1059</v>
      </c>
      <c r="E288" s="25" t="s">
        <v>1063</v>
      </c>
      <c r="F288" s="25" t="s">
        <v>1059</v>
      </c>
      <c r="G288" s="25" t="s">
        <v>1063</v>
      </c>
      <c r="H288" s="22" t="s">
        <v>56</v>
      </c>
      <c r="I288" s="423" t="s">
        <v>757</v>
      </c>
      <c r="J288" s="37" t="s">
        <v>1330</v>
      </c>
      <c r="K288" s="23" t="s">
        <v>341</v>
      </c>
      <c r="L288" s="23" t="s">
        <v>342</v>
      </c>
      <c r="M288" s="23" t="s">
        <v>343</v>
      </c>
      <c r="N288" s="23" t="s">
        <v>59</v>
      </c>
      <c r="O288" s="2">
        <v>103.01386070251465</v>
      </c>
      <c r="P288" s="2">
        <v>0</v>
      </c>
      <c r="Q288" s="2">
        <v>0</v>
      </c>
      <c r="R288" s="2">
        <v>0</v>
      </c>
      <c r="S288" s="2">
        <v>18.737609999999989</v>
      </c>
      <c r="T288" s="116">
        <f t="shared" si="143"/>
        <v>121.75147070251464</v>
      </c>
      <c r="U288" s="324">
        <v>0</v>
      </c>
      <c r="V288" s="324">
        <v>0</v>
      </c>
      <c r="W288" s="324">
        <v>0</v>
      </c>
      <c r="X288" s="324">
        <v>0</v>
      </c>
      <c r="Y288" s="324">
        <v>0</v>
      </c>
      <c r="Z288" s="324">
        <v>0</v>
      </c>
      <c r="AA288" s="324">
        <v>0</v>
      </c>
      <c r="AB288" s="324">
        <v>0</v>
      </c>
      <c r="AC288" s="324">
        <v>0</v>
      </c>
      <c r="AD288" s="324">
        <v>0</v>
      </c>
      <c r="AE288" s="324">
        <v>0</v>
      </c>
      <c r="AF288" s="324">
        <v>0</v>
      </c>
      <c r="AG288" s="140">
        <f t="shared" si="150"/>
        <v>0</v>
      </c>
      <c r="AH288" s="324">
        <v>0</v>
      </c>
      <c r="AI288" s="324">
        <v>0</v>
      </c>
      <c r="AJ288" s="324">
        <v>0</v>
      </c>
      <c r="AK288" s="324">
        <v>0</v>
      </c>
      <c r="AL288" s="324">
        <v>0</v>
      </c>
      <c r="AM288" s="324">
        <v>0</v>
      </c>
      <c r="AN288" s="324">
        <v>0</v>
      </c>
      <c r="AO288" s="324">
        <v>0</v>
      </c>
      <c r="AP288" s="324">
        <v>0</v>
      </c>
      <c r="AQ288" s="324">
        <v>0</v>
      </c>
      <c r="AR288" s="324">
        <v>0</v>
      </c>
      <c r="AS288" s="324">
        <v>0</v>
      </c>
      <c r="AT288" s="140">
        <f t="shared" si="151"/>
        <v>0</v>
      </c>
      <c r="AU288" s="324">
        <v>0</v>
      </c>
      <c r="AV288" s="324">
        <v>0</v>
      </c>
      <c r="AW288" s="324">
        <v>0</v>
      </c>
      <c r="AX288" s="324">
        <v>0</v>
      </c>
      <c r="AY288" s="324">
        <v>0</v>
      </c>
      <c r="AZ288" s="324">
        <v>0</v>
      </c>
      <c r="BA288" s="324">
        <v>0</v>
      </c>
      <c r="BB288" s="324">
        <v>0</v>
      </c>
      <c r="BC288" s="324">
        <v>0</v>
      </c>
      <c r="BD288" s="324">
        <v>0</v>
      </c>
      <c r="BE288" s="324">
        <v>0</v>
      </c>
      <c r="BF288" s="324">
        <v>0</v>
      </c>
      <c r="BG288" s="140">
        <f t="shared" si="152"/>
        <v>0</v>
      </c>
      <c r="BH288" s="324">
        <v>0</v>
      </c>
      <c r="BI288" s="324">
        <v>0</v>
      </c>
      <c r="BJ288" s="324">
        <v>0</v>
      </c>
      <c r="BK288" s="324">
        <v>0</v>
      </c>
      <c r="BL288" s="324">
        <v>0</v>
      </c>
      <c r="BM288" s="324">
        <v>0</v>
      </c>
      <c r="BN288" s="324">
        <v>0</v>
      </c>
      <c r="BO288" s="324">
        <v>0</v>
      </c>
      <c r="BP288" s="324">
        <v>0</v>
      </c>
      <c r="BQ288" s="324">
        <v>0</v>
      </c>
      <c r="BR288" s="324">
        <v>0</v>
      </c>
      <c r="BS288" s="324">
        <v>0</v>
      </c>
      <c r="BT288" s="140">
        <f t="shared" si="153"/>
        <v>0</v>
      </c>
      <c r="BU288" s="114">
        <f t="shared" si="154"/>
        <v>121.75147070251464</v>
      </c>
      <c r="BV288" s="372">
        <v>1</v>
      </c>
      <c r="BW288" s="372">
        <v>1</v>
      </c>
      <c r="BX288" s="372">
        <v>1</v>
      </c>
      <c r="BY288" s="372">
        <v>1</v>
      </c>
      <c r="BZ288" s="436">
        <f t="shared" si="159"/>
        <v>84.6099518208013</v>
      </c>
      <c r="CA288" s="428">
        <f t="shared" si="158"/>
        <v>96.513577895794654</v>
      </c>
      <c r="CB288" s="7" t="s">
        <v>1700</v>
      </c>
      <c r="CC288" s="3">
        <v>0</v>
      </c>
      <c r="CD288" s="3">
        <v>47.087883720930229</v>
      </c>
      <c r="CE288" s="3">
        <v>42.148604651162792</v>
      </c>
      <c r="CF288" s="3">
        <v>60.938302325581404</v>
      </c>
      <c r="CG288" s="3">
        <v>0</v>
      </c>
      <c r="CH288" s="3">
        <v>89.39232558139534</v>
      </c>
      <c r="CI288" s="3">
        <v>78.604651162790688</v>
      </c>
      <c r="CJ288" s="3">
        <v>79.510720930232566</v>
      </c>
      <c r="CK288" s="3">
        <v>0</v>
      </c>
      <c r="CL288" s="3">
        <v>0</v>
      </c>
      <c r="CM288" s="3">
        <v>0</v>
      </c>
      <c r="CN288" s="3">
        <v>0</v>
      </c>
      <c r="CO288" s="4">
        <f t="shared" si="144"/>
        <v>397.68248837209308</v>
      </c>
      <c r="CP288" s="3">
        <v>69.767441860465112</v>
      </c>
      <c r="CQ288" s="3">
        <v>69.767441860465112</v>
      </c>
      <c r="CR288" s="3">
        <v>0</v>
      </c>
      <c r="CS288" s="3">
        <v>0</v>
      </c>
      <c r="CT288" s="3">
        <v>0</v>
      </c>
      <c r="CU288" s="3">
        <v>0</v>
      </c>
      <c r="CV288" s="3">
        <v>0</v>
      </c>
      <c r="CW288" s="3">
        <v>0</v>
      </c>
      <c r="CX288" s="3">
        <v>0</v>
      </c>
      <c r="CY288" s="3">
        <v>0</v>
      </c>
      <c r="CZ288" s="3">
        <v>0</v>
      </c>
      <c r="DA288" s="3">
        <v>0</v>
      </c>
      <c r="DB288" s="4">
        <f t="shared" si="145"/>
        <v>139.53488372093022</v>
      </c>
      <c r="DC288" s="3">
        <v>0</v>
      </c>
      <c r="DD288" s="3">
        <v>0</v>
      </c>
      <c r="DE288" s="3">
        <v>0</v>
      </c>
      <c r="DF288" s="3">
        <v>0</v>
      </c>
      <c r="DG288" s="3">
        <v>0</v>
      </c>
      <c r="DH288" s="3">
        <v>0</v>
      </c>
      <c r="DI288" s="3">
        <v>0</v>
      </c>
      <c r="DJ288" s="3">
        <v>0</v>
      </c>
      <c r="DK288" s="3">
        <v>0</v>
      </c>
      <c r="DL288" s="3">
        <v>0</v>
      </c>
      <c r="DM288" s="3">
        <v>0</v>
      </c>
      <c r="DN288" s="3">
        <v>0</v>
      </c>
      <c r="DO288" s="4">
        <f t="shared" si="146"/>
        <v>0</v>
      </c>
      <c r="DP288" s="3">
        <v>0</v>
      </c>
      <c r="DQ288" s="3">
        <v>0</v>
      </c>
      <c r="DR288" s="3">
        <v>0</v>
      </c>
      <c r="DS288" s="3">
        <v>0</v>
      </c>
      <c r="DT288" s="3">
        <v>0</v>
      </c>
      <c r="DU288" s="3">
        <v>0</v>
      </c>
      <c r="DV288" s="3">
        <v>0</v>
      </c>
      <c r="DW288" s="3">
        <v>0</v>
      </c>
      <c r="DX288" s="3">
        <v>0</v>
      </c>
      <c r="DY288" s="3">
        <v>0</v>
      </c>
      <c r="DZ288" s="3">
        <v>0</v>
      </c>
      <c r="EA288" s="3">
        <v>0</v>
      </c>
      <c r="EB288" s="4">
        <f t="shared" si="147"/>
        <v>0</v>
      </c>
      <c r="EC288" s="3">
        <v>0</v>
      </c>
      <c r="ED288" s="3">
        <v>0</v>
      </c>
      <c r="EE288" s="3">
        <v>0</v>
      </c>
      <c r="EF288" s="3">
        <v>0</v>
      </c>
      <c r="EG288" s="3">
        <v>0</v>
      </c>
      <c r="EH288" s="3">
        <v>0</v>
      </c>
      <c r="EI288" s="3">
        <v>0</v>
      </c>
      <c r="EJ288" s="3">
        <v>0</v>
      </c>
      <c r="EK288" s="3">
        <v>0</v>
      </c>
      <c r="EL288" s="3">
        <v>0</v>
      </c>
      <c r="EM288" s="3">
        <v>0</v>
      </c>
      <c r="EN288" s="3">
        <v>0</v>
      </c>
      <c r="EO288" s="4">
        <f t="shared" si="148"/>
        <v>0</v>
      </c>
      <c r="EP288" s="8">
        <f t="shared" si="149"/>
        <v>537.2173720930233</v>
      </c>
      <c r="EQ288" s="181">
        <f>IFERROR(VLOOKUP(I288,CEI_012018!$A$1:$U$509,9,FALSE),0)</f>
        <v>0</v>
      </c>
      <c r="ER288" s="181">
        <f>IFERROR(VLOOKUP(I288,CEI_022018!$A$1:$U$509,9,FALSE),0)</f>
        <v>20.24778938293457</v>
      </c>
      <c r="ES288" s="181">
        <f>IFERROR(VLOOKUP(I288,CEI_032018!$A$1:$U$509,9,FALSE),0)</f>
        <v>38.371688842773438</v>
      </c>
      <c r="ET288" s="181">
        <f>IFERROR(VLOOKUP(I288,CEI_042018!$A$1:$U$491,9,FALSE),0)</f>
        <v>64.575159072875977</v>
      </c>
      <c r="EU288" s="181">
        <f>IFERROR(VLOOKUP(I288,CEI_052018!$A$1:$U$489,9,FALSE),0)</f>
        <v>64.575159072875977</v>
      </c>
      <c r="EV288" s="181">
        <f>IFERROR(VLOOKUP(I288,CEI_062018!$A$1:$U$489,9,FALSE),0)</f>
        <v>103.01386070251465</v>
      </c>
      <c r="EW288" s="181">
        <f>IFERROR(VLOOKUP(I288,CEI_072018!$A$1:$U$489,9,FALSE),0)</f>
        <v>103.01386070251465</v>
      </c>
      <c r="EX288" s="181">
        <f>IFERROR(VLOOKUP(I288,CEI_082018!$A$1:$U$489,9,FALSE),0)</f>
        <v>103.01386070251465</v>
      </c>
      <c r="EY288" s="181">
        <f>IFERROR(VLOOKUP(I288,CEI_092018!$A$1:$U$489,9,FALSE),0)</f>
        <v>103.01386070251465</v>
      </c>
      <c r="EZ288" s="181"/>
      <c r="FA288" s="181"/>
      <c r="FB288" s="181"/>
      <c r="FC288" s="181">
        <f>IFERROR(VLOOKUP(I288,CEI_092018!$A$1:$U$489,12,FALSE),0)</f>
        <v>14.492839813232422</v>
      </c>
      <c r="FD288" s="181">
        <f t="shared" si="155"/>
        <v>117.50670051574707</v>
      </c>
      <c r="FE288" s="181">
        <f t="shared" si="156"/>
        <v>4.2447701867675676</v>
      </c>
      <c r="FF288"/>
      <c r="FG288"/>
      <c r="FH288"/>
      <c r="FI288"/>
      <c r="FJ288"/>
      <c r="FK288"/>
      <c r="FL288"/>
      <c r="FM288"/>
      <c r="FN288"/>
      <c r="FO288"/>
      <c r="FP288"/>
      <c r="FQ288"/>
      <c r="FR288"/>
      <c r="FS288"/>
      <c r="FT288"/>
      <c r="FU288"/>
      <c r="FV288"/>
      <c r="FW288"/>
      <c r="FX288"/>
      <c r="FY288"/>
      <c r="FZ288"/>
      <c r="GA288"/>
      <c r="GB288"/>
      <c r="GC288"/>
    </row>
    <row r="289" spans="1:185" ht="12.75" customHeight="1" x14ac:dyDescent="0.25">
      <c r="A289" s="202"/>
      <c r="B289" s="22" t="s">
        <v>57</v>
      </c>
      <c r="C289" s="34" t="s">
        <v>44</v>
      </c>
      <c r="D289" s="22" t="s">
        <v>1059</v>
      </c>
      <c r="E289" s="25" t="s">
        <v>1063</v>
      </c>
      <c r="F289" s="25" t="s">
        <v>1661</v>
      </c>
      <c r="G289" s="438" t="s">
        <v>1854</v>
      </c>
      <c r="H289" s="22" t="s">
        <v>56</v>
      </c>
      <c r="I289" s="423" t="s">
        <v>565</v>
      </c>
      <c r="J289" s="37"/>
      <c r="K289" s="23" t="s">
        <v>1983</v>
      </c>
      <c r="L289" s="23"/>
      <c r="M289" s="23"/>
      <c r="N289" s="23"/>
      <c r="O289" s="2">
        <v>0</v>
      </c>
      <c r="P289" s="2">
        <v>0</v>
      </c>
      <c r="Q289" s="2">
        <v>120</v>
      </c>
      <c r="R289" s="2">
        <v>0</v>
      </c>
      <c r="S289" s="2">
        <v>0</v>
      </c>
      <c r="T289" s="116">
        <f t="shared" si="143"/>
        <v>120</v>
      </c>
      <c r="U289" s="324">
        <v>0</v>
      </c>
      <c r="V289" s="324">
        <v>0</v>
      </c>
      <c r="W289" s="324">
        <v>0</v>
      </c>
      <c r="X289" s="324">
        <v>0</v>
      </c>
      <c r="Y289" s="324">
        <v>0</v>
      </c>
      <c r="Z289" s="324">
        <v>0</v>
      </c>
      <c r="AA289" s="324">
        <v>0</v>
      </c>
      <c r="AB289" s="324">
        <v>0</v>
      </c>
      <c r="AC289" s="324">
        <v>0</v>
      </c>
      <c r="AD289" s="324">
        <v>0</v>
      </c>
      <c r="AE289" s="324">
        <v>0</v>
      </c>
      <c r="AF289" s="324">
        <v>0</v>
      </c>
      <c r="AG289" s="140">
        <f t="shared" si="150"/>
        <v>0</v>
      </c>
      <c r="AH289" s="324">
        <v>0</v>
      </c>
      <c r="AI289" s="324">
        <v>0</v>
      </c>
      <c r="AJ289" s="324">
        <v>0</v>
      </c>
      <c r="AK289" s="324">
        <v>0</v>
      </c>
      <c r="AL289" s="324">
        <v>0</v>
      </c>
      <c r="AM289" s="324">
        <v>0</v>
      </c>
      <c r="AN289" s="324">
        <v>0</v>
      </c>
      <c r="AO289" s="324">
        <v>0</v>
      </c>
      <c r="AP289" s="324">
        <v>0</v>
      </c>
      <c r="AQ289" s="324">
        <v>0</v>
      </c>
      <c r="AR289" s="324">
        <v>0</v>
      </c>
      <c r="AS289" s="324">
        <v>0</v>
      </c>
      <c r="AT289" s="140">
        <f t="shared" si="151"/>
        <v>0</v>
      </c>
      <c r="AU289" s="324"/>
      <c r="AV289" s="324"/>
      <c r="AW289" s="324"/>
      <c r="AX289" s="324"/>
      <c r="AY289" s="324"/>
      <c r="AZ289" s="324"/>
      <c r="BA289" s="324"/>
      <c r="BB289" s="324"/>
      <c r="BC289" s="324"/>
      <c r="BD289" s="324"/>
      <c r="BE289" s="324"/>
      <c r="BF289" s="324"/>
      <c r="BG289" s="140">
        <f t="shared" si="152"/>
        <v>0</v>
      </c>
      <c r="BH289" s="324"/>
      <c r="BI289" s="324"/>
      <c r="BJ289" s="324"/>
      <c r="BK289" s="324"/>
      <c r="BL289" s="324"/>
      <c r="BM289" s="324"/>
      <c r="BN289" s="324"/>
      <c r="BO289" s="324"/>
      <c r="BP289" s="324"/>
      <c r="BQ289" s="324"/>
      <c r="BR289" s="324"/>
      <c r="BS289" s="324"/>
      <c r="BT289" s="140">
        <f t="shared" si="153"/>
        <v>0</v>
      </c>
      <c r="BU289" s="114">
        <f t="shared" si="154"/>
        <v>120</v>
      </c>
      <c r="BV289" s="372"/>
      <c r="BW289" s="372"/>
      <c r="BX289" s="372"/>
      <c r="BY289" s="372"/>
      <c r="BZ289" s="436"/>
      <c r="CA289" s="428"/>
      <c r="CB289" s="7"/>
      <c r="CC289" s="3"/>
      <c r="CD289" s="3"/>
      <c r="CE289" s="3"/>
      <c r="CF289" s="3"/>
      <c r="CG289" s="3"/>
      <c r="CH289" s="3"/>
      <c r="CI289" s="3"/>
      <c r="CJ289" s="3"/>
      <c r="CK289" s="3"/>
      <c r="CL289" s="3"/>
      <c r="CM289" s="3"/>
      <c r="CN289" s="3"/>
      <c r="CO289" s="4"/>
      <c r="CP289" s="3"/>
      <c r="CQ289" s="3"/>
      <c r="CR289" s="3"/>
      <c r="CS289" s="3"/>
      <c r="CT289" s="3"/>
      <c r="CU289" s="3"/>
      <c r="CV289" s="3"/>
      <c r="CW289" s="3"/>
      <c r="CX289" s="3"/>
      <c r="CY289" s="3"/>
      <c r="CZ289" s="3"/>
      <c r="DA289" s="3"/>
      <c r="DB289" s="4"/>
      <c r="DC289" s="3"/>
      <c r="DD289" s="3"/>
      <c r="DE289" s="3"/>
      <c r="DF289" s="3"/>
      <c r="DG289" s="3"/>
      <c r="DH289" s="3"/>
      <c r="DI289" s="3"/>
      <c r="DJ289" s="3"/>
      <c r="DK289" s="3"/>
      <c r="DL289" s="3"/>
      <c r="DM289" s="3"/>
      <c r="DN289" s="3"/>
      <c r="DO289" s="4"/>
      <c r="DP289" s="3"/>
      <c r="DQ289" s="3"/>
      <c r="DR289" s="3"/>
      <c r="DS289" s="3"/>
      <c r="DT289" s="3"/>
      <c r="DU289" s="3"/>
      <c r="DV289" s="3"/>
      <c r="DW289" s="3"/>
      <c r="DX289" s="3"/>
      <c r="DY289" s="3"/>
      <c r="DZ289" s="3"/>
      <c r="EA289" s="3"/>
      <c r="EB289" s="4"/>
      <c r="EC289" s="3"/>
      <c r="ED289" s="3"/>
      <c r="EE289" s="3"/>
      <c r="EF289" s="3"/>
      <c r="EG289" s="3"/>
      <c r="EH289" s="3"/>
      <c r="EI289" s="3"/>
      <c r="EJ289" s="3"/>
      <c r="EK289" s="3"/>
      <c r="EL289" s="3"/>
      <c r="EM289" s="3"/>
      <c r="EN289" s="3"/>
      <c r="EO289" s="4"/>
      <c r="EP289" s="8"/>
      <c r="EQ289" s="181">
        <f>IFERROR(VLOOKUP(I289,CEI_012018!$A$1:$U$509,9,FALSE),0)</f>
        <v>0</v>
      </c>
      <c r="ER289" s="181">
        <f>IFERROR(VLOOKUP(I289,CEI_022018!$A$1:$U$509,9,FALSE),0)</f>
        <v>0</v>
      </c>
      <c r="ES289" s="181">
        <f>IFERROR(VLOOKUP(I289,CEI_032018!$A$1:$U$509,9,FALSE),0)</f>
        <v>0</v>
      </c>
      <c r="ET289" s="181">
        <f>IFERROR(VLOOKUP(I289,CEI_042018!$A$1:$U$491,9,FALSE),0)</f>
        <v>0</v>
      </c>
      <c r="EU289" s="181">
        <f>IFERROR(VLOOKUP(I289,CEI_052018!$A$1:$U$489,9,FALSE),0)</f>
        <v>0</v>
      </c>
      <c r="EV289" s="181">
        <f>IFERROR(VLOOKUP(I289,CEI_062018!$A$1:$U$489,9,FALSE),0)</f>
        <v>0</v>
      </c>
      <c r="EW289" s="181">
        <f>IFERROR(VLOOKUP(I289,CEI_072018!$A$1:$U$489,9,FALSE),0)</f>
        <v>0</v>
      </c>
      <c r="EX289" s="181">
        <f>IFERROR(VLOOKUP(I289,CEI_082018!$A$1:$U$489,9,FALSE),0)</f>
        <v>0</v>
      </c>
      <c r="EY289" s="181">
        <f>IFERROR(VLOOKUP(I289,CEI_092018!$A$1:$U$489,9,FALSE),0)</f>
        <v>0</v>
      </c>
      <c r="EZ289" s="181"/>
      <c r="FA289" s="181"/>
      <c r="FB289" s="181"/>
      <c r="FC289" s="181">
        <f>IFERROR(VLOOKUP(I289,CEI_092018!$A$1:$U$489,12,FALSE),0)</f>
        <v>0</v>
      </c>
      <c r="FD289" s="181">
        <f t="shared" si="155"/>
        <v>0</v>
      </c>
      <c r="FE289" s="181">
        <f t="shared" si="156"/>
        <v>120</v>
      </c>
      <c r="FF289"/>
      <c r="FG289"/>
      <c r="FH289"/>
      <c r="FI289"/>
      <c r="FJ289"/>
      <c r="FK289"/>
      <c r="FL289"/>
      <c r="FM289"/>
      <c r="FN289"/>
      <c r="FO289"/>
      <c r="FP289"/>
      <c r="FQ289"/>
      <c r="FR289"/>
      <c r="FS289"/>
      <c r="FT289"/>
      <c r="FU289"/>
      <c r="FV289"/>
      <c r="FW289"/>
      <c r="FX289"/>
      <c r="FY289"/>
      <c r="FZ289"/>
      <c r="GA289"/>
      <c r="GB289"/>
      <c r="GC289"/>
    </row>
    <row r="290" spans="1:185" ht="12.75" customHeight="1" x14ac:dyDescent="0.25">
      <c r="A290" s="202"/>
      <c r="B290" s="22" t="s">
        <v>57</v>
      </c>
      <c r="C290" s="34" t="s">
        <v>44</v>
      </c>
      <c r="D290" s="22" t="s">
        <v>1058</v>
      </c>
      <c r="E290" s="25" t="s">
        <v>1062</v>
      </c>
      <c r="F290" s="25" t="s">
        <v>488</v>
      </c>
      <c r="G290" s="25" t="s">
        <v>1848</v>
      </c>
      <c r="H290" s="22" t="s">
        <v>62</v>
      </c>
      <c r="I290" s="423" t="s">
        <v>565</v>
      </c>
      <c r="J290" s="37" t="s">
        <v>59</v>
      </c>
      <c r="K290" s="23" t="s">
        <v>811</v>
      </c>
      <c r="L290" s="23" t="s">
        <v>812</v>
      </c>
      <c r="M290" s="23" t="s">
        <v>813</v>
      </c>
      <c r="N290" s="23" t="s">
        <v>59</v>
      </c>
      <c r="O290" s="2">
        <v>0</v>
      </c>
      <c r="P290" s="2">
        <v>0</v>
      </c>
      <c r="Q290" s="2">
        <v>0</v>
      </c>
      <c r="R290" s="2">
        <v>0</v>
      </c>
      <c r="S290" s="2">
        <v>120</v>
      </c>
      <c r="T290" s="116">
        <f t="shared" si="143"/>
        <v>120</v>
      </c>
      <c r="U290" s="324">
        <v>0</v>
      </c>
      <c r="V290" s="324">
        <v>0</v>
      </c>
      <c r="W290" s="324">
        <v>0</v>
      </c>
      <c r="X290" s="324">
        <v>0</v>
      </c>
      <c r="Y290" s="324">
        <v>0</v>
      </c>
      <c r="Z290" s="324">
        <v>0</v>
      </c>
      <c r="AA290" s="324">
        <v>0</v>
      </c>
      <c r="AB290" s="324">
        <v>0</v>
      </c>
      <c r="AC290" s="324">
        <v>0</v>
      </c>
      <c r="AD290" s="324">
        <v>0</v>
      </c>
      <c r="AE290" s="324">
        <v>0</v>
      </c>
      <c r="AF290" s="324">
        <v>0</v>
      </c>
      <c r="AG290" s="140">
        <f t="shared" si="150"/>
        <v>0</v>
      </c>
      <c r="AH290" s="324">
        <v>0</v>
      </c>
      <c r="AI290" s="324">
        <v>0</v>
      </c>
      <c r="AJ290" s="324">
        <v>0</v>
      </c>
      <c r="AK290" s="324">
        <v>0</v>
      </c>
      <c r="AL290" s="324">
        <v>0</v>
      </c>
      <c r="AM290" s="324">
        <v>0</v>
      </c>
      <c r="AN290" s="324">
        <v>0</v>
      </c>
      <c r="AO290" s="324">
        <v>0</v>
      </c>
      <c r="AP290" s="324">
        <v>0</v>
      </c>
      <c r="AQ290" s="324">
        <v>0</v>
      </c>
      <c r="AR290" s="324">
        <v>0</v>
      </c>
      <c r="AS290" s="324">
        <v>0</v>
      </c>
      <c r="AT290" s="140">
        <f t="shared" si="151"/>
        <v>0</v>
      </c>
      <c r="AU290" s="324">
        <v>0</v>
      </c>
      <c r="AV290" s="324">
        <v>0</v>
      </c>
      <c r="AW290" s="324">
        <v>0</v>
      </c>
      <c r="AX290" s="324">
        <v>0</v>
      </c>
      <c r="AY290" s="324">
        <v>0</v>
      </c>
      <c r="AZ290" s="324">
        <v>0</v>
      </c>
      <c r="BA290" s="324">
        <v>0</v>
      </c>
      <c r="BB290" s="324">
        <v>0</v>
      </c>
      <c r="BC290" s="324">
        <v>0</v>
      </c>
      <c r="BD290" s="324">
        <v>0</v>
      </c>
      <c r="BE290" s="324">
        <v>0</v>
      </c>
      <c r="BF290" s="324">
        <v>0</v>
      </c>
      <c r="BG290" s="140">
        <f t="shared" si="152"/>
        <v>0</v>
      </c>
      <c r="BH290" s="324">
        <v>0</v>
      </c>
      <c r="BI290" s="324">
        <v>0</v>
      </c>
      <c r="BJ290" s="324">
        <v>0</v>
      </c>
      <c r="BK290" s="324">
        <v>0</v>
      </c>
      <c r="BL290" s="324">
        <v>0</v>
      </c>
      <c r="BM290" s="324">
        <v>0</v>
      </c>
      <c r="BN290" s="324">
        <v>0</v>
      </c>
      <c r="BO290" s="324">
        <v>0</v>
      </c>
      <c r="BP290" s="324">
        <v>0</v>
      </c>
      <c r="BQ290" s="324">
        <v>0</v>
      </c>
      <c r="BR290" s="324">
        <v>0</v>
      </c>
      <c r="BS290" s="324">
        <v>0</v>
      </c>
      <c r="BT290" s="140">
        <f t="shared" si="153"/>
        <v>0</v>
      </c>
      <c r="BU290" s="114">
        <f t="shared" si="154"/>
        <v>120</v>
      </c>
      <c r="BV290" s="372">
        <v>-1</v>
      </c>
      <c r="BW290" s="372">
        <v>-1</v>
      </c>
      <c r="BX290" s="372">
        <v>-1</v>
      </c>
      <c r="BY290" s="372">
        <v>-1</v>
      </c>
      <c r="BZ290" s="436">
        <f>IFERROR((EX290/T290%),0)</f>
        <v>0</v>
      </c>
      <c r="CA290" s="428">
        <f t="shared" ref="CA290:CA303" si="160">IFERROR((FD290/T290%),0)</f>
        <v>0</v>
      </c>
      <c r="CB290" s="7" t="s">
        <v>1702</v>
      </c>
      <c r="CC290" s="3">
        <v>0</v>
      </c>
      <c r="CD290" s="3">
        <v>0</v>
      </c>
      <c r="CE290" s="3">
        <v>0</v>
      </c>
      <c r="CF290" s="3">
        <v>0</v>
      </c>
      <c r="CG290" s="3">
        <v>0</v>
      </c>
      <c r="CH290" s="3">
        <v>0</v>
      </c>
      <c r="CI290" s="3">
        <v>0</v>
      </c>
      <c r="CJ290" s="3">
        <v>0</v>
      </c>
      <c r="CK290" s="3">
        <v>1</v>
      </c>
      <c r="CL290" s="3">
        <v>0</v>
      </c>
      <c r="CM290" s="3">
        <v>0</v>
      </c>
      <c r="CN290" s="3">
        <v>0</v>
      </c>
      <c r="CO290" s="4">
        <f t="shared" ref="CO290:CO313" si="161">SUM(CC290:CN290)</f>
        <v>1</v>
      </c>
      <c r="CP290" s="3">
        <v>0</v>
      </c>
      <c r="CQ290" s="3">
        <v>0</v>
      </c>
      <c r="CR290" s="3">
        <v>0</v>
      </c>
      <c r="CS290" s="3">
        <v>0</v>
      </c>
      <c r="CT290" s="3">
        <v>0</v>
      </c>
      <c r="CU290" s="3">
        <v>0</v>
      </c>
      <c r="CV290" s="3">
        <v>0</v>
      </c>
      <c r="CW290" s="3">
        <v>0</v>
      </c>
      <c r="CX290" s="3">
        <v>0</v>
      </c>
      <c r="CY290" s="3">
        <v>0</v>
      </c>
      <c r="CZ290" s="3">
        <v>0</v>
      </c>
      <c r="DA290" s="3">
        <v>0</v>
      </c>
      <c r="DB290" s="4">
        <f t="shared" ref="DB290:DB313" si="162">SUM(CP290:DA290)</f>
        <v>0</v>
      </c>
      <c r="DC290" s="3">
        <v>0</v>
      </c>
      <c r="DD290" s="3">
        <v>0</v>
      </c>
      <c r="DE290" s="3">
        <v>0</v>
      </c>
      <c r="DF290" s="3">
        <v>0</v>
      </c>
      <c r="DG290" s="3">
        <v>0</v>
      </c>
      <c r="DH290" s="3">
        <v>0</v>
      </c>
      <c r="DI290" s="3">
        <v>0</v>
      </c>
      <c r="DJ290" s="3">
        <v>0</v>
      </c>
      <c r="DK290" s="3">
        <v>0</v>
      </c>
      <c r="DL290" s="3">
        <v>0</v>
      </c>
      <c r="DM290" s="3">
        <v>0</v>
      </c>
      <c r="DN290" s="3">
        <v>0</v>
      </c>
      <c r="DO290" s="4">
        <f t="shared" ref="DO290:DO313" si="163">SUM(DC290:DN290)</f>
        <v>0</v>
      </c>
      <c r="DP290" s="3">
        <v>0</v>
      </c>
      <c r="DQ290" s="3">
        <v>0</v>
      </c>
      <c r="DR290" s="3">
        <v>0</v>
      </c>
      <c r="DS290" s="3">
        <v>0</v>
      </c>
      <c r="DT290" s="3">
        <v>0</v>
      </c>
      <c r="DU290" s="3">
        <v>0</v>
      </c>
      <c r="DV290" s="3">
        <v>0</v>
      </c>
      <c r="DW290" s="3">
        <v>0</v>
      </c>
      <c r="DX290" s="3">
        <v>0</v>
      </c>
      <c r="DY290" s="3">
        <v>0</v>
      </c>
      <c r="DZ290" s="3">
        <v>0</v>
      </c>
      <c r="EA290" s="3">
        <v>0</v>
      </c>
      <c r="EB290" s="4">
        <f t="shared" ref="EB290:EB313" si="164">SUM(DP290:EA290)</f>
        <v>0</v>
      </c>
      <c r="EC290" s="3">
        <v>0</v>
      </c>
      <c r="ED290" s="3">
        <v>0</v>
      </c>
      <c r="EE290" s="3">
        <v>0</v>
      </c>
      <c r="EF290" s="3">
        <v>0</v>
      </c>
      <c r="EG290" s="3">
        <v>0</v>
      </c>
      <c r="EH290" s="3">
        <v>0</v>
      </c>
      <c r="EI290" s="3">
        <v>0</v>
      </c>
      <c r="EJ290" s="3">
        <v>0</v>
      </c>
      <c r="EK290" s="3">
        <v>0</v>
      </c>
      <c r="EL290" s="3">
        <v>0</v>
      </c>
      <c r="EM290" s="3">
        <v>0</v>
      </c>
      <c r="EN290" s="3">
        <v>0</v>
      </c>
      <c r="EO290" s="4">
        <f t="shared" ref="EO290:EO313" si="165">SUM(EC290:EN290)</f>
        <v>0</v>
      </c>
      <c r="EP290" s="8">
        <f t="shared" ref="EP290:EP313" si="166">SUM(EO290,EB290,DO290,DB290,CO290)</f>
        <v>1</v>
      </c>
      <c r="EQ290" s="181">
        <f>IFERROR(VLOOKUP(I290,CEI_012018!$A$1:$U$509,9,FALSE),0)</f>
        <v>0</v>
      </c>
      <c r="ER290" s="181">
        <f>IFERROR(VLOOKUP(I290,CEI_022018!$A$1:$U$509,9,FALSE),0)</f>
        <v>0</v>
      </c>
      <c r="ES290" s="181">
        <f>IFERROR(VLOOKUP(I290,CEI_032018!$A$1:$U$509,9,FALSE),0)</f>
        <v>0</v>
      </c>
      <c r="ET290" s="181">
        <f>IFERROR(VLOOKUP(I290,CEI_042018!$A$1:$U$491,9,FALSE),0)</f>
        <v>0</v>
      </c>
      <c r="EU290" s="181">
        <f>IFERROR(VLOOKUP(I290,CEI_052018!$A$1:$U$489,9,FALSE),0)</f>
        <v>0</v>
      </c>
      <c r="EV290" s="181">
        <f>IFERROR(VLOOKUP(I290,CEI_062018!$A$1:$U$489,9,FALSE),0)</f>
        <v>0</v>
      </c>
      <c r="EW290" s="181">
        <f>IFERROR(VLOOKUP(I290,CEI_072018!$A$1:$U$489,9,FALSE),0)</f>
        <v>0</v>
      </c>
      <c r="EX290" s="181">
        <f>IFERROR(VLOOKUP(I290,CEI_082018!$A$1:$U$489,9,FALSE),0)</f>
        <v>0</v>
      </c>
      <c r="EY290" s="181">
        <f>IFERROR(VLOOKUP(I290,CEI_092018!$A$1:$U$489,9,FALSE),0)</f>
        <v>0</v>
      </c>
      <c r="EZ290" s="181"/>
      <c r="FA290" s="181"/>
      <c r="FB290" s="181"/>
      <c r="FC290" s="181">
        <f>IFERROR(VLOOKUP(I290,CEI_092018!$A$1:$U$489,12,FALSE),0)</f>
        <v>0</v>
      </c>
      <c r="FD290" s="181">
        <f t="shared" si="155"/>
        <v>0</v>
      </c>
      <c r="FE290" s="181">
        <f t="shared" si="156"/>
        <v>120</v>
      </c>
      <c r="FF290"/>
      <c r="FG290"/>
      <c r="FH290"/>
      <c r="FI290"/>
      <c r="FJ290"/>
      <c r="FK290"/>
      <c r="FL290"/>
      <c r="FM290"/>
      <c r="FN290"/>
      <c r="FO290"/>
      <c r="FP290"/>
      <c r="FQ290"/>
      <c r="FR290"/>
      <c r="FS290"/>
      <c r="FT290"/>
      <c r="FU290"/>
      <c r="FV290"/>
      <c r="FW290"/>
      <c r="FX290"/>
      <c r="FY290"/>
      <c r="FZ290"/>
      <c r="GA290"/>
      <c r="GB290"/>
      <c r="GC290"/>
    </row>
    <row r="291" spans="1:185" ht="12.75" customHeight="1" x14ac:dyDescent="0.25">
      <c r="A291" s="202"/>
      <c r="B291" s="22" t="s">
        <v>57</v>
      </c>
      <c r="C291" s="34" t="s">
        <v>44</v>
      </c>
      <c r="D291" s="22" t="s">
        <v>1059</v>
      </c>
      <c r="E291" s="25" t="s">
        <v>1063</v>
      </c>
      <c r="F291" s="25" t="s">
        <v>1059</v>
      </c>
      <c r="G291" s="25" t="s">
        <v>1063</v>
      </c>
      <c r="H291" s="22" t="s">
        <v>56</v>
      </c>
      <c r="I291" s="423" t="s">
        <v>758</v>
      </c>
      <c r="J291" s="37" t="s">
        <v>1326</v>
      </c>
      <c r="K291" s="23" t="s">
        <v>344</v>
      </c>
      <c r="L291" s="23" t="s">
        <v>345</v>
      </c>
      <c r="M291" s="23" t="s">
        <v>346</v>
      </c>
      <c r="N291" s="23" t="s">
        <v>59</v>
      </c>
      <c r="O291" s="2">
        <v>101.37385904788971</v>
      </c>
      <c r="P291" s="2">
        <v>0</v>
      </c>
      <c r="Q291" s="2">
        <v>0</v>
      </c>
      <c r="R291" s="2">
        <v>0</v>
      </c>
      <c r="S291" s="2">
        <v>0</v>
      </c>
      <c r="T291" s="116">
        <f t="shared" si="143"/>
        <v>101.37385904788971</v>
      </c>
      <c r="U291" s="324">
        <v>0</v>
      </c>
      <c r="V291" s="324">
        <v>0</v>
      </c>
      <c r="W291" s="324">
        <v>0</v>
      </c>
      <c r="X291" s="324">
        <v>0</v>
      </c>
      <c r="Y291" s="324">
        <v>0</v>
      </c>
      <c r="Z291" s="324">
        <v>0</v>
      </c>
      <c r="AA291" s="324">
        <v>0</v>
      </c>
      <c r="AB291" s="324">
        <v>0</v>
      </c>
      <c r="AC291" s="324">
        <v>0</v>
      </c>
      <c r="AD291" s="324">
        <v>0</v>
      </c>
      <c r="AE291" s="324">
        <v>0</v>
      </c>
      <c r="AF291" s="324">
        <v>0</v>
      </c>
      <c r="AG291" s="140">
        <f t="shared" si="150"/>
        <v>0</v>
      </c>
      <c r="AH291" s="324">
        <v>0</v>
      </c>
      <c r="AI291" s="324">
        <v>0</v>
      </c>
      <c r="AJ291" s="324">
        <v>0</v>
      </c>
      <c r="AK291" s="324">
        <v>0</v>
      </c>
      <c r="AL291" s="324">
        <v>0</v>
      </c>
      <c r="AM291" s="324">
        <v>0</v>
      </c>
      <c r="AN291" s="324">
        <v>0</v>
      </c>
      <c r="AO291" s="324">
        <v>0</v>
      </c>
      <c r="AP291" s="324">
        <v>0</v>
      </c>
      <c r="AQ291" s="324">
        <v>0</v>
      </c>
      <c r="AR291" s="324">
        <v>0</v>
      </c>
      <c r="AS291" s="324">
        <v>0</v>
      </c>
      <c r="AT291" s="140">
        <f t="shared" si="151"/>
        <v>0</v>
      </c>
      <c r="AU291" s="324">
        <v>0</v>
      </c>
      <c r="AV291" s="324">
        <v>0</v>
      </c>
      <c r="AW291" s="324">
        <v>0</v>
      </c>
      <c r="AX291" s="324">
        <v>0</v>
      </c>
      <c r="AY291" s="324">
        <v>0</v>
      </c>
      <c r="AZ291" s="324">
        <v>0</v>
      </c>
      <c r="BA291" s="324">
        <v>0</v>
      </c>
      <c r="BB291" s="324">
        <v>0</v>
      </c>
      <c r="BC291" s="324">
        <v>0</v>
      </c>
      <c r="BD291" s="324">
        <v>0</v>
      </c>
      <c r="BE291" s="324">
        <v>0</v>
      </c>
      <c r="BF291" s="324">
        <v>0</v>
      </c>
      <c r="BG291" s="140">
        <f t="shared" si="152"/>
        <v>0</v>
      </c>
      <c r="BH291" s="324">
        <v>0</v>
      </c>
      <c r="BI291" s="324">
        <v>0</v>
      </c>
      <c r="BJ291" s="324">
        <v>0</v>
      </c>
      <c r="BK291" s="324">
        <v>0</v>
      </c>
      <c r="BL291" s="324">
        <v>0</v>
      </c>
      <c r="BM291" s="324">
        <v>0</v>
      </c>
      <c r="BN291" s="324">
        <v>0</v>
      </c>
      <c r="BO291" s="324">
        <v>0</v>
      </c>
      <c r="BP291" s="324">
        <v>0</v>
      </c>
      <c r="BQ291" s="324">
        <v>0</v>
      </c>
      <c r="BR291" s="324">
        <v>0</v>
      </c>
      <c r="BS291" s="324">
        <v>0</v>
      </c>
      <c r="BT291" s="140">
        <f t="shared" si="153"/>
        <v>0</v>
      </c>
      <c r="BU291" s="114">
        <f t="shared" si="154"/>
        <v>101.37385904788971</v>
      </c>
      <c r="BV291" s="372">
        <v>1</v>
      </c>
      <c r="BW291" s="372">
        <v>1</v>
      </c>
      <c r="BX291" s="372">
        <v>1</v>
      </c>
      <c r="BY291" s="372">
        <v>1</v>
      </c>
      <c r="BZ291" s="436">
        <f t="shared" ref="BZ291:BZ292" si="167">IFERROR((EX291/T291%),0)</f>
        <v>100</v>
      </c>
      <c r="CA291" s="428">
        <f t="shared" si="160"/>
        <v>100</v>
      </c>
      <c r="CB291" s="7" t="s">
        <v>1700</v>
      </c>
      <c r="CC291" s="3">
        <v>0</v>
      </c>
      <c r="CD291" s="3">
        <v>67.362232558139539</v>
      </c>
      <c r="CE291" s="3">
        <v>50.525581395348837</v>
      </c>
      <c r="CF291" s="3">
        <v>4.3587209302325585</v>
      </c>
      <c r="CG291" s="3">
        <v>0</v>
      </c>
      <c r="CH291" s="3">
        <v>0</v>
      </c>
      <c r="CI291" s="3">
        <v>69.767441860465112</v>
      </c>
      <c r="CJ291" s="3">
        <v>147.52093023255813</v>
      </c>
      <c r="CK291" s="3">
        <v>0</v>
      </c>
      <c r="CL291" s="3">
        <v>0</v>
      </c>
      <c r="CM291" s="3">
        <v>0</v>
      </c>
      <c r="CN291" s="3">
        <v>0</v>
      </c>
      <c r="CO291" s="4">
        <f t="shared" si="161"/>
        <v>339.5349069767442</v>
      </c>
      <c r="CP291" s="3">
        <v>46.511627906976742</v>
      </c>
      <c r="CQ291" s="3">
        <v>81.395348837209298</v>
      </c>
      <c r="CR291" s="3">
        <v>0</v>
      </c>
      <c r="CS291" s="3">
        <v>0</v>
      </c>
      <c r="CT291" s="3">
        <v>0</v>
      </c>
      <c r="CU291" s="3">
        <v>0</v>
      </c>
      <c r="CV291" s="3">
        <v>0</v>
      </c>
      <c r="CW291" s="3">
        <v>0</v>
      </c>
      <c r="CX291" s="3">
        <v>0</v>
      </c>
      <c r="CY291" s="3">
        <v>0</v>
      </c>
      <c r="CZ291" s="3">
        <v>0</v>
      </c>
      <c r="DA291" s="3">
        <v>0</v>
      </c>
      <c r="DB291" s="4">
        <f t="shared" si="162"/>
        <v>127.90697674418604</v>
      </c>
      <c r="DC291" s="3">
        <v>0</v>
      </c>
      <c r="DD291" s="3">
        <v>0</v>
      </c>
      <c r="DE291" s="3">
        <v>0</v>
      </c>
      <c r="DF291" s="3">
        <v>0</v>
      </c>
      <c r="DG291" s="3">
        <v>0</v>
      </c>
      <c r="DH291" s="3">
        <v>0</v>
      </c>
      <c r="DI291" s="3">
        <v>0</v>
      </c>
      <c r="DJ291" s="3">
        <v>0</v>
      </c>
      <c r="DK291" s="3">
        <v>0</v>
      </c>
      <c r="DL291" s="3">
        <v>0</v>
      </c>
      <c r="DM291" s="3">
        <v>0</v>
      </c>
      <c r="DN291" s="3">
        <v>0</v>
      </c>
      <c r="DO291" s="4">
        <f t="shared" si="163"/>
        <v>0</v>
      </c>
      <c r="DP291" s="3">
        <v>0</v>
      </c>
      <c r="DQ291" s="3">
        <v>0</v>
      </c>
      <c r="DR291" s="3">
        <v>0</v>
      </c>
      <c r="DS291" s="3">
        <v>0</v>
      </c>
      <c r="DT291" s="3">
        <v>0</v>
      </c>
      <c r="DU291" s="3">
        <v>0</v>
      </c>
      <c r="DV291" s="3">
        <v>0</v>
      </c>
      <c r="DW291" s="3">
        <v>0</v>
      </c>
      <c r="DX291" s="3">
        <v>0</v>
      </c>
      <c r="DY291" s="3">
        <v>0</v>
      </c>
      <c r="DZ291" s="3">
        <v>0</v>
      </c>
      <c r="EA291" s="3">
        <v>0</v>
      </c>
      <c r="EB291" s="4">
        <f t="shared" si="164"/>
        <v>0</v>
      </c>
      <c r="EC291" s="3">
        <v>0</v>
      </c>
      <c r="ED291" s="3">
        <v>0</v>
      </c>
      <c r="EE291" s="3">
        <v>0</v>
      </c>
      <c r="EF291" s="3">
        <v>0</v>
      </c>
      <c r="EG291" s="3">
        <v>0</v>
      </c>
      <c r="EH291" s="3">
        <v>0</v>
      </c>
      <c r="EI291" s="3">
        <v>0</v>
      </c>
      <c r="EJ291" s="3">
        <v>0</v>
      </c>
      <c r="EK291" s="3">
        <v>0</v>
      </c>
      <c r="EL291" s="3">
        <v>0</v>
      </c>
      <c r="EM291" s="3">
        <v>0</v>
      </c>
      <c r="EN291" s="3">
        <v>0</v>
      </c>
      <c r="EO291" s="4">
        <f t="shared" si="165"/>
        <v>0</v>
      </c>
      <c r="EP291" s="8">
        <f t="shared" si="166"/>
        <v>467.44188372093026</v>
      </c>
      <c r="EQ291" s="181">
        <f>IFERROR(VLOOKUP(I291,CEI_012018!$A$1:$U$509,9,FALSE),0)</f>
        <v>0</v>
      </c>
      <c r="ER291" s="181">
        <f>IFERROR(VLOOKUP(I291,CEI_022018!$A$1:$U$509,9,FALSE),0)</f>
        <v>28.96575927734375</v>
      </c>
      <c r="ES291" s="181">
        <f>IFERROR(VLOOKUP(I291,CEI_032018!$A$1:$U$509,9,FALSE),0)</f>
        <v>50.69175910949707</v>
      </c>
      <c r="ET291" s="181">
        <f>IFERROR(VLOOKUP(I291,CEI_042018!$A$1:$U$491,9,FALSE),0)</f>
        <v>52.566009163856506</v>
      </c>
      <c r="EU291" s="181">
        <f>IFERROR(VLOOKUP(I291,CEI_052018!$A$1:$U$489,9,FALSE),0)</f>
        <v>52.566009163856506</v>
      </c>
      <c r="EV291" s="181">
        <f>IFERROR(VLOOKUP(I291,CEI_062018!$A$1:$U$489,9,FALSE),0)</f>
        <v>52.566009163856506</v>
      </c>
      <c r="EW291" s="181">
        <f>IFERROR(VLOOKUP(I291,CEI_072018!$A$1:$U$489,9,FALSE),0)</f>
        <v>101.37385904788971</v>
      </c>
      <c r="EX291" s="181">
        <f>IFERROR(VLOOKUP(I291,CEI_082018!$A$1:$U$489,9,FALSE),0)</f>
        <v>101.37385904788971</v>
      </c>
      <c r="EY291" s="181">
        <f>IFERROR(VLOOKUP(I291,CEI_092018!$A$1:$U$489,9,FALSE),0)</f>
        <v>101.37385904788971</v>
      </c>
      <c r="EZ291" s="181"/>
      <c r="FA291" s="181"/>
      <c r="FB291" s="181"/>
      <c r="FC291" s="181">
        <f>IFERROR(VLOOKUP(I291,CEI_092018!$A$1:$U$489,12,FALSE),0)</f>
        <v>0</v>
      </c>
      <c r="FD291" s="181">
        <f t="shared" si="155"/>
        <v>101.37385904788971</v>
      </c>
      <c r="FE291" s="181">
        <f t="shared" si="156"/>
        <v>0</v>
      </c>
      <c r="FF291"/>
      <c r="FG291"/>
      <c r="FH291"/>
      <c r="FI291"/>
      <c r="FJ291"/>
      <c r="FK291"/>
      <c r="FL291"/>
      <c r="FM291"/>
      <c r="FN291"/>
      <c r="FO291"/>
      <c r="FP291"/>
      <c r="FQ291"/>
      <c r="FR291"/>
      <c r="FS291"/>
      <c r="FT291"/>
      <c r="FU291"/>
      <c r="FV291"/>
      <c r="FW291"/>
      <c r="FX291"/>
      <c r="FY291"/>
      <c r="FZ291"/>
      <c r="GA291"/>
      <c r="GB291"/>
      <c r="GC291"/>
    </row>
    <row r="292" spans="1:185" ht="12.75" customHeight="1" x14ac:dyDescent="0.25">
      <c r="A292" s="202"/>
      <c r="B292" s="22" t="s">
        <v>57</v>
      </c>
      <c r="C292" s="34" t="s">
        <v>44</v>
      </c>
      <c r="D292" s="22" t="s">
        <v>1060</v>
      </c>
      <c r="E292" s="25" t="s">
        <v>1064</v>
      </c>
      <c r="F292" s="25" t="s">
        <v>1060</v>
      </c>
      <c r="G292" s="25" t="s">
        <v>1064</v>
      </c>
      <c r="H292" s="22" t="s">
        <v>56</v>
      </c>
      <c r="I292" s="423" t="s">
        <v>568</v>
      </c>
      <c r="J292" s="37" t="s">
        <v>1375</v>
      </c>
      <c r="K292" s="23" t="s">
        <v>567</v>
      </c>
      <c r="L292" s="23" t="s">
        <v>709</v>
      </c>
      <c r="M292" s="23" t="s">
        <v>710</v>
      </c>
      <c r="N292" s="23" t="s">
        <v>59</v>
      </c>
      <c r="O292" s="2">
        <v>0</v>
      </c>
      <c r="P292" s="2">
        <v>0</v>
      </c>
      <c r="Q292" s="2">
        <v>0</v>
      </c>
      <c r="R292" s="2">
        <v>20</v>
      </c>
      <c r="S292" s="2">
        <v>35</v>
      </c>
      <c r="T292" s="116">
        <f t="shared" si="143"/>
        <v>55</v>
      </c>
      <c r="U292" s="324">
        <v>0</v>
      </c>
      <c r="V292" s="324">
        <v>0</v>
      </c>
      <c r="W292" s="324">
        <v>0</v>
      </c>
      <c r="X292" s="324">
        <v>0</v>
      </c>
      <c r="Y292" s="324">
        <v>0</v>
      </c>
      <c r="Z292" s="324">
        <v>0</v>
      </c>
      <c r="AA292" s="324">
        <v>0</v>
      </c>
      <c r="AB292" s="324">
        <v>20</v>
      </c>
      <c r="AC292" s="324">
        <v>0</v>
      </c>
      <c r="AD292" s="324">
        <v>0</v>
      </c>
      <c r="AE292" s="324">
        <v>22</v>
      </c>
      <c r="AF292" s="324">
        <v>0</v>
      </c>
      <c r="AG292" s="140">
        <f t="shared" si="150"/>
        <v>42</v>
      </c>
      <c r="AH292" s="324">
        <v>0</v>
      </c>
      <c r="AI292" s="324">
        <v>0</v>
      </c>
      <c r="AJ292" s="324">
        <v>0</v>
      </c>
      <c r="AK292" s="324">
        <v>0</v>
      </c>
      <c r="AL292" s="324">
        <v>0</v>
      </c>
      <c r="AM292" s="324">
        <v>0</v>
      </c>
      <c r="AN292" s="324">
        <v>0</v>
      </c>
      <c r="AO292" s="324">
        <v>0</v>
      </c>
      <c r="AP292" s="324">
        <v>0</v>
      </c>
      <c r="AQ292" s="324">
        <v>0</v>
      </c>
      <c r="AR292" s="324">
        <v>0</v>
      </c>
      <c r="AS292" s="324">
        <v>0</v>
      </c>
      <c r="AT292" s="140">
        <f t="shared" si="151"/>
        <v>0</v>
      </c>
      <c r="AU292" s="324">
        <v>0</v>
      </c>
      <c r="AV292" s="324">
        <v>0</v>
      </c>
      <c r="AW292" s="324">
        <v>0</v>
      </c>
      <c r="AX292" s="324">
        <v>0</v>
      </c>
      <c r="AY292" s="324">
        <v>0</v>
      </c>
      <c r="AZ292" s="324">
        <v>0</v>
      </c>
      <c r="BA292" s="324">
        <v>0</v>
      </c>
      <c r="BB292" s="324">
        <v>0</v>
      </c>
      <c r="BC292" s="324">
        <v>0</v>
      </c>
      <c r="BD292" s="324">
        <v>0</v>
      </c>
      <c r="BE292" s="324">
        <v>0</v>
      </c>
      <c r="BF292" s="324">
        <v>0</v>
      </c>
      <c r="BG292" s="140">
        <f t="shared" si="152"/>
        <v>0</v>
      </c>
      <c r="BH292" s="324">
        <v>0</v>
      </c>
      <c r="BI292" s="324">
        <v>0</v>
      </c>
      <c r="BJ292" s="324">
        <v>0</v>
      </c>
      <c r="BK292" s="324">
        <v>0</v>
      </c>
      <c r="BL292" s="324">
        <v>0</v>
      </c>
      <c r="BM292" s="324">
        <v>0</v>
      </c>
      <c r="BN292" s="324">
        <v>0</v>
      </c>
      <c r="BO292" s="324">
        <v>0</v>
      </c>
      <c r="BP292" s="324">
        <v>0</v>
      </c>
      <c r="BQ292" s="324">
        <v>0</v>
      </c>
      <c r="BR292" s="324">
        <v>0</v>
      </c>
      <c r="BS292" s="324">
        <v>0</v>
      </c>
      <c r="BT292" s="140">
        <f t="shared" si="153"/>
        <v>0</v>
      </c>
      <c r="BU292" s="114">
        <f t="shared" si="154"/>
        <v>97</v>
      </c>
      <c r="BV292" s="372">
        <v>1</v>
      </c>
      <c r="BW292" s="372">
        <v>1</v>
      </c>
      <c r="BX292" s="372">
        <v>1</v>
      </c>
      <c r="BY292" s="372">
        <v>-1</v>
      </c>
      <c r="BZ292" s="436">
        <f t="shared" si="167"/>
        <v>0</v>
      </c>
      <c r="CA292" s="428">
        <f t="shared" si="160"/>
        <v>63.304693048650563</v>
      </c>
      <c r="CB292" s="7" t="s">
        <v>1699</v>
      </c>
      <c r="CC292" s="3">
        <v>0</v>
      </c>
      <c r="CD292" s="3">
        <v>0</v>
      </c>
      <c r="CE292" s="3">
        <v>0</v>
      </c>
      <c r="CF292" s="3">
        <v>0</v>
      </c>
      <c r="CG292" s="3">
        <v>0</v>
      </c>
      <c r="CH292" s="3">
        <v>0</v>
      </c>
      <c r="CI292" s="3">
        <v>0</v>
      </c>
      <c r="CJ292" s="3">
        <v>1</v>
      </c>
      <c r="CK292" s="3">
        <v>0</v>
      </c>
      <c r="CL292" s="3">
        <v>0</v>
      </c>
      <c r="CM292" s="3">
        <v>0</v>
      </c>
      <c r="CN292" s="3">
        <v>0</v>
      </c>
      <c r="CO292" s="4">
        <f t="shared" si="161"/>
        <v>1</v>
      </c>
      <c r="CP292" s="3">
        <v>0</v>
      </c>
      <c r="CQ292" s="3">
        <v>0</v>
      </c>
      <c r="CR292" s="3">
        <v>0</v>
      </c>
      <c r="CS292" s="3">
        <v>0</v>
      </c>
      <c r="CT292" s="3">
        <v>0</v>
      </c>
      <c r="CU292" s="3">
        <v>0</v>
      </c>
      <c r="CV292" s="3">
        <v>0</v>
      </c>
      <c r="CW292" s="3">
        <v>0</v>
      </c>
      <c r="CX292" s="3">
        <v>0</v>
      </c>
      <c r="CY292" s="3">
        <v>0</v>
      </c>
      <c r="CZ292" s="3">
        <v>0</v>
      </c>
      <c r="DA292" s="3">
        <v>0</v>
      </c>
      <c r="DB292" s="4">
        <f t="shared" si="162"/>
        <v>0</v>
      </c>
      <c r="DC292" s="3">
        <v>0</v>
      </c>
      <c r="DD292" s="3">
        <v>0</v>
      </c>
      <c r="DE292" s="3">
        <v>0</v>
      </c>
      <c r="DF292" s="3">
        <v>0</v>
      </c>
      <c r="DG292" s="3">
        <v>0</v>
      </c>
      <c r="DH292" s="3">
        <v>0</v>
      </c>
      <c r="DI292" s="3">
        <v>0</v>
      </c>
      <c r="DJ292" s="3">
        <v>0</v>
      </c>
      <c r="DK292" s="3">
        <v>0</v>
      </c>
      <c r="DL292" s="3">
        <v>0</v>
      </c>
      <c r="DM292" s="3">
        <v>0</v>
      </c>
      <c r="DN292" s="3">
        <v>0</v>
      </c>
      <c r="DO292" s="4">
        <f t="shared" si="163"/>
        <v>0</v>
      </c>
      <c r="DP292" s="3">
        <v>0</v>
      </c>
      <c r="DQ292" s="3">
        <v>0</v>
      </c>
      <c r="DR292" s="3">
        <v>0</v>
      </c>
      <c r="DS292" s="3">
        <v>0</v>
      </c>
      <c r="DT292" s="3">
        <v>0</v>
      </c>
      <c r="DU292" s="3">
        <v>0</v>
      </c>
      <c r="DV292" s="3">
        <v>0</v>
      </c>
      <c r="DW292" s="3">
        <v>0</v>
      </c>
      <c r="DX292" s="3">
        <v>0</v>
      </c>
      <c r="DY292" s="3">
        <v>0</v>
      </c>
      <c r="DZ292" s="3">
        <v>0</v>
      </c>
      <c r="EA292" s="3">
        <v>0</v>
      </c>
      <c r="EB292" s="4">
        <f t="shared" si="164"/>
        <v>0</v>
      </c>
      <c r="EC292" s="3">
        <v>0</v>
      </c>
      <c r="ED292" s="3">
        <v>0</v>
      </c>
      <c r="EE292" s="3">
        <v>0</v>
      </c>
      <c r="EF292" s="3">
        <v>0</v>
      </c>
      <c r="EG292" s="3">
        <v>0</v>
      </c>
      <c r="EH292" s="3">
        <v>0</v>
      </c>
      <c r="EI292" s="3">
        <v>0</v>
      </c>
      <c r="EJ292" s="3">
        <v>0</v>
      </c>
      <c r="EK292" s="3">
        <v>0</v>
      </c>
      <c r="EL292" s="3">
        <v>0</v>
      </c>
      <c r="EM292" s="3">
        <v>0</v>
      </c>
      <c r="EN292" s="3">
        <v>0</v>
      </c>
      <c r="EO292" s="4">
        <f t="shared" si="165"/>
        <v>0</v>
      </c>
      <c r="EP292" s="8">
        <f t="shared" si="166"/>
        <v>1</v>
      </c>
      <c r="EQ292" s="181">
        <f>IFERROR(VLOOKUP(I292,CEI_012018!$A$1:$U$509,9,FALSE),0)</f>
        <v>0</v>
      </c>
      <c r="ER292" s="181">
        <f>IFERROR(VLOOKUP(I292,CEI_022018!$A$1:$U$509,9,FALSE),0)</f>
        <v>0</v>
      </c>
      <c r="ES292" s="181">
        <f>IFERROR(VLOOKUP(I292,CEI_032018!$A$1:$U$509,9,FALSE),0)</f>
        <v>0</v>
      </c>
      <c r="ET292" s="181">
        <f>IFERROR(VLOOKUP(I292,CEI_042018!$A$1:$U$491,9,FALSE),0)</f>
        <v>0</v>
      </c>
      <c r="EU292" s="181">
        <f>IFERROR(VLOOKUP(I292,CEI_052018!$A$1:$U$489,9,FALSE),0)</f>
        <v>0</v>
      </c>
      <c r="EV292" s="181">
        <f>IFERROR(VLOOKUP(I292,CEI_062018!$A$1:$U$489,9,FALSE),0)</f>
        <v>0</v>
      </c>
      <c r="EW292" s="181">
        <f>IFERROR(VLOOKUP(I292,CEI_072018!$A$1:$U$489,9,FALSE),0)</f>
        <v>0</v>
      </c>
      <c r="EX292" s="181">
        <f>IFERROR(VLOOKUP(I292,CEI_082018!$A$1:$U$489,9,FALSE),0)</f>
        <v>0</v>
      </c>
      <c r="EY292" s="181">
        <f>IFERROR(VLOOKUP(I292,CEI_092018!$A$1:$U$489,9,FALSE),0)</f>
        <v>0</v>
      </c>
      <c r="EZ292" s="181"/>
      <c r="FA292" s="181"/>
      <c r="FB292" s="181"/>
      <c r="FC292" s="181">
        <f>IFERROR(VLOOKUP(I292,CEI_092018!$A$1:$U$489,12,FALSE),0)</f>
        <v>34.817581176757813</v>
      </c>
      <c r="FD292" s="181">
        <f t="shared" si="155"/>
        <v>34.817581176757813</v>
      </c>
      <c r="FE292" s="181">
        <f t="shared" si="156"/>
        <v>20.182418823242188</v>
      </c>
      <c r="FF292"/>
      <c r="FG292"/>
      <c r="FH292"/>
      <c r="FI292"/>
      <c r="FJ292"/>
      <c r="FK292"/>
      <c r="FL292"/>
      <c r="FM292"/>
      <c r="FN292"/>
      <c r="FO292"/>
      <c r="FP292"/>
      <c r="FQ292"/>
      <c r="FR292"/>
      <c r="FS292"/>
      <c r="FT292"/>
      <c r="FU292"/>
      <c r="FV292"/>
      <c r="FW292"/>
      <c r="FX292"/>
      <c r="FY292"/>
      <c r="FZ292"/>
      <c r="GA292"/>
      <c r="GB292"/>
      <c r="GC292"/>
    </row>
    <row r="293" spans="1:185" ht="12.75" customHeight="1" x14ac:dyDescent="0.25">
      <c r="A293" s="202"/>
      <c r="B293" s="22" t="s">
        <v>57</v>
      </c>
      <c r="C293" s="34" t="s">
        <v>44</v>
      </c>
      <c r="D293" s="22" t="s">
        <v>1058</v>
      </c>
      <c r="E293" s="25" t="s">
        <v>1062</v>
      </c>
      <c r="F293" s="25" t="s">
        <v>488</v>
      </c>
      <c r="G293" s="25" t="s">
        <v>1849</v>
      </c>
      <c r="H293" s="22" t="s">
        <v>62</v>
      </c>
      <c r="I293" s="423" t="s">
        <v>565</v>
      </c>
      <c r="J293" s="37" t="s">
        <v>59</v>
      </c>
      <c r="K293" s="23" t="s">
        <v>808</v>
      </c>
      <c r="L293" s="23" t="s">
        <v>809</v>
      </c>
      <c r="M293" s="23" t="s">
        <v>810</v>
      </c>
      <c r="N293" s="23" t="s">
        <v>59</v>
      </c>
      <c r="O293" s="2">
        <v>0</v>
      </c>
      <c r="P293" s="2">
        <v>0</v>
      </c>
      <c r="Q293" s="2">
        <v>0</v>
      </c>
      <c r="R293" s="2">
        <v>0</v>
      </c>
      <c r="S293" s="2">
        <v>95</v>
      </c>
      <c r="T293" s="116">
        <f t="shared" si="143"/>
        <v>95</v>
      </c>
      <c r="U293" s="324">
        <v>0</v>
      </c>
      <c r="V293" s="324">
        <v>0</v>
      </c>
      <c r="W293" s="324">
        <v>0</v>
      </c>
      <c r="X293" s="324">
        <v>0</v>
      </c>
      <c r="Y293" s="324">
        <v>0</v>
      </c>
      <c r="Z293" s="324">
        <v>0</v>
      </c>
      <c r="AA293" s="324">
        <v>0</v>
      </c>
      <c r="AB293" s="324">
        <v>0</v>
      </c>
      <c r="AC293" s="324">
        <v>0</v>
      </c>
      <c r="AD293" s="324">
        <v>0</v>
      </c>
      <c r="AE293" s="324">
        <v>0</v>
      </c>
      <c r="AF293" s="324">
        <v>0</v>
      </c>
      <c r="AG293" s="140">
        <f t="shared" si="150"/>
        <v>0</v>
      </c>
      <c r="AH293" s="324">
        <v>0</v>
      </c>
      <c r="AI293" s="324">
        <v>0</v>
      </c>
      <c r="AJ293" s="324">
        <v>0</v>
      </c>
      <c r="AK293" s="324">
        <v>0</v>
      </c>
      <c r="AL293" s="324">
        <v>0</v>
      </c>
      <c r="AM293" s="324">
        <v>0</v>
      </c>
      <c r="AN293" s="324">
        <v>0</v>
      </c>
      <c r="AO293" s="324">
        <v>0</v>
      </c>
      <c r="AP293" s="324">
        <v>0</v>
      </c>
      <c r="AQ293" s="324">
        <v>0</v>
      </c>
      <c r="AR293" s="324">
        <v>0</v>
      </c>
      <c r="AS293" s="324">
        <v>0</v>
      </c>
      <c r="AT293" s="140">
        <f t="shared" si="151"/>
        <v>0</v>
      </c>
      <c r="AU293" s="324">
        <v>0</v>
      </c>
      <c r="AV293" s="324">
        <v>0</v>
      </c>
      <c r="AW293" s="324">
        <v>0</v>
      </c>
      <c r="AX293" s="324">
        <v>0</v>
      </c>
      <c r="AY293" s="324">
        <v>0</v>
      </c>
      <c r="AZ293" s="324">
        <v>0</v>
      </c>
      <c r="BA293" s="324">
        <v>0</v>
      </c>
      <c r="BB293" s="324">
        <v>0</v>
      </c>
      <c r="BC293" s="324">
        <v>0</v>
      </c>
      <c r="BD293" s="324">
        <v>0</v>
      </c>
      <c r="BE293" s="324">
        <v>0</v>
      </c>
      <c r="BF293" s="324">
        <v>0</v>
      </c>
      <c r="BG293" s="140">
        <f t="shared" si="152"/>
        <v>0</v>
      </c>
      <c r="BH293" s="324">
        <v>0</v>
      </c>
      <c r="BI293" s="324">
        <v>0</v>
      </c>
      <c r="BJ293" s="324">
        <v>0</v>
      </c>
      <c r="BK293" s="324">
        <v>0</v>
      </c>
      <c r="BL293" s="324">
        <v>0</v>
      </c>
      <c r="BM293" s="324">
        <v>0</v>
      </c>
      <c r="BN293" s="324">
        <v>0</v>
      </c>
      <c r="BO293" s="324">
        <v>0</v>
      </c>
      <c r="BP293" s="324">
        <v>0</v>
      </c>
      <c r="BQ293" s="324">
        <v>0</v>
      </c>
      <c r="BR293" s="324">
        <v>0</v>
      </c>
      <c r="BS293" s="324">
        <v>0</v>
      </c>
      <c r="BT293" s="140">
        <f t="shared" si="153"/>
        <v>0</v>
      </c>
      <c r="BU293" s="114">
        <f t="shared" si="154"/>
        <v>95</v>
      </c>
      <c r="BV293" s="372">
        <v>-1</v>
      </c>
      <c r="BW293" s="372">
        <v>-1</v>
      </c>
      <c r="BX293" s="372">
        <v>-1</v>
      </c>
      <c r="BY293" s="372">
        <v>-1</v>
      </c>
      <c r="BZ293" s="436">
        <f>IFERROR((EX293/T293%),0)</f>
        <v>0</v>
      </c>
      <c r="CA293" s="428">
        <f t="shared" si="160"/>
        <v>0</v>
      </c>
      <c r="CB293" s="7" t="s">
        <v>1702</v>
      </c>
      <c r="CC293" s="3">
        <v>0</v>
      </c>
      <c r="CD293" s="3">
        <v>0</v>
      </c>
      <c r="CE293" s="3">
        <v>0</v>
      </c>
      <c r="CF293" s="3">
        <v>0</v>
      </c>
      <c r="CG293" s="3">
        <v>0</v>
      </c>
      <c r="CH293" s="3">
        <v>0</v>
      </c>
      <c r="CI293" s="3">
        <v>0</v>
      </c>
      <c r="CJ293" s="3">
        <v>0</v>
      </c>
      <c r="CK293" s="3">
        <v>1</v>
      </c>
      <c r="CL293" s="3">
        <v>0</v>
      </c>
      <c r="CM293" s="3">
        <v>0</v>
      </c>
      <c r="CN293" s="3">
        <v>0</v>
      </c>
      <c r="CO293" s="4">
        <f t="shared" si="161"/>
        <v>1</v>
      </c>
      <c r="CP293" s="3">
        <v>0</v>
      </c>
      <c r="CQ293" s="3">
        <v>0</v>
      </c>
      <c r="CR293" s="3">
        <v>0</v>
      </c>
      <c r="CS293" s="3">
        <v>0</v>
      </c>
      <c r="CT293" s="3">
        <v>0</v>
      </c>
      <c r="CU293" s="3">
        <v>0</v>
      </c>
      <c r="CV293" s="3">
        <v>0</v>
      </c>
      <c r="CW293" s="3">
        <v>0</v>
      </c>
      <c r="CX293" s="3">
        <v>0</v>
      </c>
      <c r="CY293" s="3">
        <v>0</v>
      </c>
      <c r="CZ293" s="3">
        <v>0</v>
      </c>
      <c r="DA293" s="3">
        <v>0</v>
      </c>
      <c r="DB293" s="4">
        <f t="shared" si="162"/>
        <v>0</v>
      </c>
      <c r="DC293" s="3">
        <v>0</v>
      </c>
      <c r="DD293" s="3">
        <v>0</v>
      </c>
      <c r="DE293" s="3">
        <v>0</v>
      </c>
      <c r="DF293" s="3">
        <v>0</v>
      </c>
      <c r="DG293" s="3">
        <v>0</v>
      </c>
      <c r="DH293" s="3">
        <v>0</v>
      </c>
      <c r="DI293" s="3">
        <v>0</v>
      </c>
      <c r="DJ293" s="3">
        <v>0</v>
      </c>
      <c r="DK293" s="3">
        <v>0</v>
      </c>
      <c r="DL293" s="3">
        <v>0</v>
      </c>
      <c r="DM293" s="3">
        <v>0</v>
      </c>
      <c r="DN293" s="3">
        <v>0</v>
      </c>
      <c r="DO293" s="4">
        <f t="shared" si="163"/>
        <v>0</v>
      </c>
      <c r="DP293" s="3">
        <v>0</v>
      </c>
      <c r="DQ293" s="3">
        <v>0</v>
      </c>
      <c r="DR293" s="3">
        <v>0</v>
      </c>
      <c r="DS293" s="3">
        <v>0</v>
      </c>
      <c r="DT293" s="3">
        <v>0</v>
      </c>
      <c r="DU293" s="3">
        <v>0</v>
      </c>
      <c r="DV293" s="3">
        <v>0</v>
      </c>
      <c r="DW293" s="3">
        <v>0</v>
      </c>
      <c r="DX293" s="3">
        <v>0</v>
      </c>
      <c r="DY293" s="3">
        <v>0</v>
      </c>
      <c r="DZ293" s="3">
        <v>0</v>
      </c>
      <c r="EA293" s="3">
        <v>0</v>
      </c>
      <c r="EB293" s="4">
        <f t="shared" si="164"/>
        <v>0</v>
      </c>
      <c r="EC293" s="3">
        <v>0</v>
      </c>
      <c r="ED293" s="3">
        <v>0</v>
      </c>
      <c r="EE293" s="3">
        <v>0</v>
      </c>
      <c r="EF293" s="3">
        <v>0</v>
      </c>
      <c r="EG293" s="3">
        <v>0</v>
      </c>
      <c r="EH293" s="3">
        <v>0</v>
      </c>
      <c r="EI293" s="3">
        <v>0</v>
      </c>
      <c r="EJ293" s="3">
        <v>0</v>
      </c>
      <c r="EK293" s="3">
        <v>0</v>
      </c>
      <c r="EL293" s="3">
        <v>0</v>
      </c>
      <c r="EM293" s="3">
        <v>0</v>
      </c>
      <c r="EN293" s="3">
        <v>0</v>
      </c>
      <c r="EO293" s="4">
        <f t="shared" si="165"/>
        <v>0</v>
      </c>
      <c r="EP293" s="8">
        <f t="shared" si="166"/>
        <v>1</v>
      </c>
      <c r="EQ293" s="181">
        <f>IFERROR(VLOOKUP(I293,CEI_012018!$A$1:$U$509,9,FALSE),0)</f>
        <v>0</v>
      </c>
      <c r="ER293" s="181">
        <f>IFERROR(VLOOKUP(I293,CEI_022018!$A$1:$U$509,9,FALSE),0)</f>
        <v>0</v>
      </c>
      <c r="ES293" s="181">
        <f>IFERROR(VLOOKUP(I293,CEI_032018!$A$1:$U$509,9,FALSE),0)</f>
        <v>0</v>
      </c>
      <c r="ET293" s="181">
        <f>IFERROR(VLOOKUP(I293,CEI_042018!$A$1:$U$491,9,FALSE),0)</f>
        <v>0</v>
      </c>
      <c r="EU293" s="181">
        <f>IFERROR(VLOOKUP(I293,CEI_052018!$A$1:$U$489,9,FALSE),0)</f>
        <v>0</v>
      </c>
      <c r="EV293" s="181">
        <f>IFERROR(VLOOKUP(I293,CEI_062018!$A$1:$U$489,9,FALSE),0)</f>
        <v>0</v>
      </c>
      <c r="EW293" s="181">
        <f>IFERROR(VLOOKUP(I293,CEI_072018!$A$1:$U$489,9,FALSE),0)</f>
        <v>0</v>
      </c>
      <c r="EX293" s="181">
        <f>IFERROR(VLOOKUP(I293,CEI_082018!$A$1:$U$489,9,FALSE),0)</f>
        <v>0</v>
      </c>
      <c r="EY293" s="181">
        <f>IFERROR(VLOOKUP(I293,CEI_092018!$A$1:$U$489,9,FALSE),0)</f>
        <v>0</v>
      </c>
      <c r="EZ293" s="181"/>
      <c r="FA293" s="181"/>
      <c r="FB293" s="181"/>
      <c r="FC293" s="181">
        <f>IFERROR(VLOOKUP(I293,CEI_092018!$A$1:$U$489,12,FALSE),0)</f>
        <v>0</v>
      </c>
      <c r="FD293" s="181">
        <f t="shared" si="155"/>
        <v>0</v>
      </c>
      <c r="FE293" s="181">
        <f t="shared" si="156"/>
        <v>95</v>
      </c>
      <c r="FF293"/>
      <c r="FG293"/>
      <c r="FH293"/>
      <c r="FI293"/>
      <c r="FJ293"/>
      <c r="FK293"/>
      <c r="FL293"/>
      <c r="FM293"/>
      <c r="FN293"/>
      <c r="FO293"/>
      <c r="FP293"/>
      <c r="FQ293"/>
      <c r="FR293"/>
      <c r="FS293"/>
      <c r="FT293"/>
      <c r="FU293"/>
      <c r="FV293"/>
      <c r="FW293"/>
      <c r="FX293"/>
      <c r="FY293"/>
      <c r="FZ293"/>
      <c r="GA293"/>
      <c r="GB293"/>
      <c r="GC293"/>
    </row>
    <row r="294" spans="1:185" ht="12.75" customHeight="1" x14ac:dyDescent="0.25">
      <c r="A294" s="202"/>
      <c r="B294" s="22" t="s">
        <v>57</v>
      </c>
      <c r="C294" s="34" t="s">
        <v>44</v>
      </c>
      <c r="D294" s="22" t="s">
        <v>1059</v>
      </c>
      <c r="E294" s="25" t="s">
        <v>1063</v>
      </c>
      <c r="F294" s="25" t="s">
        <v>1855</v>
      </c>
      <c r="G294" s="25" t="s">
        <v>1856</v>
      </c>
      <c r="H294" s="22" t="s">
        <v>56</v>
      </c>
      <c r="I294" s="423" t="s">
        <v>1980</v>
      </c>
      <c r="J294" s="37"/>
      <c r="K294" s="23" t="s">
        <v>1789</v>
      </c>
      <c r="L294" s="23"/>
      <c r="M294" s="23"/>
      <c r="N294" s="23" t="s">
        <v>1873</v>
      </c>
      <c r="O294" s="2">
        <v>0</v>
      </c>
      <c r="P294" s="2">
        <v>0</v>
      </c>
      <c r="Q294" s="2">
        <v>15</v>
      </c>
      <c r="R294" s="2">
        <v>15</v>
      </c>
      <c r="S294" s="2">
        <v>20</v>
      </c>
      <c r="T294" s="116">
        <f t="shared" si="143"/>
        <v>50</v>
      </c>
      <c r="U294" s="324">
        <v>0</v>
      </c>
      <c r="V294" s="324">
        <v>0</v>
      </c>
      <c r="W294" s="324">
        <v>10</v>
      </c>
      <c r="X294" s="324">
        <v>0</v>
      </c>
      <c r="Y294" s="324">
        <v>5</v>
      </c>
      <c r="Z294" s="324">
        <v>0</v>
      </c>
      <c r="AA294" s="324">
        <v>5</v>
      </c>
      <c r="AB294" s="324">
        <v>0</v>
      </c>
      <c r="AC294" s="324">
        <v>0</v>
      </c>
      <c r="AD294" s="324">
        <v>0</v>
      </c>
      <c r="AE294" s="324">
        <v>0</v>
      </c>
      <c r="AF294" s="324">
        <v>0</v>
      </c>
      <c r="AG294" s="140">
        <f t="shared" si="150"/>
        <v>20</v>
      </c>
      <c r="AH294" s="324">
        <v>10</v>
      </c>
      <c r="AI294" s="324">
        <v>0</v>
      </c>
      <c r="AJ294" s="324">
        <v>5</v>
      </c>
      <c r="AK294" s="324">
        <v>0</v>
      </c>
      <c r="AL294" s="324">
        <v>5</v>
      </c>
      <c r="AM294" s="324">
        <v>0</v>
      </c>
      <c r="AN294" s="324">
        <v>0</v>
      </c>
      <c r="AO294" s="324">
        <v>0</v>
      </c>
      <c r="AP294" s="324">
        <v>0</v>
      </c>
      <c r="AQ294" s="324">
        <v>0</v>
      </c>
      <c r="AR294" s="324">
        <v>0</v>
      </c>
      <c r="AS294" s="324">
        <v>0</v>
      </c>
      <c r="AT294" s="140">
        <f t="shared" si="151"/>
        <v>20</v>
      </c>
      <c r="AU294" s="324">
        <v>0</v>
      </c>
      <c r="AV294" s="324">
        <v>0</v>
      </c>
      <c r="AW294" s="324">
        <v>0</v>
      </c>
      <c r="AX294" s="324">
        <v>0</v>
      </c>
      <c r="AY294" s="324">
        <v>0</v>
      </c>
      <c r="AZ294" s="324">
        <v>0</v>
      </c>
      <c r="BA294" s="324">
        <v>0</v>
      </c>
      <c r="BB294" s="324">
        <v>0</v>
      </c>
      <c r="BC294" s="324">
        <v>0</v>
      </c>
      <c r="BD294" s="324">
        <v>0</v>
      </c>
      <c r="BE294" s="324">
        <v>0</v>
      </c>
      <c r="BF294" s="324">
        <v>0</v>
      </c>
      <c r="BG294" s="140">
        <f t="shared" si="152"/>
        <v>0</v>
      </c>
      <c r="BH294" s="324"/>
      <c r="BI294" s="324"/>
      <c r="BJ294" s="324"/>
      <c r="BK294" s="324"/>
      <c r="BL294" s="324"/>
      <c r="BM294" s="324"/>
      <c r="BN294" s="324"/>
      <c r="BO294" s="324"/>
      <c r="BP294" s="324"/>
      <c r="BQ294" s="324"/>
      <c r="BR294" s="324"/>
      <c r="BS294" s="324"/>
      <c r="BT294" s="140">
        <f t="shared" si="153"/>
        <v>0</v>
      </c>
      <c r="BU294" s="114">
        <f t="shared" si="154"/>
        <v>90</v>
      </c>
      <c r="BV294" s="372">
        <v>-1</v>
      </c>
      <c r="BW294" s="372">
        <v>-1</v>
      </c>
      <c r="BX294" s="372">
        <v>-1</v>
      </c>
      <c r="BY294" s="372">
        <v>-1</v>
      </c>
      <c r="BZ294" s="436">
        <f>IFERROR((EX294/T294%),0)</f>
        <v>0</v>
      </c>
      <c r="CA294" s="428">
        <f t="shared" si="160"/>
        <v>100</v>
      </c>
      <c r="CB294" s="7" t="s">
        <v>1699</v>
      </c>
      <c r="CC294" s="3">
        <v>0</v>
      </c>
      <c r="CD294" s="3">
        <v>0</v>
      </c>
      <c r="CE294" s="3">
        <v>0</v>
      </c>
      <c r="CF294" s="3">
        <v>0</v>
      </c>
      <c r="CG294" s="3">
        <v>0</v>
      </c>
      <c r="CH294" s="3">
        <v>0</v>
      </c>
      <c r="CI294" s="3">
        <v>0</v>
      </c>
      <c r="CJ294" s="3">
        <v>0</v>
      </c>
      <c r="CK294" s="3">
        <v>0</v>
      </c>
      <c r="CL294" s="3">
        <v>0</v>
      </c>
      <c r="CM294" s="3">
        <v>0</v>
      </c>
      <c r="CN294" s="3">
        <v>1</v>
      </c>
      <c r="CO294" s="4">
        <f t="shared" si="161"/>
        <v>1</v>
      </c>
      <c r="CP294" s="3">
        <v>0</v>
      </c>
      <c r="CQ294" s="3">
        <v>0</v>
      </c>
      <c r="CR294" s="3">
        <v>0</v>
      </c>
      <c r="CS294" s="3">
        <v>0</v>
      </c>
      <c r="CT294" s="3">
        <v>0</v>
      </c>
      <c r="CU294" s="3">
        <v>1</v>
      </c>
      <c r="CV294" s="3">
        <v>0</v>
      </c>
      <c r="CW294" s="3">
        <v>0</v>
      </c>
      <c r="CX294" s="3">
        <v>0</v>
      </c>
      <c r="CY294" s="3">
        <v>0</v>
      </c>
      <c r="CZ294" s="3">
        <v>0</v>
      </c>
      <c r="DA294" s="3">
        <v>0</v>
      </c>
      <c r="DB294" s="4">
        <f t="shared" si="162"/>
        <v>1</v>
      </c>
      <c r="DC294" s="3">
        <v>0</v>
      </c>
      <c r="DD294" s="3">
        <v>0</v>
      </c>
      <c r="DE294" s="3">
        <v>0</v>
      </c>
      <c r="DF294" s="3">
        <v>0</v>
      </c>
      <c r="DG294" s="3">
        <v>0</v>
      </c>
      <c r="DH294" s="3">
        <v>1</v>
      </c>
      <c r="DI294" s="3">
        <v>0</v>
      </c>
      <c r="DJ294" s="3">
        <v>0</v>
      </c>
      <c r="DK294" s="3">
        <v>0</v>
      </c>
      <c r="DL294" s="3">
        <v>0</v>
      </c>
      <c r="DM294" s="3">
        <v>0</v>
      </c>
      <c r="DN294" s="3">
        <v>0</v>
      </c>
      <c r="DO294" s="4">
        <f t="shared" si="163"/>
        <v>1</v>
      </c>
      <c r="DP294" s="3">
        <v>0</v>
      </c>
      <c r="DQ294" s="3">
        <v>0</v>
      </c>
      <c r="DR294" s="3">
        <v>0</v>
      </c>
      <c r="DS294" s="3">
        <v>0</v>
      </c>
      <c r="DT294" s="3">
        <v>0</v>
      </c>
      <c r="DU294" s="3">
        <v>0</v>
      </c>
      <c r="DV294" s="3">
        <v>0</v>
      </c>
      <c r="DW294" s="3">
        <v>0</v>
      </c>
      <c r="DX294" s="3">
        <v>0</v>
      </c>
      <c r="DY294" s="3">
        <v>0</v>
      </c>
      <c r="DZ294" s="3">
        <v>0</v>
      </c>
      <c r="EA294" s="3">
        <v>0</v>
      </c>
      <c r="EB294" s="4">
        <f t="shared" si="164"/>
        <v>0</v>
      </c>
      <c r="EC294" s="3">
        <v>0</v>
      </c>
      <c r="ED294" s="3">
        <v>0</v>
      </c>
      <c r="EE294" s="3">
        <v>0</v>
      </c>
      <c r="EF294" s="3">
        <v>0</v>
      </c>
      <c r="EG294" s="3">
        <v>0</v>
      </c>
      <c r="EH294" s="3">
        <v>0</v>
      </c>
      <c r="EI294" s="3">
        <v>0</v>
      </c>
      <c r="EJ294" s="3">
        <v>0</v>
      </c>
      <c r="EK294" s="3">
        <v>0</v>
      </c>
      <c r="EL294" s="3">
        <v>0</v>
      </c>
      <c r="EM294" s="3">
        <v>0</v>
      </c>
      <c r="EN294" s="3">
        <v>0</v>
      </c>
      <c r="EO294" s="4">
        <f t="shared" si="165"/>
        <v>0</v>
      </c>
      <c r="EP294" s="8">
        <f t="shared" si="166"/>
        <v>3</v>
      </c>
      <c r="EQ294" s="181">
        <f>IFERROR(VLOOKUP(I294,CEI_012018!$A$1:$U$509,9,FALSE),0)</f>
        <v>0</v>
      </c>
      <c r="ER294" s="181">
        <f>IFERROR(VLOOKUP(I294,CEI_022018!$A$1:$U$509,9,FALSE),0)</f>
        <v>0</v>
      </c>
      <c r="ES294" s="181">
        <f>IFERROR(VLOOKUP(I294,CEI_032018!$A$1:$U$509,9,FALSE),0)</f>
        <v>0</v>
      </c>
      <c r="ET294" s="181">
        <f>IFERROR(VLOOKUP(I294,CEI_042018!$A$1:$U$491,9,FALSE),0)</f>
        <v>0</v>
      </c>
      <c r="EU294" s="181">
        <f>IFERROR(VLOOKUP(I294,CEI_052018!$A$1:$U$489,9,FALSE),0)</f>
        <v>0</v>
      </c>
      <c r="EV294" s="181">
        <f>IFERROR(VLOOKUP(I294,CEI_062018!$A$1:$U$489,9,FALSE),0)</f>
        <v>0</v>
      </c>
      <c r="EW294" s="181">
        <f>IFERROR(VLOOKUP(I294,CEI_072018!$A$1:$U$489,9,FALSE),0)</f>
        <v>0</v>
      </c>
      <c r="EX294" s="181">
        <f>IFERROR(VLOOKUP(I294,CEI_082018!$A$1:$U$489,9,FALSE),0)</f>
        <v>0</v>
      </c>
      <c r="EY294" s="181">
        <f>IFERROR(VLOOKUP(I294,CEI_092018!$A$1:$U$489,9,FALSE),0)</f>
        <v>0</v>
      </c>
      <c r="EZ294" s="181"/>
      <c r="FA294" s="181"/>
      <c r="FB294" s="181"/>
      <c r="FC294" s="181">
        <f>IFERROR(VLOOKUP(I294,CEI_092018!$A$1:$U$489,12,FALSE),0)</f>
        <v>50</v>
      </c>
      <c r="FD294" s="181">
        <f t="shared" si="155"/>
        <v>50</v>
      </c>
      <c r="FE294" s="181">
        <f t="shared" si="156"/>
        <v>0</v>
      </c>
      <c r="FF294"/>
      <c r="FG294"/>
      <c r="FH294"/>
      <c r="FI294"/>
      <c r="FJ294"/>
      <c r="FK294"/>
      <c r="FL294"/>
      <c r="FM294"/>
      <c r="FN294"/>
      <c r="FO294"/>
      <c r="FP294"/>
      <c r="FQ294"/>
      <c r="FR294"/>
      <c r="FS294"/>
      <c r="FT294"/>
      <c r="FU294"/>
      <c r="FV294"/>
      <c r="FW294"/>
      <c r="FX294"/>
      <c r="FY294"/>
      <c r="FZ294"/>
      <c r="GA294"/>
      <c r="GB294"/>
      <c r="GC294"/>
    </row>
    <row r="295" spans="1:185" ht="12.75" customHeight="1" x14ac:dyDescent="0.25">
      <c r="A295" s="202"/>
      <c r="B295" s="22" t="s">
        <v>57</v>
      </c>
      <c r="C295" s="34" t="s">
        <v>44</v>
      </c>
      <c r="D295" s="22" t="s">
        <v>1058</v>
      </c>
      <c r="E295" s="25" t="s">
        <v>1062</v>
      </c>
      <c r="F295" s="25" t="s">
        <v>488</v>
      </c>
      <c r="G295" s="25" t="s">
        <v>1849</v>
      </c>
      <c r="H295" s="22" t="s">
        <v>62</v>
      </c>
      <c r="I295" s="423" t="s">
        <v>565</v>
      </c>
      <c r="J295" s="37" t="s">
        <v>59</v>
      </c>
      <c r="K295" s="23" t="s">
        <v>805</v>
      </c>
      <c r="L295" s="23" t="s">
        <v>806</v>
      </c>
      <c r="M295" s="23" t="s">
        <v>807</v>
      </c>
      <c r="N295" s="23" t="s">
        <v>59</v>
      </c>
      <c r="O295" s="2">
        <v>0</v>
      </c>
      <c r="P295" s="2">
        <v>0</v>
      </c>
      <c r="Q295" s="2">
        <v>0</v>
      </c>
      <c r="R295" s="2">
        <v>0</v>
      </c>
      <c r="S295" s="2">
        <v>72</v>
      </c>
      <c r="T295" s="116">
        <f t="shared" si="143"/>
        <v>72</v>
      </c>
      <c r="U295" s="324">
        <v>0</v>
      </c>
      <c r="V295" s="324">
        <v>0</v>
      </c>
      <c r="W295" s="324">
        <v>0</v>
      </c>
      <c r="X295" s="324">
        <v>0</v>
      </c>
      <c r="Y295" s="324">
        <v>0</v>
      </c>
      <c r="Z295" s="324">
        <v>0</v>
      </c>
      <c r="AA295" s="324">
        <v>0</v>
      </c>
      <c r="AB295" s="324">
        <v>0</v>
      </c>
      <c r="AC295" s="324">
        <v>0</v>
      </c>
      <c r="AD295" s="324">
        <v>0</v>
      </c>
      <c r="AE295" s="324">
        <v>0</v>
      </c>
      <c r="AF295" s="324">
        <v>0</v>
      </c>
      <c r="AG295" s="140">
        <f t="shared" si="150"/>
        <v>0</v>
      </c>
      <c r="AH295" s="324">
        <v>0</v>
      </c>
      <c r="AI295" s="324">
        <v>0</v>
      </c>
      <c r="AJ295" s="324">
        <v>0</v>
      </c>
      <c r="AK295" s="324">
        <v>0</v>
      </c>
      <c r="AL295" s="324">
        <v>0</v>
      </c>
      <c r="AM295" s="324">
        <v>0</v>
      </c>
      <c r="AN295" s="324">
        <v>0</v>
      </c>
      <c r="AO295" s="324">
        <v>0</v>
      </c>
      <c r="AP295" s="324">
        <v>0</v>
      </c>
      <c r="AQ295" s="324">
        <v>0</v>
      </c>
      <c r="AR295" s="324">
        <v>0</v>
      </c>
      <c r="AS295" s="324">
        <v>0</v>
      </c>
      <c r="AT295" s="140">
        <f t="shared" si="151"/>
        <v>0</v>
      </c>
      <c r="AU295" s="324">
        <v>0</v>
      </c>
      <c r="AV295" s="324">
        <v>0</v>
      </c>
      <c r="AW295" s="324">
        <v>0</v>
      </c>
      <c r="AX295" s="324">
        <v>0</v>
      </c>
      <c r="AY295" s="324">
        <v>0</v>
      </c>
      <c r="AZ295" s="324">
        <v>0</v>
      </c>
      <c r="BA295" s="324">
        <v>0</v>
      </c>
      <c r="BB295" s="324">
        <v>0</v>
      </c>
      <c r="BC295" s="324">
        <v>0</v>
      </c>
      <c r="BD295" s="324">
        <v>0</v>
      </c>
      <c r="BE295" s="324">
        <v>0</v>
      </c>
      <c r="BF295" s="324">
        <v>0</v>
      </c>
      <c r="BG295" s="140">
        <f t="shared" si="152"/>
        <v>0</v>
      </c>
      <c r="BH295" s="324">
        <v>0</v>
      </c>
      <c r="BI295" s="324">
        <v>0</v>
      </c>
      <c r="BJ295" s="324">
        <v>0</v>
      </c>
      <c r="BK295" s="324">
        <v>0</v>
      </c>
      <c r="BL295" s="324">
        <v>0</v>
      </c>
      <c r="BM295" s="324">
        <v>0</v>
      </c>
      <c r="BN295" s="324">
        <v>0</v>
      </c>
      <c r="BO295" s="324">
        <v>0</v>
      </c>
      <c r="BP295" s="324">
        <v>0</v>
      </c>
      <c r="BQ295" s="324">
        <v>0</v>
      </c>
      <c r="BR295" s="324">
        <v>0</v>
      </c>
      <c r="BS295" s="324">
        <v>0</v>
      </c>
      <c r="BT295" s="140">
        <f t="shared" si="153"/>
        <v>0</v>
      </c>
      <c r="BU295" s="114">
        <f t="shared" si="154"/>
        <v>72</v>
      </c>
      <c r="BV295" s="372">
        <v>-1</v>
      </c>
      <c r="BW295" s="372">
        <v>-1</v>
      </c>
      <c r="BX295" s="372">
        <v>-1</v>
      </c>
      <c r="BY295" s="372">
        <v>-1</v>
      </c>
      <c r="BZ295" s="436">
        <f>IFERROR((EX295/T295%),0)</f>
        <v>0</v>
      </c>
      <c r="CA295" s="428">
        <f t="shared" si="160"/>
        <v>0</v>
      </c>
      <c r="CB295" s="7" t="s">
        <v>1702</v>
      </c>
      <c r="CC295" s="3">
        <v>0</v>
      </c>
      <c r="CD295" s="3">
        <v>0</v>
      </c>
      <c r="CE295" s="3">
        <v>0</v>
      </c>
      <c r="CF295" s="3">
        <v>0</v>
      </c>
      <c r="CG295" s="3">
        <v>0</v>
      </c>
      <c r="CH295" s="3">
        <v>0</v>
      </c>
      <c r="CI295" s="3">
        <v>0</v>
      </c>
      <c r="CJ295" s="3">
        <v>0</v>
      </c>
      <c r="CK295" s="3">
        <v>1</v>
      </c>
      <c r="CL295" s="3">
        <v>0</v>
      </c>
      <c r="CM295" s="3">
        <v>0</v>
      </c>
      <c r="CN295" s="3">
        <v>0</v>
      </c>
      <c r="CO295" s="4">
        <f t="shared" si="161"/>
        <v>1</v>
      </c>
      <c r="CP295" s="3">
        <v>0</v>
      </c>
      <c r="CQ295" s="3">
        <v>0</v>
      </c>
      <c r="CR295" s="3">
        <v>0</v>
      </c>
      <c r="CS295" s="3">
        <v>0</v>
      </c>
      <c r="CT295" s="3">
        <v>0</v>
      </c>
      <c r="CU295" s="3">
        <v>0</v>
      </c>
      <c r="CV295" s="3">
        <v>0</v>
      </c>
      <c r="CW295" s="3">
        <v>0</v>
      </c>
      <c r="CX295" s="3">
        <v>0</v>
      </c>
      <c r="CY295" s="3">
        <v>0</v>
      </c>
      <c r="CZ295" s="3">
        <v>0</v>
      </c>
      <c r="DA295" s="3">
        <v>0</v>
      </c>
      <c r="DB295" s="4">
        <f t="shared" si="162"/>
        <v>0</v>
      </c>
      <c r="DC295" s="3">
        <v>0</v>
      </c>
      <c r="DD295" s="3">
        <v>0</v>
      </c>
      <c r="DE295" s="3">
        <v>0</v>
      </c>
      <c r="DF295" s="3">
        <v>0</v>
      </c>
      <c r="DG295" s="3">
        <v>0</v>
      </c>
      <c r="DH295" s="3">
        <v>0</v>
      </c>
      <c r="DI295" s="3">
        <v>0</v>
      </c>
      <c r="DJ295" s="3">
        <v>0</v>
      </c>
      <c r="DK295" s="3">
        <v>0</v>
      </c>
      <c r="DL295" s="3">
        <v>0</v>
      </c>
      <c r="DM295" s="3">
        <v>0</v>
      </c>
      <c r="DN295" s="3">
        <v>0</v>
      </c>
      <c r="DO295" s="4">
        <f t="shared" si="163"/>
        <v>0</v>
      </c>
      <c r="DP295" s="3">
        <v>0</v>
      </c>
      <c r="DQ295" s="3">
        <v>0</v>
      </c>
      <c r="DR295" s="3">
        <v>0</v>
      </c>
      <c r="DS295" s="3">
        <v>0</v>
      </c>
      <c r="DT295" s="3">
        <v>0</v>
      </c>
      <c r="DU295" s="3">
        <v>0</v>
      </c>
      <c r="DV295" s="3">
        <v>0</v>
      </c>
      <c r="DW295" s="3">
        <v>0</v>
      </c>
      <c r="DX295" s="3">
        <v>0</v>
      </c>
      <c r="DY295" s="3">
        <v>0</v>
      </c>
      <c r="DZ295" s="3">
        <v>0</v>
      </c>
      <c r="EA295" s="3">
        <v>0</v>
      </c>
      <c r="EB295" s="4">
        <f t="shared" si="164"/>
        <v>0</v>
      </c>
      <c r="EC295" s="3">
        <v>0</v>
      </c>
      <c r="ED295" s="3">
        <v>0</v>
      </c>
      <c r="EE295" s="3">
        <v>0</v>
      </c>
      <c r="EF295" s="3">
        <v>0</v>
      </c>
      <c r="EG295" s="3">
        <v>0</v>
      </c>
      <c r="EH295" s="3">
        <v>0</v>
      </c>
      <c r="EI295" s="3">
        <v>0</v>
      </c>
      <c r="EJ295" s="3">
        <v>0</v>
      </c>
      <c r="EK295" s="3">
        <v>0</v>
      </c>
      <c r="EL295" s="3">
        <v>0</v>
      </c>
      <c r="EM295" s="3">
        <v>0</v>
      </c>
      <c r="EN295" s="3">
        <v>0</v>
      </c>
      <c r="EO295" s="4">
        <f t="shared" si="165"/>
        <v>0</v>
      </c>
      <c r="EP295" s="8">
        <f t="shared" si="166"/>
        <v>1</v>
      </c>
      <c r="EQ295" s="181">
        <f>IFERROR(VLOOKUP(I295,CEI_012018!$A$1:$U$509,9,FALSE),0)</f>
        <v>0</v>
      </c>
      <c r="ER295" s="181">
        <f>IFERROR(VLOOKUP(I295,CEI_022018!$A$1:$U$509,9,FALSE),0)</f>
        <v>0</v>
      </c>
      <c r="ES295" s="181">
        <f>IFERROR(VLOOKUP(I295,CEI_032018!$A$1:$U$509,9,FALSE),0)</f>
        <v>0</v>
      </c>
      <c r="ET295" s="181">
        <f>IFERROR(VLOOKUP(I295,CEI_042018!$A$1:$U$491,9,FALSE),0)</f>
        <v>0</v>
      </c>
      <c r="EU295" s="181">
        <f>IFERROR(VLOOKUP(I295,CEI_052018!$A$1:$U$489,9,FALSE),0)</f>
        <v>0</v>
      </c>
      <c r="EV295" s="181">
        <f>IFERROR(VLOOKUP(I295,CEI_062018!$A$1:$U$489,9,FALSE),0)</f>
        <v>0</v>
      </c>
      <c r="EW295" s="181">
        <f>IFERROR(VLOOKUP(I295,CEI_072018!$A$1:$U$489,9,FALSE),0)</f>
        <v>0</v>
      </c>
      <c r="EX295" s="181">
        <f>IFERROR(VLOOKUP(I295,CEI_082018!$A$1:$U$489,9,FALSE),0)</f>
        <v>0</v>
      </c>
      <c r="EY295" s="181">
        <f>IFERROR(VLOOKUP(I295,CEI_092018!$A$1:$U$489,9,FALSE),0)</f>
        <v>0</v>
      </c>
      <c r="EZ295" s="181"/>
      <c r="FA295" s="181"/>
      <c r="FB295" s="181"/>
      <c r="FC295" s="181">
        <f>IFERROR(VLOOKUP(I295,CEI_092018!$A$1:$U$489,12,FALSE),0)</f>
        <v>0</v>
      </c>
      <c r="FD295" s="181">
        <f t="shared" si="155"/>
        <v>0</v>
      </c>
      <c r="FE295" s="181">
        <f t="shared" si="156"/>
        <v>72</v>
      </c>
      <c r="FF295"/>
      <c r="FG295"/>
      <c r="FH295"/>
      <c r="FI295"/>
      <c r="FJ295"/>
      <c r="FK295"/>
      <c r="FL295"/>
      <c r="FM295"/>
      <c r="FN295"/>
      <c r="FO295"/>
      <c r="FP295"/>
      <c r="FQ295"/>
      <c r="FR295"/>
      <c r="FS295"/>
      <c r="FT295"/>
      <c r="FU295"/>
      <c r="FV295"/>
      <c r="FW295"/>
      <c r="FX295"/>
      <c r="FY295"/>
      <c r="FZ295"/>
      <c r="GA295"/>
      <c r="GB295"/>
      <c r="GC295"/>
    </row>
    <row r="296" spans="1:185" ht="12.75" customHeight="1" x14ac:dyDescent="0.25">
      <c r="A296" s="202"/>
      <c r="B296" s="22" t="s">
        <v>57</v>
      </c>
      <c r="C296" s="34" t="s">
        <v>44</v>
      </c>
      <c r="D296" s="22" t="s">
        <v>1058</v>
      </c>
      <c r="E296" s="25" t="s">
        <v>1062</v>
      </c>
      <c r="F296" s="25" t="s">
        <v>495</v>
      </c>
      <c r="G296" s="25" t="s">
        <v>496</v>
      </c>
      <c r="H296" s="22" t="s">
        <v>62</v>
      </c>
      <c r="I296" s="423" t="s">
        <v>1915</v>
      </c>
      <c r="J296" s="37" t="s">
        <v>59</v>
      </c>
      <c r="K296" s="23" t="s">
        <v>1149</v>
      </c>
      <c r="L296" s="23" t="s">
        <v>528</v>
      </c>
      <c r="M296" s="23" t="s">
        <v>529</v>
      </c>
      <c r="N296" s="23" t="s">
        <v>1865</v>
      </c>
      <c r="O296" s="2">
        <v>0</v>
      </c>
      <c r="P296" s="2">
        <v>0</v>
      </c>
      <c r="Q296" s="2">
        <v>70</v>
      </c>
      <c r="R296" s="2">
        <v>0</v>
      </c>
      <c r="S296" s="2">
        <v>0</v>
      </c>
      <c r="T296" s="116">
        <f t="shared" si="143"/>
        <v>70</v>
      </c>
      <c r="U296" s="324">
        <v>0</v>
      </c>
      <c r="V296" s="324">
        <v>0</v>
      </c>
      <c r="W296" s="324">
        <v>0</v>
      </c>
      <c r="X296" s="324">
        <v>0</v>
      </c>
      <c r="Y296" s="324">
        <v>0</v>
      </c>
      <c r="Z296" s="324">
        <v>0</v>
      </c>
      <c r="AA296" s="324">
        <v>0</v>
      </c>
      <c r="AB296" s="324">
        <v>0</v>
      </c>
      <c r="AC296" s="324">
        <v>0</v>
      </c>
      <c r="AD296" s="324">
        <v>0</v>
      </c>
      <c r="AE296" s="324">
        <v>0</v>
      </c>
      <c r="AF296" s="324">
        <v>0</v>
      </c>
      <c r="AG296" s="140">
        <f t="shared" si="150"/>
        <v>0</v>
      </c>
      <c r="AH296" s="324">
        <v>0</v>
      </c>
      <c r="AI296" s="324">
        <v>0</v>
      </c>
      <c r="AJ296" s="324">
        <v>0</v>
      </c>
      <c r="AK296" s="324">
        <v>0</v>
      </c>
      <c r="AL296" s="324">
        <v>0</v>
      </c>
      <c r="AM296" s="324">
        <v>0</v>
      </c>
      <c r="AN296" s="324">
        <v>0</v>
      </c>
      <c r="AO296" s="324">
        <v>0</v>
      </c>
      <c r="AP296" s="324">
        <v>0</v>
      </c>
      <c r="AQ296" s="324">
        <v>0</v>
      </c>
      <c r="AR296" s="324">
        <v>0</v>
      </c>
      <c r="AS296" s="324">
        <v>0</v>
      </c>
      <c r="AT296" s="140">
        <f t="shared" si="151"/>
        <v>0</v>
      </c>
      <c r="AU296" s="324">
        <v>0</v>
      </c>
      <c r="AV296" s="324">
        <v>0</v>
      </c>
      <c r="AW296" s="324">
        <v>0</v>
      </c>
      <c r="AX296" s="324">
        <v>0</v>
      </c>
      <c r="AY296" s="324">
        <v>0</v>
      </c>
      <c r="AZ296" s="324">
        <v>0</v>
      </c>
      <c r="BA296" s="324">
        <v>0</v>
      </c>
      <c r="BB296" s="324">
        <v>0</v>
      </c>
      <c r="BC296" s="324">
        <v>0</v>
      </c>
      <c r="BD296" s="324">
        <v>0</v>
      </c>
      <c r="BE296" s="324">
        <v>0</v>
      </c>
      <c r="BF296" s="324">
        <v>0</v>
      </c>
      <c r="BG296" s="140">
        <f t="shared" si="152"/>
        <v>0</v>
      </c>
      <c r="BH296" s="324">
        <v>0</v>
      </c>
      <c r="BI296" s="324">
        <v>0</v>
      </c>
      <c r="BJ296" s="324">
        <v>0</v>
      </c>
      <c r="BK296" s="324">
        <v>0</v>
      </c>
      <c r="BL296" s="324">
        <v>0</v>
      </c>
      <c r="BM296" s="324">
        <v>0</v>
      </c>
      <c r="BN296" s="324">
        <v>0</v>
      </c>
      <c r="BO296" s="324">
        <v>0</v>
      </c>
      <c r="BP296" s="324">
        <v>0</v>
      </c>
      <c r="BQ296" s="324">
        <v>0</v>
      </c>
      <c r="BR296" s="324">
        <v>0</v>
      </c>
      <c r="BS296" s="324">
        <v>0</v>
      </c>
      <c r="BT296" s="140">
        <f t="shared" si="153"/>
        <v>0</v>
      </c>
      <c r="BU296" s="114">
        <f t="shared" si="154"/>
        <v>70</v>
      </c>
      <c r="BV296" s="372">
        <v>-1</v>
      </c>
      <c r="BW296" s="372">
        <v>-1</v>
      </c>
      <c r="BX296" s="372">
        <v>-1</v>
      </c>
      <c r="BY296" s="372">
        <v>-1</v>
      </c>
      <c r="BZ296" s="436">
        <f t="shared" ref="BZ296:BZ297" si="168">IFERROR((EX296/T296%),0)</f>
        <v>0</v>
      </c>
      <c r="CA296" s="428">
        <f t="shared" si="160"/>
        <v>0</v>
      </c>
      <c r="CB296" s="7" t="s">
        <v>1702</v>
      </c>
      <c r="CC296" s="3">
        <v>0</v>
      </c>
      <c r="CD296" s="3">
        <v>0</v>
      </c>
      <c r="CE296" s="3">
        <v>0</v>
      </c>
      <c r="CF296" s="3">
        <v>0</v>
      </c>
      <c r="CG296" s="3">
        <v>0</v>
      </c>
      <c r="CH296" s="3">
        <v>0</v>
      </c>
      <c r="CI296" s="3">
        <v>0</v>
      </c>
      <c r="CJ296" s="3">
        <v>0</v>
      </c>
      <c r="CK296" s="3">
        <v>0</v>
      </c>
      <c r="CL296" s="3">
        <v>2</v>
      </c>
      <c r="CM296" s="3">
        <v>0</v>
      </c>
      <c r="CN296" s="3">
        <v>0</v>
      </c>
      <c r="CO296" s="4">
        <f t="shared" si="161"/>
        <v>2</v>
      </c>
      <c r="CP296" s="3">
        <v>0</v>
      </c>
      <c r="CQ296" s="3">
        <v>0</v>
      </c>
      <c r="CR296" s="3">
        <v>0</v>
      </c>
      <c r="CS296" s="3">
        <v>0</v>
      </c>
      <c r="CT296" s="3">
        <v>0</v>
      </c>
      <c r="CU296" s="3">
        <v>0</v>
      </c>
      <c r="CV296" s="3">
        <v>0</v>
      </c>
      <c r="CW296" s="3">
        <v>0</v>
      </c>
      <c r="CX296" s="3">
        <v>0</v>
      </c>
      <c r="CY296" s="3">
        <v>0</v>
      </c>
      <c r="CZ296" s="3">
        <v>0</v>
      </c>
      <c r="DA296" s="3">
        <v>0</v>
      </c>
      <c r="DB296" s="4">
        <f t="shared" si="162"/>
        <v>0</v>
      </c>
      <c r="DC296" s="3">
        <v>0</v>
      </c>
      <c r="DD296" s="3">
        <v>0</v>
      </c>
      <c r="DE296" s="3">
        <v>0</v>
      </c>
      <c r="DF296" s="3">
        <v>0</v>
      </c>
      <c r="DG296" s="3">
        <v>0</v>
      </c>
      <c r="DH296" s="3">
        <v>0</v>
      </c>
      <c r="DI296" s="3">
        <v>0</v>
      </c>
      <c r="DJ296" s="3">
        <v>0</v>
      </c>
      <c r="DK296" s="3">
        <v>0</v>
      </c>
      <c r="DL296" s="3">
        <v>0</v>
      </c>
      <c r="DM296" s="3">
        <v>0</v>
      </c>
      <c r="DN296" s="3">
        <v>0</v>
      </c>
      <c r="DO296" s="4">
        <f t="shared" si="163"/>
        <v>0</v>
      </c>
      <c r="DP296" s="3">
        <v>0</v>
      </c>
      <c r="DQ296" s="3">
        <v>0</v>
      </c>
      <c r="DR296" s="3">
        <v>0</v>
      </c>
      <c r="DS296" s="3">
        <v>0</v>
      </c>
      <c r="DT296" s="3">
        <v>0</v>
      </c>
      <c r="DU296" s="3">
        <v>0</v>
      </c>
      <c r="DV296" s="3">
        <v>0</v>
      </c>
      <c r="DW296" s="3">
        <v>0</v>
      </c>
      <c r="DX296" s="3">
        <v>0</v>
      </c>
      <c r="DY296" s="3">
        <v>0</v>
      </c>
      <c r="DZ296" s="3">
        <v>0</v>
      </c>
      <c r="EA296" s="3">
        <v>0</v>
      </c>
      <c r="EB296" s="4">
        <f t="shared" si="164"/>
        <v>0</v>
      </c>
      <c r="EC296" s="3">
        <v>0</v>
      </c>
      <c r="ED296" s="3">
        <v>0</v>
      </c>
      <c r="EE296" s="3">
        <v>0</v>
      </c>
      <c r="EF296" s="3">
        <v>0</v>
      </c>
      <c r="EG296" s="3">
        <v>0</v>
      </c>
      <c r="EH296" s="3">
        <v>0</v>
      </c>
      <c r="EI296" s="3">
        <v>0</v>
      </c>
      <c r="EJ296" s="3">
        <v>0</v>
      </c>
      <c r="EK296" s="3">
        <v>0</v>
      </c>
      <c r="EL296" s="3">
        <v>0</v>
      </c>
      <c r="EM296" s="3">
        <v>0</v>
      </c>
      <c r="EN296" s="3">
        <v>0</v>
      </c>
      <c r="EO296" s="4">
        <f t="shared" si="165"/>
        <v>0</v>
      </c>
      <c r="EP296" s="8">
        <f t="shared" si="166"/>
        <v>2</v>
      </c>
      <c r="EQ296" s="181">
        <f>IFERROR(VLOOKUP(I296,CEI_012018!$A$1:$U$509,9,FALSE),0)</f>
        <v>0</v>
      </c>
      <c r="ER296" s="181">
        <f>IFERROR(VLOOKUP(I296,CEI_022018!$A$1:$U$509,9,FALSE),0)</f>
        <v>0</v>
      </c>
      <c r="ES296" s="181">
        <f>IFERROR(VLOOKUP(I296,CEI_032018!$A$1:$U$509,9,FALSE),0)</f>
        <v>0</v>
      </c>
      <c r="ET296" s="181">
        <f>IFERROR(VLOOKUP(I296,CEI_042018!$A$1:$U$491,9,FALSE),0)</f>
        <v>0</v>
      </c>
      <c r="EU296" s="181">
        <f>IFERROR(VLOOKUP(I296,CEI_052018!$A$1:$U$489,9,FALSE),0)</f>
        <v>0</v>
      </c>
      <c r="EV296" s="181">
        <f>IFERROR(VLOOKUP(I296,CEI_062018!$A$1:$U$489,9,FALSE),0)</f>
        <v>0</v>
      </c>
      <c r="EW296" s="181">
        <f>IFERROR(VLOOKUP(I296,CEI_072018!$A$1:$U$489,9,FALSE),0)</f>
        <v>0</v>
      </c>
      <c r="EX296" s="181">
        <f>IFERROR(VLOOKUP(I296,CEI_082018!$A$1:$U$489,9,FALSE),0)</f>
        <v>0</v>
      </c>
      <c r="EY296" s="181">
        <f>IFERROR(VLOOKUP(I296,CEI_092018!$A$1:$U$489,9,FALSE),0)</f>
        <v>0</v>
      </c>
      <c r="EZ296" s="181"/>
      <c r="FA296" s="181"/>
      <c r="FB296" s="181"/>
      <c r="FC296" s="181">
        <f>IFERROR(VLOOKUP(I296,CEI_092018!$A$1:$U$489,12,FALSE),0)</f>
        <v>0</v>
      </c>
      <c r="FD296" s="181">
        <f t="shared" si="155"/>
        <v>0</v>
      </c>
      <c r="FE296" s="181">
        <f t="shared" si="156"/>
        <v>70</v>
      </c>
      <c r="FF296"/>
      <c r="FG296"/>
      <c r="FH296"/>
      <c r="FI296"/>
      <c r="FJ296"/>
      <c r="FK296"/>
      <c r="FL296"/>
      <c r="FM296"/>
      <c r="FN296"/>
      <c r="FO296"/>
      <c r="FP296"/>
      <c r="FQ296"/>
      <c r="FR296"/>
      <c r="FS296"/>
      <c r="FT296"/>
      <c r="FU296"/>
      <c r="FV296"/>
      <c r="FW296"/>
      <c r="FX296"/>
      <c r="FY296"/>
      <c r="FZ296"/>
      <c r="GA296"/>
      <c r="GB296"/>
      <c r="GC296"/>
    </row>
    <row r="297" spans="1:185" ht="12.75" customHeight="1" x14ac:dyDescent="0.25">
      <c r="A297" s="202"/>
      <c r="B297" s="22" t="s">
        <v>57</v>
      </c>
      <c r="C297" s="34" t="s">
        <v>44</v>
      </c>
      <c r="D297" s="22" t="s">
        <v>1059</v>
      </c>
      <c r="E297" s="25" t="s">
        <v>1065</v>
      </c>
      <c r="F297" s="25" t="s">
        <v>1059</v>
      </c>
      <c r="G297" s="25" t="s">
        <v>1065</v>
      </c>
      <c r="H297" s="22" t="s">
        <v>56</v>
      </c>
      <c r="I297" s="423" t="s">
        <v>1523</v>
      </c>
      <c r="J297" s="37" t="s">
        <v>1525</v>
      </c>
      <c r="K297" s="23" t="s">
        <v>1597</v>
      </c>
      <c r="L297" s="23" t="s">
        <v>330</v>
      </c>
      <c r="M297" s="23" t="s">
        <v>331</v>
      </c>
      <c r="N297" s="23" t="s">
        <v>59</v>
      </c>
      <c r="O297" s="2">
        <v>46.814499855041504</v>
      </c>
      <c r="P297" s="2">
        <v>0</v>
      </c>
      <c r="Q297" s="2">
        <v>0</v>
      </c>
      <c r="R297" s="2">
        <v>0</v>
      </c>
      <c r="S297" s="2">
        <v>5.0538199999999982</v>
      </c>
      <c r="T297" s="116">
        <f t="shared" si="143"/>
        <v>51.868319855041506</v>
      </c>
      <c r="U297" s="324">
        <v>0</v>
      </c>
      <c r="V297" s="324">
        <v>0</v>
      </c>
      <c r="W297" s="324">
        <v>0</v>
      </c>
      <c r="X297" s="324">
        <v>0</v>
      </c>
      <c r="Y297" s="324">
        <v>0</v>
      </c>
      <c r="Z297" s="324">
        <v>0</v>
      </c>
      <c r="AA297" s="324">
        <v>0</v>
      </c>
      <c r="AB297" s="324">
        <v>0</v>
      </c>
      <c r="AC297" s="324">
        <v>0</v>
      </c>
      <c r="AD297" s="324">
        <v>0</v>
      </c>
      <c r="AE297" s="324">
        <v>0</v>
      </c>
      <c r="AF297" s="324">
        <v>0</v>
      </c>
      <c r="AG297" s="140">
        <f t="shared" si="150"/>
        <v>0</v>
      </c>
      <c r="AH297" s="324">
        <v>0</v>
      </c>
      <c r="AI297" s="324">
        <v>0</v>
      </c>
      <c r="AJ297" s="324">
        <v>0</v>
      </c>
      <c r="AK297" s="324">
        <v>0</v>
      </c>
      <c r="AL297" s="324">
        <v>0</v>
      </c>
      <c r="AM297" s="324">
        <v>0</v>
      </c>
      <c r="AN297" s="324">
        <v>0</v>
      </c>
      <c r="AO297" s="324">
        <v>0</v>
      </c>
      <c r="AP297" s="324">
        <v>0</v>
      </c>
      <c r="AQ297" s="324">
        <v>0</v>
      </c>
      <c r="AR297" s="324">
        <v>0</v>
      </c>
      <c r="AS297" s="324">
        <v>0</v>
      </c>
      <c r="AT297" s="140">
        <f t="shared" si="151"/>
        <v>0</v>
      </c>
      <c r="AU297" s="324">
        <v>0</v>
      </c>
      <c r="AV297" s="324">
        <v>0</v>
      </c>
      <c r="AW297" s="324">
        <v>0</v>
      </c>
      <c r="AX297" s="324">
        <v>0</v>
      </c>
      <c r="AY297" s="324">
        <v>0</v>
      </c>
      <c r="AZ297" s="324">
        <v>0</v>
      </c>
      <c r="BA297" s="324">
        <v>0</v>
      </c>
      <c r="BB297" s="324">
        <v>0</v>
      </c>
      <c r="BC297" s="324">
        <v>0</v>
      </c>
      <c r="BD297" s="324">
        <v>0</v>
      </c>
      <c r="BE297" s="324">
        <v>0</v>
      </c>
      <c r="BF297" s="324">
        <v>0</v>
      </c>
      <c r="BG297" s="140">
        <f t="shared" si="152"/>
        <v>0</v>
      </c>
      <c r="BH297" s="324"/>
      <c r="BI297" s="324"/>
      <c r="BJ297" s="324"/>
      <c r="BK297" s="324"/>
      <c r="BL297" s="324"/>
      <c r="BM297" s="324"/>
      <c r="BN297" s="324"/>
      <c r="BO297" s="324"/>
      <c r="BP297" s="324"/>
      <c r="BQ297" s="324"/>
      <c r="BR297" s="324"/>
      <c r="BS297" s="324"/>
      <c r="BT297" s="140">
        <f t="shared" si="153"/>
        <v>0</v>
      </c>
      <c r="BU297" s="114">
        <f t="shared" si="154"/>
        <v>51.868319855041506</v>
      </c>
      <c r="BV297" s="372">
        <v>1</v>
      </c>
      <c r="BW297" s="372">
        <v>1</v>
      </c>
      <c r="BX297" s="372">
        <v>1</v>
      </c>
      <c r="BY297" s="372">
        <v>1</v>
      </c>
      <c r="BZ297" s="436">
        <f t="shared" si="168"/>
        <v>90.256441669743467</v>
      </c>
      <c r="CA297" s="428">
        <f t="shared" si="160"/>
        <v>100.00000025682195</v>
      </c>
      <c r="CB297" s="7" t="s">
        <v>1699</v>
      </c>
      <c r="CC297" s="3">
        <v>0</v>
      </c>
      <c r="CD297" s="3">
        <v>0</v>
      </c>
      <c r="CE297" s="3">
        <v>0</v>
      </c>
      <c r="CF297" s="3">
        <v>0</v>
      </c>
      <c r="CG297" s="3">
        <v>0</v>
      </c>
      <c r="CH297" s="3">
        <v>0</v>
      </c>
      <c r="CI297" s="3">
        <v>0</v>
      </c>
      <c r="CJ297" s="3">
        <v>0</v>
      </c>
      <c r="CK297" s="3">
        <v>0</v>
      </c>
      <c r="CL297" s="3">
        <v>0</v>
      </c>
      <c r="CM297" s="3">
        <v>0</v>
      </c>
      <c r="CN297" s="3">
        <v>1</v>
      </c>
      <c r="CO297" s="4">
        <f t="shared" si="161"/>
        <v>1</v>
      </c>
      <c r="CP297" s="3">
        <v>0</v>
      </c>
      <c r="CQ297" s="3">
        <v>0</v>
      </c>
      <c r="CR297" s="3">
        <v>0</v>
      </c>
      <c r="CS297" s="3">
        <v>0</v>
      </c>
      <c r="CT297" s="3">
        <v>0</v>
      </c>
      <c r="CU297" s="3">
        <v>0</v>
      </c>
      <c r="CV297" s="3">
        <v>0</v>
      </c>
      <c r="CW297" s="3">
        <v>0</v>
      </c>
      <c r="CX297" s="3">
        <v>0</v>
      </c>
      <c r="CY297" s="3">
        <v>0</v>
      </c>
      <c r="CZ297" s="3">
        <v>0</v>
      </c>
      <c r="DA297" s="3">
        <v>0</v>
      </c>
      <c r="DB297" s="4">
        <f t="shared" si="162"/>
        <v>0</v>
      </c>
      <c r="DC297" s="3">
        <v>0</v>
      </c>
      <c r="DD297" s="3">
        <v>0</v>
      </c>
      <c r="DE297" s="3">
        <v>0</v>
      </c>
      <c r="DF297" s="3">
        <v>0</v>
      </c>
      <c r="DG297" s="3">
        <v>0</v>
      </c>
      <c r="DH297" s="3">
        <v>0</v>
      </c>
      <c r="DI297" s="3">
        <v>0</v>
      </c>
      <c r="DJ297" s="3">
        <v>0</v>
      </c>
      <c r="DK297" s="3">
        <v>0</v>
      </c>
      <c r="DL297" s="3">
        <v>0</v>
      </c>
      <c r="DM297" s="3">
        <v>0</v>
      </c>
      <c r="DN297" s="3">
        <v>0</v>
      </c>
      <c r="DO297" s="4">
        <f t="shared" si="163"/>
        <v>0</v>
      </c>
      <c r="DP297" s="3">
        <v>0</v>
      </c>
      <c r="DQ297" s="3">
        <v>0</v>
      </c>
      <c r="DR297" s="3">
        <v>0</v>
      </c>
      <c r="DS297" s="3">
        <v>0</v>
      </c>
      <c r="DT297" s="3">
        <v>0</v>
      </c>
      <c r="DU297" s="3">
        <v>0</v>
      </c>
      <c r="DV297" s="3">
        <v>0</v>
      </c>
      <c r="DW297" s="3">
        <v>0</v>
      </c>
      <c r="DX297" s="3">
        <v>0</v>
      </c>
      <c r="DY297" s="3">
        <v>0</v>
      </c>
      <c r="DZ297" s="3">
        <v>0</v>
      </c>
      <c r="EA297" s="3">
        <v>0</v>
      </c>
      <c r="EB297" s="4">
        <f t="shared" si="164"/>
        <v>0</v>
      </c>
      <c r="EC297" s="3">
        <v>0</v>
      </c>
      <c r="ED297" s="3">
        <v>0</v>
      </c>
      <c r="EE297" s="3">
        <v>0</v>
      </c>
      <c r="EF297" s="3">
        <v>0</v>
      </c>
      <c r="EG297" s="3">
        <v>0</v>
      </c>
      <c r="EH297" s="3">
        <v>0</v>
      </c>
      <c r="EI297" s="3">
        <v>0</v>
      </c>
      <c r="EJ297" s="3">
        <v>0</v>
      </c>
      <c r="EK297" s="3">
        <v>0</v>
      </c>
      <c r="EL297" s="3">
        <v>0</v>
      </c>
      <c r="EM297" s="3">
        <v>0</v>
      </c>
      <c r="EN297" s="3">
        <v>0</v>
      </c>
      <c r="EO297" s="4">
        <f t="shared" si="165"/>
        <v>0</v>
      </c>
      <c r="EP297" s="8">
        <f t="shared" si="166"/>
        <v>1</v>
      </c>
      <c r="EQ297" s="181">
        <f>IFERROR(VLOOKUP(I297,CEI_012018!$A$1:$U$509,9,FALSE),0)</f>
        <v>0</v>
      </c>
      <c r="ER297" s="181">
        <f>IFERROR(VLOOKUP(I297,CEI_022018!$A$1:$U$509,9,FALSE),0)</f>
        <v>0</v>
      </c>
      <c r="ES297" s="181">
        <f>IFERROR(VLOOKUP(I297,CEI_032018!$A$1:$U$509,9,FALSE),0)</f>
        <v>0</v>
      </c>
      <c r="ET297" s="181">
        <f>IFERROR(VLOOKUP(I297,CEI_042018!$A$1:$U$491,9,FALSE),0)</f>
        <v>16.69773006439209</v>
      </c>
      <c r="EU297" s="181">
        <f>IFERROR(VLOOKUP(I297,CEI_052018!$A$1:$U$489,9,FALSE),0)</f>
        <v>16.69773006439209</v>
      </c>
      <c r="EV297" s="181">
        <f>IFERROR(VLOOKUP(I297,CEI_062018!$A$1:$U$489,9,FALSE),0)</f>
        <v>46.814499855041504</v>
      </c>
      <c r="EW297" s="181">
        <f>IFERROR(VLOOKUP(I297,CEI_072018!$A$1:$U$489,9,FALSE),0)</f>
        <v>46.814499855041504</v>
      </c>
      <c r="EX297" s="181">
        <f>IFERROR(VLOOKUP(I297,CEI_082018!$A$1:$U$489,9,FALSE),0)</f>
        <v>46.814499855041504</v>
      </c>
      <c r="EY297" s="181">
        <f>IFERROR(VLOOKUP(I297,CEI_092018!$A$1:$U$489,9,FALSE),0)</f>
        <v>46.814499855041504</v>
      </c>
      <c r="EZ297" s="181"/>
      <c r="FA297" s="181"/>
      <c r="FB297" s="181"/>
      <c r="FC297" s="181">
        <f>IFERROR(VLOOKUP(I297,CEI_092018!$A$1:$U$489,12,FALSE),0)</f>
        <v>5.0538201332092285</v>
      </c>
      <c r="FD297" s="181">
        <f t="shared" si="155"/>
        <v>51.868319988250732</v>
      </c>
      <c r="FE297" s="181">
        <f t="shared" si="156"/>
        <v>-1.3320922676030023E-7</v>
      </c>
      <c r="FF297"/>
      <c r="FG297"/>
      <c r="FH297"/>
      <c r="FI297"/>
      <c r="FJ297"/>
      <c r="FK297"/>
      <c r="FL297"/>
      <c r="FM297"/>
      <c r="FN297"/>
      <c r="FO297"/>
      <c r="FP297"/>
      <c r="FQ297"/>
      <c r="FR297"/>
      <c r="FS297"/>
      <c r="FT297"/>
      <c r="FU297"/>
      <c r="FV297"/>
      <c r="FW297"/>
      <c r="FX297"/>
      <c r="FY297"/>
      <c r="FZ297"/>
      <c r="GA297"/>
      <c r="GB297"/>
      <c r="GC297"/>
    </row>
    <row r="298" spans="1:185" ht="12.75" customHeight="1" x14ac:dyDescent="0.25">
      <c r="A298" s="202"/>
      <c r="B298" s="22" t="s">
        <v>57</v>
      </c>
      <c r="C298" s="34" t="s">
        <v>44</v>
      </c>
      <c r="D298" s="22" t="s">
        <v>1060</v>
      </c>
      <c r="E298" s="25" t="s">
        <v>1596</v>
      </c>
      <c r="F298" s="25" t="s">
        <v>1060</v>
      </c>
      <c r="G298" s="25" t="s">
        <v>1596</v>
      </c>
      <c r="H298" s="22" t="s">
        <v>56</v>
      </c>
      <c r="I298" s="423" t="s">
        <v>565</v>
      </c>
      <c r="J298" s="37" t="s">
        <v>59</v>
      </c>
      <c r="K298" s="23" t="s">
        <v>1026</v>
      </c>
      <c r="L298" s="23" t="s">
        <v>1027</v>
      </c>
      <c r="M298" s="23" t="s">
        <v>1028</v>
      </c>
      <c r="N298" s="23" t="s">
        <v>1874</v>
      </c>
      <c r="O298" s="2">
        <v>0</v>
      </c>
      <c r="P298" s="2">
        <v>0</v>
      </c>
      <c r="Q298" s="2">
        <v>0</v>
      </c>
      <c r="R298" s="2">
        <v>0</v>
      </c>
      <c r="S298" s="2">
        <v>28.8</v>
      </c>
      <c r="T298" s="116">
        <f t="shared" si="143"/>
        <v>28.8</v>
      </c>
      <c r="U298" s="324">
        <v>0</v>
      </c>
      <c r="V298" s="324">
        <v>0</v>
      </c>
      <c r="W298" s="324">
        <v>0</v>
      </c>
      <c r="X298" s="324">
        <v>0</v>
      </c>
      <c r="Y298" s="324">
        <v>0</v>
      </c>
      <c r="Z298" s="324">
        <v>0</v>
      </c>
      <c r="AA298" s="324">
        <v>0</v>
      </c>
      <c r="AB298" s="324">
        <v>0</v>
      </c>
      <c r="AC298" s="324">
        <v>0</v>
      </c>
      <c r="AD298" s="324">
        <v>0</v>
      </c>
      <c r="AE298" s="324">
        <v>0</v>
      </c>
      <c r="AF298" s="324">
        <v>0</v>
      </c>
      <c r="AG298" s="140">
        <f t="shared" si="150"/>
        <v>0</v>
      </c>
      <c r="AH298" s="324">
        <v>0</v>
      </c>
      <c r="AI298" s="324">
        <v>0</v>
      </c>
      <c r="AJ298" s="324">
        <v>0</v>
      </c>
      <c r="AK298" s="324">
        <v>0</v>
      </c>
      <c r="AL298" s="324">
        <v>0</v>
      </c>
      <c r="AM298" s="324">
        <v>0</v>
      </c>
      <c r="AN298" s="324">
        <v>0</v>
      </c>
      <c r="AO298" s="324">
        <v>0</v>
      </c>
      <c r="AP298" s="324">
        <v>0</v>
      </c>
      <c r="AQ298" s="324">
        <v>0</v>
      </c>
      <c r="AR298" s="324">
        <v>0</v>
      </c>
      <c r="AS298" s="324">
        <v>0</v>
      </c>
      <c r="AT298" s="140">
        <f t="shared" si="151"/>
        <v>0</v>
      </c>
      <c r="AU298" s="324">
        <v>0</v>
      </c>
      <c r="AV298" s="324">
        <v>0</v>
      </c>
      <c r="AW298" s="324">
        <v>0</v>
      </c>
      <c r="AX298" s="324">
        <v>0</v>
      </c>
      <c r="AY298" s="324">
        <v>0</v>
      </c>
      <c r="AZ298" s="324">
        <v>0</v>
      </c>
      <c r="BA298" s="324">
        <v>0</v>
      </c>
      <c r="BB298" s="324">
        <v>0</v>
      </c>
      <c r="BC298" s="324">
        <v>0</v>
      </c>
      <c r="BD298" s="324">
        <v>0</v>
      </c>
      <c r="BE298" s="324">
        <v>0</v>
      </c>
      <c r="BF298" s="324">
        <v>0</v>
      </c>
      <c r="BG298" s="140">
        <f t="shared" si="152"/>
        <v>0</v>
      </c>
      <c r="BH298" s="324">
        <v>0</v>
      </c>
      <c r="BI298" s="324">
        <v>0</v>
      </c>
      <c r="BJ298" s="324">
        <v>0</v>
      </c>
      <c r="BK298" s="324">
        <v>0</v>
      </c>
      <c r="BL298" s="324">
        <v>0</v>
      </c>
      <c r="BM298" s="324">
        <v>0</v>
      </c>
      <c r="BN298" s="324">
        <v>0</v>
      </c>
      <c r="BO298" s="324">
        <v>0</v>
      </c>
      <c r="BP298" s="324">
        <v>0</v>
      </c>
      <c r="BQ298" s="324">
        <v>0</v>
      </c>
      <c r="BR298" s="324">
        <v>0</v>
      </c>
      <c r="BS298" s="324">
        <v>0</v>
      </c>
      <c r="BT298" s="140">
        <f t="shared" si="153"/>
        <v>0</v>
      </c>
      <c r="BU298" s="114">
        <f t="shared" si="154"/>
        <v>28.8</v>
      </c>
      <c r="BV298" s="372">
        <v>-1</v>
      </c>
      <c r="BW298" s="372">
        <v>-1</v>
      </c>
      <c r="BX298" s="372">
        <v>-1</v>
      </c>
      <c r="BY298" s="372">
        <v>-1</v>
      </c>
      <c r="BZ298" s="436">
        <f>IFERROR((EX298/T298%),0)</f>
        <v>0</v>
      </c>
      <c r="CA298" s="428">
        <f t="shared" si="160"/>
        <v>0</v>
      </c>
      <c r="CB298" s="7" t="s">
        <v>1702</v>
      </c>
      <c r="CC298" s="3">
        <v>0</v>
      </c>
      <c r="CD298" s="3">
        <v>0</v>
      </c>
      <c r="CE298" s="3">
        <v>0</v>
      </c>
      <c r="CF298" s="3">
        <v>0</v>
      </c>
      <c r="CG298" s="3">
        <v>0</v>
      </c>
      <c r="CH298" s="3">
        <v>0</v>
      </c>
      <c r="CI298" s="3">
        <v>0</v>
      </c>
      <c r="CJ298" s="3">
        <v>0</v>
      </c>
      <c r="CK298" s="3">
        <v>0</v>
      </c>
      <c r="CL298" s="3">
        <v>0</v>
      </c>
      <c r="CM298" s="3">
        <v>0</v>
      </c>
      <c r="CN298" s="3">
        <v>1</v>
      </c>
      <c r="CO298" s="4">
        <f t="shared" si="161"/>
        <v>1</v>
      </c>
      <c r="CP298" s="3">
        <v>0</v>
      </c>
      <c r="CQ298" s="3">
        <v>0</v>
      </c>
      <c r="CR298" s="3">
        <v>0</v>
      </c>
      <c r="CS298" s="3">
        <v>0</v>
      </c>
      <c r="CT298" s="3">
        <v>0</v>
      </c>
      <c r="CU298" s="3">
        <v>0</v>
      </c>
      <c r="CV298" s="3">
        <v>0</v>
      </c>
      <c r="CW298" s="3">
        <v>0</v>
      </c>
      <c r="CX298" s="3">
        <v>0</v>
      </c>
      <c r="CY298" s="3">
        <v>0</v>
      </c>
      <c r="CZ298" s="3">
        <v>0</v>
      </c>
      <c r="DA298" s="3">
        <v>0</v>
      </c>
      <c r="DB298" s="4">
        <f t="shared" si="162"/>
        <v>0</v>
      </c>
      <c r="DC298" s="3">
        <v>0</v>
      </c>
      <c r="DD298" s="3">
        <v>0</v>
      </c>
      <c r="DE298" s="3">
        <v>0</v>
      </c>
      <c r="DF298" s="3">
        <v>0</v>
      </c>
      <c r="DG298" s="3">
        <v>0</v>
      </c>
      <c r="DH298" s="3">
        <v>0</v>
      </c>
      <c r="DI298" s="3">
        <v>0</v>
      </c>
      <c r="DJ298" s="3">
        <v>0</v>
      </c>
      <c r="DK298" s="3">
        <v>0</v>
      </c>
      <c r="DL298" s="3">
        <v>0</v>
      </c>
      <c r="DM298" s="3">
        <v>0</v>
      </c>
      <c r="DN298" s="3">
        <v>0</v>
      </c>
      <c r="DO298" s="4">
        <f t="shared" si="163"/>
        <v>0</v>
      </c>
      <c r="DP298" s="3">
        <v>0</v>
      </c>
      <c r="DQ298" s="3">
        <v>0</v>
      </c>
      <c r="DR298" s="3">
        <v>0</v>
      </c>
      <c r="DS298" s="3">
        <v>0</v>
      </c>
      <c r="DT298" s="3">
        <v>0</v>
      </c>
      <c r="DU298" s="3">
        <v>0</v>
      </c>
      <c r="DV298" s="3">
        <v>0</v>
      </c>
      <c r="DW298" s="3">
        <v>0</v>
      </c>
      <c r="DX298" s="3">
        <v>0</v>
      </c>
      <c r="DY298" s="3">
        <v>0</v>
      </c>
      <c r="DZ298" s="3">
        <v>0</v>
      </c>
      <c r="EA298" s="3">
        <v>0</v>
      </c>
      <c r="EB298" s="4">
        <f t="shared" si="164"/>
        <v>0</v>
      </c>
      <c r="EC298" s="3">
        <v>0</v>
      </c>
      <c r="ED298" s="3">
        <v>0</v>
      </c>
      <c r="EE298" s="3">
        <v>0</v>
      </c>
      <c r="EF298" s="3">
        <v>0</v>
      </c>
      <c r="EG298" s="3">
        <v>0</v>
      </c>
      <c r="EH298" s="3">
        <v>0</v>
      </c>
      <c r="EI298" s="3">
        <v>0</v>
      </c>
      <c r="EJ298" s="3">
        <v>0</v>
      </c>
      <c r="EK298" s="3">
        <v>0</v>
      </c>
      <c r="EL298" s="3">
        <v>0</v>
      </c>
      <c r="EM298" s="3">
        <v>0</v>
      </c>
      <c r="EN298" s="3">
        <v>0</v>
      </c>
      <c r="EO298" s="4">
        <f t="shared" si="165"/>
        <v>0</v>
      </c>
      <c r="EP298" s="8">
        <f t="shared" si="166"/>
        <v>1</v>
      </c>
      <c r="EQ298" s="181">
        <f>IFERROR(VLOOKUP(I298,CEI_012018!$A$1:$U$509,9,FALSE),0)</f>
        <v>0</v>
      </c>
      <c r="ER298" s="181">
        <f>IFERROR(VLOOKUP(I298,CEI_022018!$A$1:$U$509,9,FALSE),0)</f>
        <v>0</v>
      </c>
      <c r="ES298" s="181">
        <f>IFERROR(VLOOKUP(I298,CEI_032018!$A$1:$U$509,9,FALSE),0)</f>
        <v>0</v>
      </c>
      <c r="ET298" s="181">
        <f>IFERROR(VLOOKUP(I298,CEI_042018!$A$1:$U$491,9,FALSE),0)</f>
        <v>0</v>
      </c>
      <c r="EU298" s="181">
        <f>IFERROR(VLOOKUP(I298,CEI_052018!$A$1:$U$489,9,FALSE),0)</f>
        <v>0</v>
      </c>
      <c r="EV298" s="181">
        <f>IFERROR(VLOOKUP(I298,CEI_062018!$A$1:$U$489,9,FALSE),0)</f>
        <v>0</v>
      </c>
      <c r="EW298" s="181">
        <f>IFERROR(VLOOKUP(I298,CEI_072018!$A$1:$U$489,9,FALSE),0)</f>
        <v>0</v>
      </c>
      <c r="EX298" s="181">
        <f>IFERROR(VLOOKUP(I298,CEI_082018!$A$1:$U$489,9,FALSE),0)</f>
        <v>0</v>
      </c>
      <c r="EY298" s="181">
        <f>IFERROR(VLOOKUP(I298,CEI_092018!$A$1:$U$489,9,FALSE),0)</f>
        <v>0</v>
      </c>
      <c r="EZ298" s="181"/>
      <c r="FA298" s="181"/>
      <c r="FB298" s="181"/>
      <c r="FC298" s="181">
        <f>IFERROR(VLOOKUP(I298,CEI_092018!$A$1:$U$489,12,FALSE),0)</f>
        <v>0</v>
      </c>
      <c r="FD298" s="181">
        <f t="shared" si="155"/>
        <v>0</v>
      </c>
      <c r="FE298" s="181">
        <f t="shared" si="156"/>
        <v>28.8</v>
      </c>
      <c r="FF298"/>
      <c r="FG298"/>
      <c r="FH298"/>
      <c r="FI298"/>
      <c r="FJ298"/>
      <c r="FK298"/>
      <c r="FL298"/>
      <c r="FM298"/>
      <c r="FN298"/>
      <c r="FO298"/>
      <c r="FP298"/>
      <c r="FQ298"/>
      <c r="FR298"/>
      <c r="FS298"/>
      <c r="FT298"/>
      <c r="FU298"/>
      <c r="FV298"/>
      <c r="FW298"/>
      <c r="FX298"/>
      <c r="FY298"/>
      <c r="FZ298"/>
      <c r="GA298"/>
      <c r="GB298"/>
      <c r="GC298"/>
    </row>
    <row r="299" spans="1:185" ht="12.75" customHeight="1" x14ac:dyDescent="0.25">
      <c r="A299" s="202"/>
      <c r="B299" s="22" t="s">
        <v>57</v>
      </c>
      <c r="C299" s="34" t="s">
        <v>44</v>
      </c>
      <c r="D299" s="22" t="s">
        <v>1059</v>
      </c>
      <c r="E299" s="25" t="s">
        <v>1063</v>
      </c>
      <c r="F299" s="25" t="s">
        <v>1059</v>
      </c>
      <c r="G299" s="25" t="s">
        <v>1063</v>
      </c>
      <c r="H299" s="22" t="s">
        <v>56</v>
      </c>
      <c r="I299" s="423" t="s">
        <v>1177</v>
      </c>
      <c r="J299" s="37" t="s">
        <v>1178</v>
      </c>
      <c r="K299" s="23" t="s">
        <v>1179</v>
      </c>
      <c r="L299" s="23" t="s">
        <v>1180</v>
      </c>
      <c r="M299" s="23" t="s">
        <v>59</v>
      </c>
      <c r="N299" s="23" t="s">
        <v>59</v>
      </c>
      <c r="O299" s="2">
        <v>14.010740280151367</v>
      </c>
      <c r="P299" s="2">
        <v>0</v>
      </c>
      <c r="Q299" s="2">
        <v>0</v>
      </c>
      <c r="R299" s="2">
        <v>0</v>
      </c>
      <c r="S299" s="2">
        <v>0</v>
      </c>
      <c r="T299" s="116">
        <f t="shared" si="143"/>
        <v>14.010740280151367</v>
      </c>
      <c r="U299" s="324">
        <v>0</v>
      </c>
      <c r="V299" s="324">
        <v>0</v>
      </c>
      <c r="W299" s="324">
        <v>0</v>
      </c>
      <c r="X299" s="324">
        <v>0</v>
      </c>
      <c r="Y299" s="324">
        <v>0</v>
      </c>
      <c r="Z299" s="324">
        <v>0</v>
      </c>
      <c r="AA299" s="324">
        <v>0</v>
      </c>
      <c r="AB299" s="324">
        <v>0</v>
      </c>
      <c r="AC299" s="324">
        <v>0</v>
      </c>
      <c r="AD299" s="324">
        <v>0</v>
      </c>
      <c r="AE299" s="324">
        <v>0</v>
      </c>
      <c r="AF299" s="324">
        <v>0</v>
      </c>
      <c r="AG299" s="140">
        <f t="shared" si="150"/>
        <v>0</v>
      </c>
      <c r="AH299" s="324">
        <v>0</v>
      </c>
      <c r="AI299" s="324">
        <v>0</v>
      </c>
      <c r="AJ299" s="324">
        <v>0</v>
      </c>
      <c r="AK299" s="324">
        <v>0</v>
      </c>
      <c r="AL299" s="324">
        <v>0</v>
      </c>
      <c r="AM299" s="324">
        <v>0</v>
      </c>
      <c r="AN299" s="324">
        <v>0</v>
      </c>
      <c r="AO299" s="324">
        <v>0</v>
      </c>
      <c r="AP299" s="324">
        <v>0</v>
      </c>
      <c r="AQ299" s="324">
        <v>0</v>
      </c>
      <c r="AR299" s="324">
        <v>0</v>
      </c>
      <c r="AS299" s="324">
        <v>0</v>
      </c>
      <c r="AT299" s="140">
        <f t="shared" si="151"/>
        <v>0</v>
      </c>
      <c r="AU299" s="324">
        <v>0</v>
      </c>
      <c r="AV299" s="324">
        <v>0</v>
      </c>
      <c r="AW299" s="324">
        <v>0</v>
      </c>
      <c r="AX299" s="324">
        <v>0</v>
      </c>
      <c r="AY299" s="324">
        <v>0</v>
      </c>
      <c r="AZ299" s="324">
        <v>0</v>
      </c>
      <c r="BA299" s="324">
        <v>0</v>
      </c>
      <c r="BB299" s="324">
        <v>0</v>
      </c>
      <c r="BC299" s="324">
        <v>0</v>
      </c>
      <c r="BD299" s="324">
        <v>0</v>
      </c>
      <c r="BE299" s="324">
        <v>0</v>
      </c>
      <c r="BF299" s="324">
        <v>0</v>
      </c>
      <c r="BG299" s="140">
        <f t="shared" si="152"/>
        <v>0</v>
      </c>
      <c r="BH299" s="324">
        <v>0</v>
      </c>
      <c r="BI299" s="324">
        <v>0</v>
      </c>
      <c r="BJ299" s="324">
        <v>0</v>
      </c>
      <c r="BK299" s="324">
        <v>0</v>
      </c>
      <c r="BL299" s="324">
        <v>0</v>
      </c>
      <c r="BM299" s="324">
        <v>0</v>
      </c>
      <c r="BN299" s="324">
        <v>0</v>
      </c>
      <c r="BO299" s="324">
        <v>0</v>
      </c>
      <c r="BP299" s="324">
        <v>0</v>
      </c>
      <c r="BQ299" s="324">
        <v>0</v>
      </c>
      <c r="BR299" s="324">
        <v>0</v>
      </c>
      <c r="BS299" s="324">
        <v>0</v>
      </c>
      <c r="BT299" s="140">
        <f t="shared" si="153"/>
        <v>0</v>
      </c>
      <c r="BU299" s="114">
        <f t="shared" si="154"/>
        <v>14.010740280151367</v>
      </c>
      <c r="BV299" s="372">
        <v>1</v>
      </c>
      <c r="BW299" s="372">
        <v>1</v>
      </c>
      <c r="BX299" s="372">
        <v>1</v>
      </c>
      <c r="BY299" s="372">
        <v>1</v>
      </c>
      <c r="BZ299" s="436">
        <f t="shared" ref="BZ299:BZ303" si="169">IFERROR((EX299/T299%),0)</f>
        <v>100</v>
      </c>
      <c r="CA299" s="428">
        <f t="shared" si="160"/>
        <v>100</v>
      </c>
      <c r="CB299" s="7" t="s">
        <v>1700</v>
      </c>
      <c r="CC299" s="3">
        <v>0</v>
      </c>
      <c r="CD299" s="3">
        <v>0</v>
      </c>
      <c r="CE299" s="3">
        <v>32.58311627906977</v>
      </c>
      <c r="CF299" s="3">
        <v>0</v>
      </c>
      <c r="CG299" s="3">
        <v>0</v>
      </c>
      <c r="CH299" s="3">
        <v>0</v>
      </c>
      <c r="CI299" s="3">
        <v>0</v>
      </c>
      <c r="CJ299" s="3">
        <v>0</v>
      </c>
      <c r="CK299" s="3">
        <v>0</v>
      </c>
      <c r="CL299" s="3">
        <v>0</v>
      </c>
      <c r="CM299" s="3">
        <v>0</v>
      </c>
      <c r="CN299" s="3">
        <v>0</v>
      </c>
      <c r="CO299" s="4">
        <f t="shared" si="161"/>
        <v>32.58311627906977</v>
      </c>
      <c r="CP299" s="3">
        <v>0</v>
      </c>
      <c r="CQ299" s="3">
        <v>0</v>
      </c>
      <c r="CR299" s="3">
        <v>0</v>
      </c>
      <c r="CS299" s="3">
        <v>0</v>
      </c>
      <c r="CT299" s="3">
        <v>0</v>
      </c>
      <c r="CU299" s="3">
        <v>0</v>
      </c>
      <c r="CV299" s="3">
        <v>0</v>
      </c>
      <c r="CW299" s="3">
        <v>0</v>
      </c>
      <c r="CX299" s="3">
        <v>0</v>
      </c>
      <c r="CY299" s="3">
        <v>0</v>
      </c>
      <c r="CZ299" s="3">
        <v>0</v>
      </c>
      <c r="DA299" s="3">
        <v>0</v>
      </c>
      <c r="DB299" s="4">
        <f t="shared" si="162"/>
        <v>0</v>
      </c>
      <c r="DC299" s="3">
        <v>0</v>
      </c>
      <c r="DD299" s="3">
        <v>0</v>
      </c>
      <c r="DE299" s="3">
        <v>0</v>
      </c>
      <c r="DF299" s="3">
        <v>0</v>
      </c>
      <c r="DG299" s="3">
        <v>0</v>
      </c>
      <c r="DH299" s="3">
        <v>0</v>
      </c>
      <c r="DI299" s="3">
        <v>0</v>
      </c>
      <c r="DJ299" s="3">
        <v>0</v>
      </c>
      <c r="DK299" s="3">
        <v>0</v>
      </c>
      <c r="DL299" s="3">
        <v>0</v>
      </c>
      <c r="DM299" s="3">
        <v>0</v>
      </c>
      <c r="DN299" s="3">
        <v>0</v>
      </c>
      <c r="DO299" s="4">
        <f t="shared" si="163"/>
        <v>0</v>
      </c>
      <c r="DP299" s="3">
        <v>0</v>
      </c>
      <c r="DQ299" s="3">
        <v>0</v>
      </c>
      <c r="DR299" s="3">
        <v>0</v>
      </c>
      <c r="DS299" s="3">
        <v>0</v>
      </c>
      <c r="DT299" s="3">
        <v>0</v>
      </c>
      <c r="DU299" s="3">
        <v>0</v>
      </c>
      <c r="DV299" s="3">
        <v>0</v>
      </c>
      <c r="DW299" s="3">
        <v>0</v>
      </c>
      <c r="DX299" s="3">
        <v>0</v>
      </c>
      <c r="DY299" s="3">
        <v>0</v>
      </c>
      <c r="DZ299" s="3">
        <v>0</v>
      </c>
      <c r="EA299" s="3">
        <v>0</v>
      </c>
      <c r="EB299" s="4">
        <f t="shared" si="164"/>
        <v>0</v>
      </c>
      <c r="EC299" s="3">
        <v>0</v>
      </c>
      <c r="ED299" s="3">
        <v>0</v>
      </c>
      <c r="EE299" s="3">
        <v>0</v>
      </c>
      <c r="EF299" s="3">
        <v>0</v>
      </c>
      <c r="EG299" s="3">
        <v>0</v>
      </c>
      <c r="EH299" s="3">
        <v>0</v>
      </c>
      <c r="EI299" s="3">
        <v>0</v>
      </c>
      <c r="EJ299" s="3">
        <v>0</v>
      </c>
      <c r="EK299" s="3">
        <v>0</v>
      </c>
      <c r="EL299" s="3">
        <v>0</v>
      </c>
      <c r="EM299" s="3">
        <v>0</v>
      </c>
      <c r="EN299" s="3">
        <v>0</v>
      </c>
      <c r="EO299" s="4">
        <f t="shared" si="165"/>
        <v>0</v>
      </c>
      <c r="EP299" s="8">
        <f t="shared" si="166"/>
        <v>32.58311627906977</v>
      </c>
      <c r="EQ299" s="181">
        <f>IFERROR(VLOOKUP(I299,CEI_012018!$A$1:$U$509,9,FALSE),0)</f>
        <v>0</v>
      </c>
      <c r="ER299" s="181">
        <f>IFERROR(VLOOKUP(I299,CEI_022018!$A$1:$U$509,9,FALSE),0)</f>
        <v>0</v>
      </c>
      <c r="ES299" s="181">
        <f>IFERROR(VLOOKUP(I299,CEI_032018!$A$1:$U$509,9,FALSE),0)</f>
        <v>14.010740280151367</v>
      </c>
      <c r="ET299" s="181">
        <f>IFERROR(VLOOKUP(I299,CEI_042018!$A$1:$U$491,9,FALSE),0)</f>
        <v>14.010740280151367</v>
      </c>
      <c r="EU299" s="181">
        <f>IFERROR(VLOOKUP(I299,CEI_052018!$A$1:$U$489,9,FALSE),0)</f>
        <v>14.010740280151367</v>
      </c>
      <c r="EV299" s="181">
        <f>IFERROR(VLOOKUP(I299,CEI_062018!$A$1:$U$489,9,FALSE),0)</f>
        <v>14.010740280151367</v>
      </c>
      <c r="EW299" s="181">
        <f>IFERROR(VLOOKUP(I299,CEI_072018!$A$1:$U$489,9,FALSE),0)</f>
        <v>14.010740280151367</v>
      </c>
      <c r="EX299" s="181">
        <f>IFERROR(VLOOKUP(I299,CEI_082018!$A$1:$U$489,9,FALSE),0)</f>
        <v>14.010740280151367</v>
      </c>
      <c r="EY299" s="181">
        <f>IFERROR(VLOOKUP(I299,CEI_092018!$A$1:$U$489,9,FALSE),0)</f>
        <v>14.010740280151367</v>
      </c>
      <c r="EZ299" s="181"/>
      <c r="FA299" s="181"/>
      <c r="FB299" s="181"/>
      <c r="FC299" s="181">
        <f>IFERROR(VLOOKUP(I299,CEI_092018!$A$1:$U$489,12,FALSE),0)</f>
        <v>0</v>
      </c>
      <c r="FD299" s="181">
        <f t="shared" si="155"/>
        <v>14.010740280151367</v>
      </c>
      <c r="FE299" s="181">
        <f t="shared" si="156"/>
        <v>0</v>
      </c>
      <c r="FF299"/>
      <c r="FG299"/>
      <c r="FH299"/>
      <c r="FI299"/>
      <c r="FJ299"/>
      <c r="FK299"/>
      <c r="FL299"/>
      <c r="FM299"/>
      <c r="FN299"/>
      <c r="FO299"/>
      <c r="FP299"/>
      <c r="FQ299"/>
      <c r="FR299"/>
      <c r="FS299"/>
      <c r="FT299"/>
      <c r="FU299"/>
      <c r="FV299"/>
      <c r="FW299"/>
      <c r="FX299"/>
      <c r="FY299"/>
      <c r="FZ299"/>
      <c r="GA299"/>
      <c r="GB299"/>
      <c r="GC299"/>
    </row>
    <row r="300" spans="1:185" ht="12.75" customHeight="1" x14ac:dyDescent="0.25">
      <c r="A300" s="202"/>
      <c r="B300" s="22" t="s">
        <v>57</v>
      </c>
      <c r="C300" s="34" t="s">
        <v>44</v>
      </c>
      <c r="D300" s="22" t="s">
        <v>1058</v>
      </c>
      <c r="E300" s="25" t="s">
        <v>1062</v>
      </c>
      <c r="F300" s="25" t="s">
        <v>488</v>
      </c>
      <c r="G300" s="25" t="s">
        <v>1847</v>
      </c>
      <c r="H300" s="22" t="s">
        <v>62</v>
      </c>
      <c r="I300" s="423" t="s">
        <v>1798</v>
      </c>
      <c r="J300" s="37" t="s">
        <v>1799</v>
      </c>
      <c r="K300" s="23" t="s">
        <v>854</v>
      </c>
      <c r="L300" s="23" t="s">
        <v>855</v>
      </c>
      <c r="M300" s="23" t="s">
        <v>856</v>
      </c>
      <c r="N300" s="23" t="s">
        <v>59</v>
      </c>
      <c r="O300" s="2">
        <v>0</v>
      </c>
      <c r="P300" s="2">
        <v>0</v>
      </c>
      <c r="Q300" s="2">
        <v>12</v>
      </c>
      <c r="R300" s="2">
        <v>0</v>
      </c>
      <c r="S300" s="2">
        <v>0</v>
      </c>
      <c r="T300" s="116">
        <f t="shared" si="143"/>
        <v>12</v>
      </c>
      <c r="U300" s="324">
        <v>0</v>
      </c>
      <c r="V300" s="324">
        <v>0</v>
      </c>
      <c r="W300" s="324">
        <v>0</v>
      </c>
      <c r="X300" s="324">
        <v>0</v>
      </c>
      <c r="Y300" s="324">
        <v>0</v>
      </c>
      <c r="Z300" s="324">
        <v>0</v>
      </c>
      <c r="AA300" s="324">
        <v>0</v>
      </c>
      <c r="AB300" s="324">
        <v>0</v>
      </c>
      <c r="AC300" s="324">
        <v>0</v>
      </c>
      <c r="AD300" s="324">
        <v>0</v>
      </c>
      <c r="AE300" s="324">
        <v>0</v>
      </c>
      <c r="AF300" s="324">
        <v>0</v>
      </c>
      <c r="AG300" s="140">
        <f t="shared" si="150"/>
        <v>0</v>
      </c>
      <c r="AH300" s="324">
        <v>0</v>
      </c>
      <c r="AI300" s="324">
        <v>0</v>
      </c>
      <c r="AJ300" s="324">
        <v>0</v>
      </c>
      <c r="AK300" s="324">
        <v>0</v>
      </c>
      <c r="AL300" s="324">
        <v>0</v>
      </c>
      <c r="AM300" s="324">
        <v>0</v>
      </c>
      <c r="AN300" s="324">
        <v>0</v>
      </c>
      <c r="AO300" s="324">
        <v>0</v>
      </c>
      <c r="AP300" s="324">
        <v>0</v>
      </c>
      <c r="AQ300" s="324">
        <v>0</v>
      </c>
      <c r="AR300" s="324">
        <v>0</v>
      </c>
      <c r="AS300" s="324">
        <v>0</v>
      </c>
      <c r="AT300" s="140">
        <f t="shared" si="151"/>
        <v>0</v>
      </c>
      <c r="AU300" s="324">
        <v>0</v>
      </c>
      <c r="AV300" s="324">
        <v>0</v>
      </c>
      <c r="AW300" s="324">
        <v>0</v>
      </c>
      <c r="AX300" s="324">
        <v>0</v>
      </c>
      <c r="AY300" s="324">
        <v>0</v>
      </c>
      <c r="AZ300" s="324">
        <v>0</v>
      </c>
      <c r="BA300" s="324">
        <v>0</v>
      </c>
      <c r="BB300" s="324">
        <v>0</v>
      </c>
      <c r="BC300" s="324">
        <v>0</v>
      </c>
      <c r="BD300" s="324">
        <v>0</v>
      </c>
      <c r="BE300" s="324">
        <v>0</v>
      </c>
      <c r="BF300" s="324">
        <v>0</v>
      </c>
      <c r="BG300" s="140">
        <f t="shared" si="152"/>
        <v>0</v>
      </c>
      <c r="BH300" s="324">
        <v>0</v>
      </c>
      <c r="BI300" s="324">
        <v>0</v>
      </c>
      <c r="BJ300" s="324">
        <v>0</v>
      </c>
      <c r="BK300" s="324">
        <v>0</v>
      </c>
      <c r="BL300" s="324">
        <v>0</v>
      </c>
      <c r="BM300" s="324">
        <v>0</v>
      </c>
      <c r="BN300" s="324">
        <v>0</v>
      </c>
      <c r="BO300" s="324">
        <v>0</v>
      </c>
      <c r="BP300" s="324">
        <v>0</v>
      </c>
      <c r="BQ300" s="324">
        <v>0</v>
      </c>
      <c r="BR300" s="324">
        <v>0</v>
      </c>
      <c r="BS300" s="324">
        <v>0</v>
      </c>
      <c r="BT300" s="140">
        <f t="shared" si="153"/>
        <v>0</v>
      </c>
      <c r="BU300" s="114">
        <f t="shared" si="154"/>
        <v>12</v>
      </c>
      <c r="BV300" s="372">
        <v>1</v>
      </c>
      <c r="BW300" s="372">
        <v>1</v>
      </c>
      <c r="BX300" s="372">
        <v>1</v>
      </c>
      <c r="BY300" s="372">
        <v>1</v>
      </c>
      <c r="BZ300" s="436">
        <f t="shared" si="169"/>
        <v>0</v>
      </c>
      <c r="CA300" s="428">
        <f t="shared" si="160"/>
        <v>91.666666666666671</v>
      </c>
      <c r="CB300" s="7" t="s">
        <v>1702</v>
      </c>
      <c r="CC300" s="3">
        <v>0</v>
      </c>
      <c r="CD300" s="3">
        <v>0</v>
      </c>
      <c r="CE300" s="3">
        <v>0</v>
      </c>
      <c r="CF300" s="3">
        <v>0</v>
      </c>
      <c r="CG300" s="3">
        <v>0</v>
      </c>
      <c r="CH300" s="3">
        <v>0</v>
      </c>
      <c r="CI300" s="3">
        <v>0</v>
      </c>
      <c r="CJ300" s="3">
        <v>1</v>
      </c>
      <c r="CK300" s="3">
        <v>0</v>
      </c>
      <c r="CL300" s="3">
        <v>0</v>
      </c>
      <c r="CM300" s="3">
        <v>0</v>
      </c>
      <c r="CN300" s="3">
        <v>0</v>
      </c>
      <c r="CO300" s="4">
        <f t="shared" si="161"/>
        <v>1</v>
      </c>
      <c r="CP300" s="3">
        <v>0</v>
      </c>
      <c r="CQ300" s="3">
        <v>0</v>
      </c>
      <c r="CR300" s="3">
        <v>0</v>
      </c>
      <c r="CS300" s="3">
        <v>0</v>
      </c>
      <c r="CT300" s="3">
        <v>0</v>
      </c>
      <c r="CU300" s="3">
        <v>0</v>
      </c>
      <c r="CV300" s="3">
        <v>0</v>
      </c>
      <c r="CW300" s="3">
        <v>0</v>
      </c>
      <c r="CX300" s="3">
        <v>0</v>
      </c>
      <c r="CY300" s="3">
        <v>0</v>
      </c>
      <c r="CZ300" s="3">
        <v>0</v>
      </c>
      <c r="DA300" s="3">
        <v>0</v>
      </c>
      <c r="DB300" s="4">
        <f t="shared" si="162"/>
        <v>0</v>
      </c>
      <c r="DC300" s="3">
        <v>0</v>
      </c>
      <c r="DD300" s="3">
        <v>0</v>
      </c>
      <c r="DE300" s="3">
        <v>0</v>
      </c>
      <c r="DF300" s="3">
        <v>0</v>
      </c>
      <c r="DG300" s="3">
        <v>0</v>
      </c>
      <c r="DH300" s="3">
        <v>0</v>
      </c>
      <c r="DI300" s="3">
        <v>0</v>
      </c>
      <c r="DJ300" s="3">
        <v>0</v>
      </c>
      <c r="DK300" s="3">
        <v>0</v>
      </c>
      <c r="DL300" s="3">
        <v>0</v>
      </c>
      <c r="DM300" s="3">
        <v>0</v>
      </c>
      <c r="DN300" s="3">
        <v>0</v>
      </c>
      <c r="DO300" s="4">
        <f t="shared" si="163"/>
        <v>0</v>
      </c>
      <c r="DP300" s="3">
        <v>0</v>
      </c>
      <c r="DQ300" s="3">
        <v>0</v>
      </c>
      <c r="DR300" s="3">
        <v>0</v>
      </c>
      <c r="DS300" s="3">
        <v>0</v>
      </c>
      <c r="DT300" s="3">
        <v>0</v>
      </c>
      <c r="DU300" s="3">
        <v>0</v>
      </c>
      <c r="DV300" s="3">
        <v>0</v>
      </c>
      <c r="DW300" s="3">
        <v>0</v>
      </c>
      <c r="DX300" s="3">
        <v>0</v>
      </c>
      <c r="DY300" s="3">
        <v>0</v>
      </c>
      <c r="DZ300" s="3">
        <v>0</v>
      </c>
      <c r="EA300" s="3">
        <v>0</v>
      </c>
      <c r="EB300" s="4">
        <f t="shared" si="164"/>
        <v>0</v>
      </c>
      <c r="EC300" s="3">
        <v>0</v>
      </c>
      <c r="ED300" s="3">
        <v>0</v>
      </c>
      <c r="EE300" s="3">
        <v>0</v>
      </c>
      <c r="EF300" s="3">
        <v>0</v>
      </c>
      <c r="EG300" s="3">
        <v>0</v>
      </c>
      <c r="EH300" s="3">
        <v>0</v>
      </c>
      <c r="EI300" s="3">
        <v>0</v>
      </c>
      <c r="EJ300" s="3">
        <v>0</v>
      </c>
      <c r="EK300" s="3">
        <v>0</v>
      </c>
      <c r="EL300" s="3">
        <v>0</v>
      </c>
      <c r="EM300" s="3">
        <v>0</v>
      </c>
      <c r="EN300" s="3">
        <v>0</v>
      </c>
      <c r="EO300" s="4">
        <f t="shared" si="165"/>
        <v>0</v>
      </c>
      <c r="EP300" s="8">
        <f t="shared" si="166"/>
        <v>1</v>
      </c>
      <c r="EQ300" s="181">
        <f>IFERROR(VLOOKUP(I300,CEI_012018!$A$1:$U$509,9,FALSE),0)</f>
        <v>0</v>
      </c>
      <c r="ER300" s="181">
        <f>IFERROR(VLOOKUP(I300,CEI_022018!$A$1:$U$509,9,FALSE),0)</f>
        <v>0</v>
      </c>
      <c r="ES300" s="181">
        <f>IFERROR(VLOOKUP(I300,CEI_032018!$A$1:$U$509,9,FALSE),0)</f>
        <v>0</v>
      </c>
      <c r="ET300" s="181">
        <f>IFERROR(VLOOKUP(I300,CEI_042018!$A$1:$U$491,9,FALSE),0)</f>
        <v>0</v>
      </c>
      <c r="EU300" s="181">
        <f>IFERROR(VLOOKUP(I300,CEI_052018!$A$1:$U$489,9,FALSE),0)</f>
        <v>0</v>
      </c>
      <c r="EV300" s="181">
        <f>IFERROR(VLOOKUP(I300,CEI_062018!$A$1:$U$489,9,FALSE),0)</f>
        <v>0</v>
      </c>
      <c r="EW300" s="181">
        <f>IFERROR(VLOOKUP(I300,CEI_072018!$A$1:$U$489,9,FALSE),0)</f>
        <v>0</v>
      </c>
      <c r="EX300" s="181">
        <f>IFERROR(VLOOKUP(I300,CEI_082018!$A$1:$U$489,9,FALSE),0)</f>
        <v>0</v>
      </c>
      <c r="EY300" s="181">
        <f>IFERROR(VLOOKUP(I300,CEI_092018!$A$1:$U$489,9,FALSE),0)</f>
        <v>0</v>
      </c>
      <c r="EZ300" s="181"/>
      <c r="FA300" s="181"/>
      <c r="FB300" s="181"/>
      <c r="FC300" s="181">
        <f>IFERROR(VLOOKUP(I300,CEI_092018!$A$1:$U$489,12,FALSE),0)</f>
        <v>11</v>
      </c>
      <c r="FD300" s="181">
        <f t="shared" si="155"/>
        <v>11</v>
      </c>
      <c r="FE300" s="181">
        <f t="shared" si="156"/>
        <v>1</v>
      </c>
      <c r="FF300"/>
      <c r="FG300"/>
      <c r="FH300"/>
      <c r="FI300"/>
      <c r="FJ300"/>
      <c r="FK300"/>
      <c r="FL300"/>
      <c r="FM300"/>
      <c r="FN300"/>
      <c r="FO300"/>
      <c r="FP300"/>
      <c r="FQ300"/>
      <c r="FR300"/>
      <c r="FS300"/>
      <c r="FT300"/>
      <c r="FU300"/>
      <c r="FV300"/>
      <c r="FW300"/>
      <c r="FX300"/>
      <c r="FY300"/>
      <c r="FZ300"/>
      <c r="GA300"/>
      <c r="GB300"/>
      <c r="GC300"/>
    </row>
    <row r="301" spans="1:185" ht="12.75" customHeight="1" x14ac:dyDescent="0.25">
      <c r="A301" s="202"/>
      <c r="B301" s="22" t="s">
        <v>57</v>
      </c>
      <c r="C301" s="34" t="s">
        <v>44</v>
      </c>
      <c r="D301" s="22" t="s">
        <v>1059</v>
      </c>
      <c r="E301" s="25" t="s">
        <v>1063</v>
      </c>
      <c r="F301" s="25" t="s">
        <v>1059</v>
      </c>
      <c r="G301" s="25" t="s">
        <v>1063</v>
      </c>
      <c r="H301" s="22" t="s">
        <v>56</v>
      </c>
      <c r="I301" s="423" t="s">
        <v>1181</v>
      </c>
      <c r="J301" s="37" t="s">
        <v>1182</v>
      </c>
      <c r="K301" s="23" t="s">
        <v>1183</v>
      </c>
      <c r="L301" s="23" t="s">
        <v>1184</v>
      </c>
      <c r="M301" s="23" t="s">
        <v>59</v>
      </c>
      <c r="N301" s="23" t="s">
        <v>59</v>
      </c>
      <c r="O301" s="2">
        <v>10.502650260925293</v>
      </c>
      <c r="P301" s="2">
        <v>0</v>
      </c>
      <c r="Q301" s="2">
        <v>0</v>
      </c>
      <c r="R301" s="2">
        <v>0</v>
      </c>
      <c r="S301" s="2">
        <v>0</v>
      </c>
      <c r="T301" s="116">
        <f t="shared" si="143"/>
        <v>10.502650260925293</v>
      </c>
      <c r="U301" s="324">
        <v>0</v>
      </c>
      <c r="V301" s="324">
        <v>0</v>
      </c>
      <c r="W301" s="324">
        <v>0</v>
      </c>
      <c r="X301" s="324">
        <v>0</v>
      </c>
      <c r="Y301" s="324">
        <v>0</v>
      </c>
      <c r="Z301" s="324">
        <v>0</v>
      </c>
      <c r="AA301" s="324">
        <v>0</v>
      </c>
      <c r="AB301" s="324">
        <v>0</v>
      </c>
      <c r="AC301" s="324">
        <v>0</v>
      </c>
      <c r="AD301" s="324">
        <v>0</v>
      </c>
      <c r="AE301" s="324">
        <v>0</v>
      </c>
      <c r="AF301" s="324">
        <v>0</v>
      </c>
      <c r="AG301" s="140">
        <f t="shared" si="150"/>
        <v>0</v>
      </c>
      <c r="AH301" s="324">
        <v>0</v>
      </c>
      <c r="AI301" s="324">
        <v>0</v>
      </c>
      <c r="AJ301" s="324">
        <v>0</v>
      </c>
      <c r="AK301" s="324">
        <v>0</v>
      </c>
      <c r="AL301" s="324">
        <v>0</v>
      </c>
      <c r="AM301" s="324">
        <v>0</v>
      </c>
      <c r="AN301" s="324">
        <v>0</v>
      </c>
      <c r="AO301" s="324">
        <v>0</v>
      </c>
      <c r="AP301" s="324">
        <v>0</v>
      </c>
      <c r="AQ301" s="324">
        <v>0</v>
      </c>
      <c r="AR301" s="324">
        <v>0</v>
      </c>
      <c r="AS301" s="324">
        <v>0</v>
      </c>
      <c r="AT301" s="140">
        <f t="shared" si="151"/>
        <v>0</v>
      </c>
      <c r="AU301" s="324">
        <v>0</v>
      </c>
      <c r="AV301" s="324">
        <v>0</v>
      </c>
      <c r="AW301" s="324">
        <v>0</v>
      </c>
      <c r="AX301" s="324">
        <v>0</v>
      </c>
      <c r="AY301" s="324">
        <v>0</v>
      </c>
      <c r="AZ301" s="324">
        <v>0</v>
      </c>
      <c r="BA301" s="324">
        <v>0</v>
      </c>
      <c r="BB301" s="324">
        <v>0</v>
      </c>
      <c r="BC301" s="324">
        <v>0</v>
      </c>
      <c r="BD301" s="324">
        <v>0</v>
      </c>
      <c r="BE301" s="324">
        <v>0</v>
      </c>
      <c r="BF301" s="324">
        <v>0</v>
      </c>
      <c r="BG301" s="140">
        <f t="shared" si="152"/>
        <v>0</v>
      </c>
      <c r="BH301" s="324">
        <v>0</v>
      </c>
      <c r="BI301" s="324">
        <v>0</v>
      </c>
      <c r="BJ301" s="324">
        <v>0</v>
      </c>
      <c r="BK301" s="324">
        <v>0</v>
      </c>
      <c r="BL301" s="324">
        <v>0</v>
      </c>
      <c r="BM301" s="324">
        <v>0</v>
      </c>
      <c r="BN301" s="324">
        <v>0</v>
      </c>
      <c r="BO301" s="324">
        <v>0</v>
      </c>
      <c r="BP301" s="324">
        <v>0</v>
      </c>
      <c r="BQ301" s="324">
        <v>0</v>
      </c>
      <c r="BR301" s="324">
        <v>0</v>
      </c>
      <c r="BS301" s="324">
        <v>0</v>
      </c>
      <c r="BT301" s="140">
        <f t="shared" si="153"/>
        <v>0</v>
      </c>
      <c r="BU301" s="114">
        <f t="shared" si="154"/>
        <v>10.502650260925293</v>
      </c>
      <c r="BV301" s="372">
        <v>1</v>
      </c>
      <c r="BW301" s="372">
        <v>1</v>
      </c>
      <c r="BX301" s="372">
        <v>1</v>
      </c>
      <c r="BY301" s="372">
        <v>1</v>
      </c>
      <c r="BZ301" s="436">
        <f t="shared" si="169"/>
        <v>100</v>
      </c>
      <c r="CA301" s="428">
        <f t="shared" si="160"/>
        <v>100</v>
      </c>
      <c r="CB301" s="7" t="s">
        <v>1700</v>
      </c>
      <c r="CC301" s="3">
        <v>0</v>
      </c>
      <c r="CD301" s="3">
        <v>0</v>
      </c>
      <c r="CE301" s="3">
        <v>24.424767441860464</v>
      </c>
      <c r="CF301" s="3">
        <v>0</v>
      </c>
      <c r="CG301" s="3">
        <v>0</v>
      </c>
      <c r="CH301" s="3">
        <v>0</v>
      </c>
      <c r="CI301" s="3">
        <v>0</v>
      </c>
      <c r="CJ301" s="3">
        <v>0</v>
      </c>
      <c r="CK301" s="3">
        <v>0</v>
      </c>
      <c r="CL301" s="3">
        <v>0</v>
      </c>
      <c r="CM301" s="3">
        <v>0</v>
      </c>
      <c r="CN301" s="3">
        <v>0</v>
      </c>
      <c r="CO301" s="4">
        <f t="shared" si="161"/>
        <v>24.424767441860464</v>
      </c>
      <c r="CP301" s="3">
        <v>0</v>
      </c>
      <c r="CQ301" s="3">
        <v>0</v>
      </c>
      <c r="CR301" s="3">
        <v>0</v>
      </c>
      <c r="CS301" s="3">
        <v>0</v>
      </c>
      <c r="CT301" s="3">
        <v>0</v>
      </c>
      <c r="CU301" s="3">
        <v>0</v>
      </c>
      <c r="CV301" s="3">
        <v>0</v>
      </c>
      <c r="CW301" s="3">
        <v>0</v>
      </c>
      <c r="CX301" s="3">
        <v>0</v>
      </c>
      <c r="CY301" s="3">
        <v>0</v>
      </c>
      <c r="CZ301" s="3">
        <v>0</v>
      </c>
      <c r="DA301" s="3">
        <v>0</v>
      </c>
      <c r="DB301" s="4">
        <f t="shared" si="162"/>
        <v>0</v>
      </c>
      <c r="DC301" s="3">
        <v>0</v>
      </c>
      <c r="DD301" s="3">
        <v>0</v>
      </c>
      <c r="DE301" s="3">
        <v>0</v>
      </c>
      <c r="DF301" s="3">
        <v>0</v>
      </c>
      <c r="DG301" s="3">
        <v>0</v>
      </c>
      <c r="DH301" s="3">
        <v>0</v>
      </c>
      <c r="DI301" s="3">
        <v>0</v>
      </c>
      <c r="DJ301" s="3">
        <v>0</v>
      </c>
      <c r="DK301" s="3">
        <v>0</v>
      </c>
      <c r="DL301" s="3">
        <v>0</v>
      </c>
      <c r="DM301" s="3">
        <v>0</v>
      </c>
      <c r="DN301" s="3">
        <v>0</v>
      </c>
      <c r="DO301" s="4">
        <f t="shared" si="163"/>
        <v>0</v>
      </c>
      <c r="DP301" s="3">
        <v>0</v>
      </c>
      <c r="DQ301" s="3">
        <v>0</v>
      </c>
      <c r="DR301" s="3">
        <v>0</v>
      </c>
      <c r="DS301" s="3">
        <v>0</v>
      </c>
      <c r="DT301" s="3">
        <v>0</v>
      </c>
      <c r="DU301" s="3">
        <v>0</v>
      </c>
      <c r="DV301" s="3">
        <v>0</v>
      </c>
      <c r="DW301" s="3">
        <v>0</v>
      </c>
      <c r="DX301" s="3">
        <v>0</v>
      </c>
      <c r="DY301" s="3">
        <v>0</v>
      </c>
      <c r="DZ301" s="3">
        <v>0</v>
      </c>
      <c r="EA301" s="3">
        <v>0</v>
      </c>
      <c r="EB301" s="4">
        <f t="shared" si="164"/>
        <v>0</v>
      </c>
      <c r="EC301" s="3">
        <v>0</v>
      </c>
      <c r="ED301" s="3">
        <v>0</v>
      </c>
      <c r="EE301" s="3">
        <v>0</v>
      </c>
      <c r="EF301" s="3">
        <v>0</v>
      </c>
      <c r="EG301" s="3">
        <v>0</v>
      </c>
      <c r="EH301" s="3">
        <v>0</v>
      </c>
      <c r="EI301" s="3">
        <v>0</v>
      </c>
      <c r="EJ301" s="3">
        <v>0</v>
      </c>
      <c r="EK301" s="3">
        <v>0</v>
      </c>
      <c r="EL301" s="3">
        <v>0</v>
      </c>
      <c r="EM301" s="3">
        <v>0</v>
      </c>
      <c r="EN301" s="3">
        <v>0</v>
      </c>
      <c r="EO301" s="4">
        <f t="shared" si="165"/>
        <v>0</v>
      </c>
      <c r="EP301" s="8">
        <f t="shared" si="166"/>
        <v>24.424767441860464</v>
      </c>
      <c r="EQ301" s="181">
        <f>IFERROR(VLOOKUP(I301,CEI_012018!$A$1:$U$509,9,FALSE),0)</f>
        <v>0</v>
      </c>
      <c r="ER301" s="181">
        <f>IFERROR(VLOOKUP(I301,CEI_022018!$A$1:$U$509,9,FALSE),0)</f>
        <v>0</v>
      </c>
      <c r="ES301" s="181">
        <f>IFERROR(VLOOKUP(I301,CEI_032018!$A$1:$U$509,9,FALSE),0)</f>
        <v>10.502650260925293</v>
      </c>
      <c r="ET301" s="181">
        <f>IFERROR(VLOOKUP(I301,CEI_042018!$A$1:$U$491,9,FALSE),0)</f>
        <v>10.502650260925293</v>
      </c>
      <c r="EU301" s="181">
        <f>IFERROR(VLOOKUP(I301,CEI_052018!$A$1:$U$489,9,FALSE),0)</f>
        <v>10.502650260925293</v>
      </c>
      <c r="EV301" s="181">
        <f>IFERROR(VLOOKUP(I301,CEI_062018!$A$1:$U$489,9,FALSE),0)</f>
        <v>10.502650260925293</v>
      </c>
      <c r="EW301" s="181">
        <f>IFERROR(VLOOKUP(I301,CEI_072018!$A$1:$U$489,9,FALSE),0)</f>
        <v>10.502650260925293</v>
      </c>
      <c r="EX301" s="181">
        <f>IFERROR(VLOOKUP(I301,CEI_082018!$A$1:$U$489,9,FALSE),0)</f>
        <v>10.502650260925293</v>
      </c>
      <c r="EY301" s="181">
        <f>IFERROR(VLOOKUP(I301,CEI_092018!$A$1:$U$489,9,FALSE),0)</f>
        <v>10.502650260925293</v>
      </c>
      <c r="EZ301" s="181"/>
      <c r="FA301" s="181"/>
      <c r="FB301" s="181"/>
      <c r="FC301" s="181">
        <f>IFERROR(VLOOKUP(I301,CEI_092018!$A$1:$U$489,12,FALSE),0)</f>
        <v>0</v>
      </c>
      <c r="FD301" s="181">
        <f t="shared" si="155"/>
        <v>10.502650260925293</v>
      </c>
      <c r="FE301" s="181">
        <f t="shared" si="156"/>
        <v>0</v>
      </c>
      <c r="FF301"/>
      <c r="FG301"/>
      <c r="FH301"/>
      <c r="FI301"/>
      <c r="FJ301"/>
      <c r="FK301"/>
      <c r="FL301"/>
      <c r="FM301"/>
      <c r="FN301"/>
      <c r="FO301"/>
      <c r="FP301"/>
      <c r="FQ301"/>
      <c r="FR301"/>
      <c r="FS301"/>
      <c r="FT301"/>
      <c r="FU301"/>
      <c r="FV301"/>
      <c r="FW301"/>
      <c r="FX301"/>
      <c r="FY301"/>
      <c r="FZ301"/>
      <c r="GA301"/>
      <c r="GB301"/>
      <c r="GC301"/>
    </row>
    <row r="302" spans="1:185" ht="12.75" customHeight="1" x14ac:dyDescent="0.25">
      <c r="A302" s="202"/>
      <c r="B302" s="22" t="s">
        <v>57</v>
      </c>
      <c r="C302" s="34" t="s">
        <v>44</v>
      </c>
      <c r="D302" s="22" t="s">
        <v>1059</v>
      </c>
      <c r="E302" s="25" t="s">
        <v>1063</v>
      </c>
      <c r="F302" s="25" t="s">
        <v>1059</v>
      </c>
      <c r="G302" s="25" t="s">
        <v>1063</v>
      </c>
      <c r="H302" s="22" t="s">
        <v>56</v>
      </c>
      <c r="I302" s="423" t="s">
        <v>1185</v>
      </c>
      <c r="J302" s="37" t="s">
        <v>1186</v>
      </c>
      <c r="K302" s="23" t="s">
        <v>1187</v>
      </c>
      <c r="L302" s="23" t="s">
        <v>1188</v>
      </c>
      <c r="M302" s="23" t="s">
        <v>59</v>
      </c>
      <c r="N302" s="23" t="s">
        <v>59</v>
      </c>
      <c r="O302" s="2">
        <v>9.5870800018310547</v>
      </c>
      <c r="P302" s="2">
        <v>0</v>
      </c>
      <c r="Q302" s="2">
        <v>0</v>
      </c>
      <c r="R302" s="2">
        <v>0</v>
      </c>
      <c r="S302" s="2">
        <v>0</v>
      </c>
      <c r="T302" s="116">
        <f t="shared" si="143"/>
        <v>9.5870800018310547</v>
      </c>
      <c r="U302" s="324">
        <v>0</v>
      </c>
      <c r="V302" s="324">
        <v>0</v>
      </c>
      <c r="W302" s="324">
        <v>0</v>
      </c>
      <c r="X302" s="324">
        <v>0</v>
      </c>
      <c r="Y302" s="324">
        <v>0</v>
      </c>
      <c r="Z302" s="324">
        <v>0</v>
      </c>
      <c r="AA302" s="324">
        <v>0</v>
      </c>
      <c r="AB302" s="324">
        <v>0</v>
      </c>
      <c r="AC302" s="324">
        <v>0</v>
      </c>
      <c r="AD302" s="324">
        <v>0</v>
      </c>
      <c r="AE302" s="324">
        <v>0</v>
      </c>
      <c r="AF302" s="324">
        <v>0</v>
      </c>
      <c r="AG302" s="140">
        <f t="shared" si="150"/>
        <v>0</v>
      </c>
      <c r="AH302" s="324">
        <v>0</v>
      </c>
      <c r="AI302" s="324">
        <v>0</v>
      </c>
      <c r="AJ302" s="324">
        <v>0</v>
      </c>
      <c r="AK302" s="324">
        <v>0</v>
      </c>
      <c r="AL302" s="324">
        <v>0</v>
      </c>
      <c r="AM302" s="324">
        <v>0</v>
      </c>
      <c r="AN302" s="324">
        <v>0</v>
      </c>
      <c r="AO302" s="324">
        <v>0</v>
      </c>
      <c r="AP302" s="324">
        <v>0</v>
      </c>
      <c r="AQ302" s="324">
        <v>0</v>
      </c>
      <c r="AR302" s="324">
        <v>0</v>
      </c>
      <c r="AS302" s="324">
        <v>0</v>
      </c>
      <c r="AT302" s="140">
        <f t="shared" si="151"/>
        <v>0</v>
      </c>
      <c r="AU302" s="324">
        <v>0</v>
      </c>
      <c r="AV302" s="324">
        <v>0</v>
      </c>
      <c r="AW302" s="324">
        <v>0</v>
      </c>
      <c r="AX302" s="324">
        <v>0</v>
      </c>
      <c r="AY302" s="324">
        <v>0</v>
      </c>
      <c r="AZ302" s="324">
        <v>0</v>
      </c>
      <c r="BA302" s="324">
        <v>0</v>
      </c>
      <c r="BB302" s="324">
        <v>0</v>
      </c>
      <c r="BC302" s="324">
        <v>0</v>
      </c>
      <c r="BD302" s="324">
        <v>0</v>
      </c>
      <c r="BE302" s="324">
        <v>0</v>
      </c>
      <c r="BF302" s="324">
        <v>0</v>
      </c>
      <c r="BG302" s="140">
        <f t="shared" si="152"/>
        <v>0</v>
      </c>
      <c r="BH302" s="324">
        <v>0</v>
      </c>
      <c r="BI302" s="324">
        <v>0</v>
      </c>
      <c r="BJ302" s="324">
        <v>0</v>
      </c>
      <c r="BK302" s="324">
        <v>0</v>
      </c>
      <c r="BL302" s="324">
        <v>0</v>
      </c>
      <c r="BM302" s="324">
        <v>0</v>
      </c>
      <c r="BN302" s="324">
        <v>0</v>
      </c>
      <c r="BO302" s="324">
        <v>0</v>
      </c>
      <c r="BP302" s="324">
        <v>0</v>
      </c>
      <c r="BQ302" s="324">
        <v>0</v>
      </c>
      <c r="BR302" s="324">
        <v>0</v>
      </c>
      <c r="BS302" s="324">
        <v>0</v>
      </c>
      <c r="BT302" s="140">
        <f t="shared" si="153"/>
        <v>0</v>
      </c>
      <c r="BU302" s="114">
        <f t="shared" si="154"/>
        <v>9.5870800018310547</v>
      </c>
      <c r="BV302" s="372">
        <v>1</v>
      </c>
      <c r="BW302" s="372">
        <v>1</v>
      </c>
      <c r="BX302" s="372">
        <v>1</v>
      </c>
      <c r="BY302" s="372">
        <v>1</v>
      </c>
      <c r="BZ302" s="436">
        <f t="shared" si="169"/>
        <v>100</v>
      </c>
      <c r="CA302" s="428">
        <f t="shared" si="160"/>
        <v>100</v>
      </c>
      <c r="CB302" s="7" t="s">
        <v>1700</v>
      </c>
      <c r="CC302" s="3">
        <v>0</v>
      </c>
      <c r="CD302" s="3">
        <v>0</v>
      </c>
      <c r="CE302" s="3">
        <v>22.295534883720933</v>
      </c>
      <c r="CF302" s="3">
        <v>0</v>
      </c>
      <c r="CG302" s="3">
        <v>0</v>
      </c>
      <c r="CH302" s="3">
        <v>0</v>
      </c>
      <c r="CI302" s="3">
        <v>0</v>
      </c>
      <c r="CJ302" s="3">
        <v>0</v>
      </c>
      <c r="CK302" s="3">
        <v>0</v>
      </c>
      <c r="CL302" s="3">
        <v>0</v>
      </c>
      <c r="CM302" s="3">
        <v>0</v>
      </c>
      <c r="CN302" s="3">
        <v>0</v>
      </c>
      <c r="CO302" s="4">
        <f t="shared" si="161"/>
        <v>22.295534883720933</v>
      </c>
      <c r="CP302" s="3">
        <v>0</v>
      </c>
      <c r="CQ302" s="3">
        <v>0</v>
      </c>
      <c r="CR302" s="3">
        <v>0</v>
      </c>
      <c r="CS302" s="3">
        <v>0</v>
      </c>
      <c r="CT302" s="3">
        <v>0</v>
      </c>
      <c r="CU302" s="3">
        <v>0</v>
      </c>
      <c r="CV302" s="3">
        <v>0</v>
      </c>
      <c r="CW302" s="3">
        <v>0</v>
      </c>
      <c r="CX302" s="3">
        <v>0</v>
      </c>
      <c r="CY302" s="3">
        <v>0</v>
      </c>
      <c r="CZ302" s="3">
        <v>0</v>
      </c>
      <c r="DA302" s="3">
        <v>0</v>
      </c>
      <c r="DB302" s="4">
        <f t="shared" si="162"/>
        <v>0</v>
      </c>
      <c r="DC302" s="3">
        <v>0</v>
      </c>
      <c r="DD302" s="3">
        <v>0</v>
      </c>
      <c r="DE302" s="3">
        <v>0</v>
      </c>
      <c r="DF302" s="3">
        <v>0</v>
      </c>
      <c r="DG302" s="3">
        <v>0</v>
      </c>
      <c r="DH302" s="3">
        <v>0</v>
      </c>
      <c r="DI302" s="3">
        <v>0</v>
      </c>
      <c r="DJ302" s="3">
        <v>0</v>
      </c>
      <c r="DK302" s="3">
        <v>0</v>
      </c>
      <c r="DL302" s="3">
        <v>0</v>
      </c>
      <c r="DM302" s="3">
        <v>0</v>
      </c>
      <c r="DN302" s="3">
        <v>0</v>
      </c>
      <c r="DO302" s="4">
        <f t="shared" si="163"/>
        <v>0</v>
      </c>
      <c r="DP302" s="3">
        <v>0</v>
      </c>
      <c r="DQ302" s="3">
        <v>0</v>
      </c>
      <c r="DR302" s="3">
        <v>0</v>
      </c>
      <c r="DS302" s="3">
        <v>0</v>
      </c>
      <c r="DT302" s="3">
        <v>0</v>
      </c>
      <c r="DU302" s="3">
        <v>0</v>
      </c>
      <c r="DV302" s="3">
        <v>0</v>
      </c>
      <c r="DW302" s="3">
        <v>0</v>
      </c>
      <c r="DX302" s="3">
        <v>0</v>
      </c>
      <c r="DY302" s="3">
        <v>0</v>
      </c>
      <c r="DZ302" s="3">
        <v>0</v>
      </c>
      <c r="EA302" s="3">
        <v>0</v>
      </c>
      <c r="EB302" s="4">
        <f t="shared" si="164"/>
        <v>0</v>
      </c>
      <c r="EC302" s="3">
        <v>0</v>
      </c>
      <c r="ED302" s="3">
        <v>0</v>
      </c>
      <c r="EE302" s="3">
        <v>0</v>
      </c>
      <c r="EF302" s="3">
        <v>0</v>
      </c>
      <c r="EG302" s="3">
        <v>0</v>
      </c>
      <c r="EH302" s="3">
        <v>0</v>
      </c>
      <c r="EI302" s="3">
        <v>0</v>
      </c>
      <c r="EJ302" s="3">
        <v>0</v>
      </c>
      <c r="EK302" s="3">
        <v>0</v>
      </c>
      <c r="EL302" s="3">
        <v>0</v>
      </c>
      <c r="EM302" s="3">
        <v>0</v>
      </c>
      <c r="EN302" s="3">
        <v>0</v>
      </c>
      <c r="EO302" s="4">
        <f t="shared" si="165"/>
        <v>0</v>
      </c>
      <c r="EP302" s="8">
        <f t="shared" si="166"/>
        <v>22.295534883720933</v>
      </c>
      <c r="EQ302" s="181">
        <f>IFERROR(VLOOKUP(I302,CEI_012018!$A$1:$U$509,9,FALSE),0)</f>
        <v>0</v>
      </c>
      <c r="ER302" s="181">
        <f>IFERROR(VLOOKUP(I302,CEI_022018!$A$1:$U$509,9,FALSE),0)</f>
        <v>0</v>
      </c>
      <c r="ES302" s="181">
        <f>IFERROR(VLOOKUP(I302,CEI_032018!$A$1:$U$509,9,FALSE),0)</f>
        <v>9.5870800018310547</v>
      </c>
      <c r="ET302" s="181">
        <f>IFERROR(VLOOKUP(I302,CEI_042018!$A$1:$U$491,9,FALSE),0)</f>
        <v>9.5870800018310547</v>
      </c>
      <c r="EU302" s="181">
        <f>IFERROR(VLOOKUP(I302,CEI_052018!$A$1:$U$489,9,FALSE),0)</f>
        <v>9.5870800018310547</v>
      </c>
      <c r="EV302" s="181">
        <f>IFERROR(VLOOKUP(I302,CEI_062018!$A$1:$U$489,9,FALSE),0)</f>
        <v>9.5870800018310547</v>
      </c>
      <c r="EW302" s="181">
        <f>IFERROR(VLOOKUP(I302,CEI_072018!$A$1:$U$489,9,FALSE),0)</f>
        <v>9.5870800018310547</v>
      </c>
      <c r="EX302" s="181">
        <f>IFERROR(VLOOKUP(I302,CEI_082018!$A$1:$U$489,9,FALSE),0)</f>
        <v>9.5870800018310547</v>
      </c>
      <c r="EY302" s="181">
        <f>IFERROR(VLOOKUP(I302,CEI_092018!$A$1:$U$489,9,FALSE),0)</f>
        <v>9.5870800018310547</v>
      </c>
      <c r="EZ302" s="181"/>
      <c r="FA302" s="181"/>
      <c r="FB302" s="181"/>
      <c r="FC302" s="181">
        <f>IFERROR(VLOOKUP(I302,CEI_092018!$A$1:$U$489,12,FALSE),0)</f>
        <v>0</v>
      </c>
      <c r="FD302" s="181">
        <f t="shared" si="155"/>
        <v>9.5870800018310547</v>
      </c>
      <c r="FE302" s="181">
        <f t="shared" si="156"/>
        <v>0</v>
      </c>
      <c r="FF302"/>
      <c r="FG302"/>
      <c r="FH302"/>
      <c r="FI302"/>
      <c r="FJ302"/>
      <c r="FK302"/>
      <c r="FL302"/>
      <c r="FM302"/>
      <c r="FN302"/>
      <c r="FO302"/>
      <c r="FP302"/>
      <c r="FQ302"/>
      <c r="FR302"/>
      <c r="FS302"/>
      <c r="FT302"/>
      <c r="FU302"/>
      <c r="FV302"/>
      <c r="FW302"/>
      <c r="FX302"/>
      <c r="FY302"/>
      <c r="FZ302"/>
      <c r="GA302"/>
      <c r="GB302"/>
      <c r="GC302"/>
    </row>
    <row r="303" spans="1:185" ht="12.75" customHeight="1" x14ac:dyDescent="0.25">
      <c r="A303" s="202"/>
      <c r="B303" s="23" t="s">
        <v>57</v>
      </c>
      <c r="C303" s="34" t="s">
        <v>44</v>
      </c>
      <c r="D303" s="23" t="s">
        <v>1059</v>
      </c>
      <c r="E303" s="34" t="s">
        <v>1063</v>
      </c>
      <c r="F303" s="34" t="s">
        <v>1059</v>
      </c>
      <c r="G303" s="34" t="s">
        <v>1063</v>
      </c>
      <c r="H303" s="23" t="s">
        <v>56</v>
      </c>
      <c r="I303" s="423" t="s">
        <v>1189</v>
      </c>
      <c r="J303" s="373" t="s">
        <v>1190</v>
      </c>
      <c r="K303" s="23" t="s">
        <v>1722</v>
      </c>
      <c r="L303" s="23" t="s">
        <v>1191</v>
      </c>
      <c r="M303" s="23" t="s">
        <v>59</v>
      </c>
      <c r="N303" s="23" t="s">
        <v>59</v>
      </c>
      <c r="O303" s="2">
        <v>0.70901525020599365</v>
      </c>
      <c r="P303" s="2">
        <v>0</v>
      </c>
      <c r="Q303" s="2">
        <v>0</v>
      </c>
      <c r="R303" s="2">
        <v>0</v>
      </c>
      <c r="S303" s="2">
        <v>0</v>
      </c>
      <c r="T303" s="116">
        <f t="shared" si="143"/>
        <v>0.70901525020599365</v>
      </c>
      <c r="U303" s="324">
        <v>0</v>
      </c>
      <c r="V303" s="324">
        <v>0</v>
      </c>
      <c r="W303" s="324">
        <v>0</v>
      </c>
      <c r="X303" s="324">
        <v>0</v>
      </c>
      <c r="Y303" s="324">
        <v>0</v>
      </c>
      <c r="Z303" s="324">
        <v>0</v>
      </c>
      <c r="AA303" s="324">
        <v>0</v>
      </c>
      <c r="AB303" s="324">
        <v>0</v>
      </c>
      <c r="AC303" s="324">
        <v>0</v>
      </c>
      <c r="AD303" s="324">
        <v>0</v>
      </c>
      <c r="AE303" s="324">
        <v>0</v>
      </c>
      <c r="AF303" s="324">
        <v>0</v>
      </c>
      <c r="AG303" s="140">
        <f t="shared" si="150"/>
        <v>0</v>
      </c>
      <c r="AH303" s="324">
        <v>0</v>
      </c>
      <c r="AI303" s="324">
        <v>0</v>
      </c>
      <c r="AJ303" s="324">
        <v>0</v>
      </c>
      <c r="AK303" s="324">
        <v>0</v>
      </c>
      <c r="AL303" s="324">
        <v>0</v>
      </c>
      <c r="AM303" s="324">
        <v>0</v>
      </c>
      <c r="AN303" s="324">
        <v>0</v>
      </c>
      <c r="AO303" s="324">
        <v>0</v>
      </c>
      <c r="AP303" s="324">
        <v>0</v>
      </c>
      <c r="AQ303" s="324">
        <v>0</v>
      </c>
      <c r="AR303" s="324">
        <v>0</v>
      </c>
      <c r="AS303" s="324">
        <v>0</v>
      </c>
      <c r="AT303" s="140">
        <f t="shared" si="151"/>
        <v>0</v>
      </c>
      <c r="AU303" s="324">
        <v>0</v>
      </c>
      <c r="AV303" s="324">
        <v>0</v>
      </c>
      <c r="AW303" s="324">
        <v>0</v>
      </c>
      <c r="AX303" s="324">
        <v>0</v>
      </c>
      <c r="AY303" s="324">
        <v>0</v>
      </c>
      <c r="AZ303" s="324">
        <v>0</v>
      </c>
      <c r="BA303" s="324">
        <v>0</v>
      </c>
      <c r="BB303" s="324">
        <v>0</v>
      </c>
      <c r="BC303" s="324">
        <v>0</v>
      </c>
      <c r="BD303" s="324">
        <v>0</v>
      </c>
      <c r="BE303" s="324">
        <v>0</v>
      </c>
      <c r="BF303" s="324">
        <v>0</v>
      </c>
      <c r="BG303" s="140">
        <f t="shared" si="152"/>
        <v>0</v>
      </c>
      <c r="BH303" s="324">
        <v>0</v>
      </c>
      <c r="BI303" s="324">
        <v>0</v>
      </c>
      <c r="BJ303" s="324">
        <v>0</v>
      </c>
      <c r="BK303" s="324">
        <v>0</v>
      </c>
      <c r="BL303" s="324">
        <v>0</v>
      </c>
      <c r="BM303" s="324">
        <v>0</v>
      </c>
      <c r="BN303" s="324">
        <v>0</v>
      </c>
      <c r="BO303" s="324">
        <v>0</v>
      </c>
      <c r="BP303" s="324">
        <v>0</v>
      </c>
      <c r="BQ303" s="324">
        <v>0</v>
      </c>
      <c r="BR303" s="324">
        <v>0</v>
      </c>
      <c r="BS303" s="324">
        <v>0</v>
      </c>
      <c r="BT303" s="140">
        <f t="shared" si="153"/>
        <v>0</v>
      </c>
      <c r="BU303" s="114">
        <f t="shared" si="154"/>
        <v>0.70901525020599365</v>
      </c>
      <c r="BV303" s="372">
        <v>1</v>
      </c>
      <c r="BW303" s="372">
        <v>1</v>
      </c>
      <c r="BX303" s="372">
        <v>1</v>
      </c>
      <c r="BY303" s="372">
        <v>1</v>
      </c>
      <c r="BZ303" s="436">
        <f t="shared" si="169"/>
        <v>100</v>
      </c>
      <c r="CA303" s="428">
        <f t="shared" si="160"/>
        <v>100</v>
      </c>
      <c r="CB303" s="7" t="s">
        <v>1703</v>
      </c>
      <c r="CC303" s="3">
        <v>0</v>
      </c>
      <c r="CD303" s="3">
        <v>0</v>
      </c>
      <c r="CE303" s="3">
        <v>1</v>
      </c>
      <c r="CF303" s="3">
        <v>0</v>
      </c>
      <c r="CG303" s="3">
        <v>0</v>
      </c>
      <c r="CH303" s="3">
        <v>0</v>
      </c>
      <c r="CI303" s="3">
        <v>0</v>
      </c>
      <c r="CJ303" s="3">
        <v>0</v>
      </c>
      <c r="CK303" s="3">
        <v>0</v>
      </c>
      <c r="CL303" s="3">
        <v>0</v>
      </c>
      <c r="CM303" s="3">
        <v>0</v>
      </c>
      <c r="CN303" s="3">
        <v>0</v>
      </c>
      <c r="CO303" s="4">
        <f t="shared" si="161"/>
        <v>1</v>
      </c>
      <c r="CP303" s="3">
        <v>0</v>
      </c>
      <c r="CQ303" s="3">
        <v>0</v>
      </c>
      <c r="CR303" s="3">
        <v>0</v>
      </c>
      <c r="CS303" s="3">
        <v>0</v>
      </c>
      <c r="CT303" s="3">
        <v>0</v>
      </c>
      <c r="CU303" s="3">
        <v>0</v>
      </c>
      <c r="CV303" s="3">
        <v>0</v>
      </c>
      <c r="CW303" s="3">
        <v>0</v>
      </c>
      <c r="CX303" s="3">
        <v>0</v>
      </c>
      <c r="CY303" s="3">
        <v>0</v>
      </c>
      <c r="CZ303" s="3">
        <v>0</v>
      </c>
      <c r="DA303" s="3">
        <v>0</v>
      </c>
      <c r="DB303" s="4">
        <f t="shared" si="162"/>
        <v>0</v>
      </c>
      <c r="DC303" s="3">
        <v>0</v>
      </c>
      <c r="DD303" s="3">
        <v>0</v>
      </c>
      <c r="DE303" s="3">
        <v>0</v>
      </c>
      <c r="DF303" s="3">
        <v>0</v>
      </c>
      <c r="DG303" s="3">
        <v>0</v>
      </c>
      <c r="DH303" s="3">
        <v>0</v>
      </c>
      <c r="DI303" s="3">
        <v>0</v>
      </c>
      <c r="DJ303" s="3">
        <v>0</v>
      </c>
      <c r="DK303" s="3">
        <v>0</v>
      </c>
      <c r="DL303" s="3">
        <v>0</v>
      </c>
      <c r="DM303" s="3">
        <v>0</v>
      </c>
      <c r="DN303" s="3">
        <v>0</v>
      </c>
      <c r="DO303" s="4">
        <f t="shared" si="163"/>
        <v>0</v>
      </c>
      <c r="DP303" s="3">
        <v>0</v>
      </c>
      <c r="DQ303" s="3">
        <v>0</v>
      </c>
      <c r="DR303" s="3">
        <v>0</v>
      </c>
      <c r="DS303" s="3">
        <v>0</v>
      </c>
      <c r="DT303" s="3">
        <v>0</v>
      </c>
      <c r="DU303" s="3">
        <v>0</v>
      </c>
      <c r="DV303" s="3">
        <v>0</v>
      </c>
      <c r="DW303" s="3">
        <v>0</v>
      </c>
      <c r="DX303" s="3">
        <v>0</v>
      </c>
      <c r="DY303" s="3">
        <v>0</v>
      </c>
      <c r="DZ303" s="3">
        <v>0</v>
      </c>
      <c r="EA303" s="3">
        <v>0</v>
      </c>
      <c r="EB303" s="4">
        <f t="shared" si="164"/>
        <v>0</v>
      </c>
      <c r="EC303" s="3">
        <v>0</v>
      </c>
      <c r="ED303" s="3">
        <v>0</v>
      </c>
      <c r="EE303" s="3">
        <v>0</v>
      </c>
      <c r="EF303" s="3">
        <v>0</v>
      </c>
      <c r="EG303" s="3">
        <v>0</v>
      </c>
      <c r="EH303" s="3">
        <v>0</v>
      </c>
      <c r="EI303" s="3">
        <v>0</v>
      </c>
      <c r="EJ303" s="3">
        <v>0</v>
      </c>
      <c r="EK303" s="3">
        <v>0</v>
      </c>
      <c r="EL303" s="3">
        <v>0</v>
      </c>
      <c r="EM303" s="3">
        <v>0</v>
      </c>
      <c r="EN303" s="3">
        <v>0</v>
      </c>
      <c r="EO303" s="4">
        <f t="shared" si="165"/>
        <v>0</v>
      </c>
      <c r="EP303" s="8">
        <f t="shared" si="166"/>
        <v>1</v>
      </c>
      <c r="EQ303" s="181">
        <f>IFERROR(VLOOKUP(I303,CEI_012018!$A$1:$U$509,9,FALSE),0)</f>
        <v>0</v>
      </c>
      <c r="ER303" s="181">
        <f>IFERROR(VLOOKUP(I303,CEI_022018!$A$1:$U$509,9,FALSE),0)</f>
        <v>0</v>
      </c>
      <c r="ES303" s="181">
        <f>IFERROR(VLOOKUP(I303,CEI_032018!$A$1:$U$509,9,FALSE),0)</f>
        <v>0.70899999141693115</v>
      </c>
      <c r="ET303" s="181">
        <f>IFERROR(VLOOKUP(I303,CEI_042018!$A$1:$U$491,9,FALSE),0)</f>
        <v>0.70901525020599365</v>
      </c>
      <c r="EU303" s="181">
        <f>IFERROR(VLOOKUP(I303,CEI_052018!$A$1:$U$489,9,FALSE),0)</f>
        <v>0.70901525020599365</v>
      </c>
      <c r="EV303" s="181">
        <f>IFERROR(VLOOKUP(I303,CEI_062018!$A$1:$U$489,9,FALSE),0)</f>
        <v>0.70901525020599365</v>
      </c>
      <c r="EW303" s="181">
        <f>IFERROR(VLOOKUP(I303,CEI_072018!$A$1:$U$489,9,FALSE),0)</f>
        <v>0.70901525020599365</v>
      </c>
      <c r="EX303" s="181">
        <f>IFERROR(VLOOKUP(I303,CEI_082018!$A$1:$U$489,9,FALSE),0)</f>
        <v>0.70901525020599365</v>
      </c>
      <c r="EY303" s="181">
        <f>IFERROR(VLOOKUP(I303,CEI_092018!$A$1:$U$489,9,FALSE),0)</f>
        <v>0.70901525020599365</v>
      </c>
      <c r="EZ303" s="181"/>
      <c r="FA303" s="181"/>
      <c r="FB303" s="181"/>
      <c r="FC303" s="181">
        <f>IFERROR(VLOOKUP(I303,CEI_092018!$A$1:$U$489,12,FALSE),0)</f>
        <v>0</v>
      </c>
      <c r="FD303" s="181">
        <f t="shared" si="155"/>
        <v>0.70901525020599365</v>
      </c>
      <c r="FE303" s="181">
        <f t="shared" si="156"/>
        <v>0</v>
      </c>
      <c r="FF303"/>
      <c r="FG303"/>
      <c r="FH303"/>
      <c r="FI303"/>
      <c r="FJ303"/>
      <c r="FK303"/>
      <c r="FL303"/>
      <c r="FM303"/>
      <c r="FN303"/>
      <c r="FO303"/>
      <c r="FP303"/>
      <c r="FQ303"/>
      <c r="FR303"/>
      <c r="FS303"/>
      <c r="FT303"/>
      <c r="FU303"/>
      <c r="FV303"/>
      <c r="FW303"/>
      <c r="FX303"/>
      <c r="FY303"/>
      <c r="FZ303"/>
      <c r="GA303"/>
      <c r="GB303"/>
      <c r="GC303"/>
    </row>
    <row r="304" spans="1:185" ht="12.75" customHeight="1" x14ac:dyDescent="0.25">
      <c r="A304" s="202"/>
      <c r="B304" s="25" t="s">
        <v>57</v>
      </c>
      <c r="C304" s="34" t="s">
        <v>45</v>
      </c>
      <c r="D304" s="22" t="s">
        <v>586</v>
      </c>
      <c r="E304" s="25" t="s">
        <v>606</v>
      </c>
      <c r="F304" s="25" t="s">
        <v>586</v>
      </c>
      <c r="G304" s="25" t="s">
        <v>606</v>
      </c>
      <c r="H304" s="22" t="s">
        <v>56</v>
      </c>
      <c r="I304" s="423" t="s">
        <v>565</v>
      </c>
      <c r="J304" s="37"/>
      <c r="K304" s="23" t="s">
        <v>898</v>
      </c>
      <c r="L304" s="23" t="s">
        <v>607</v>
      </c>
      <c r="M304" s="23" t="s">
        <v>897</v>
      </c>
      <c r="N304" s="23"/>
      <c r="O304" s="2"/>
      <c r="P304" s="2"/>
      <c r="Q304" s="2"/>
      <c r="R304" s="2"/>
      <c r="S304" s="2"/>
      <c r="T304" s="116">
        <f t="shared" si="143"/>
        <v>0</v>
      </c>
      <c r="U304" s="324">
        <v>1364</v>
      </c>
      <c r="V304" s="324"/>
      <c r="W304" s="324"/>
      <c r="X304" s="324"/>
      <c r="Y304" s="324"/>
      <c r="Z304" s="324"/>
      <c r="AA304" s="324"/>
      <c r="AB304" s="324"/>
      <c r="AC304" s="324"/>
      <c r="AD304" s="324"/>
      <c r="AE304" s="324"/>
      <c r="AF304" s="324"/>
      <c r="AG304" s="140">
        <f t="shared" si="150"/>
        <v>1364</v>
      </c>
      <c r="AH304" s="324">
        <v>1364</v>
      </c>
      <c r="AI304" s="324"/>
      <c r="AJ304" s="324"/>
      <c r="AK304" s="324"/>
      <c r="AL304" s="324"/>
      <c r="AM304" s="324"/>
      <c r="AN304" s="324"/>
      <c r="AO304" s="324"/>
      <c r="AP304" s="324"/>
      <c r="AQ304" s="324"/>
      <c r="AR304" s="324"/>
      <c r="AS304" s="324"/>
      <c r="AT304" s="140">
        <f t="shared" si="151"/>
        <v>1364</v>
      </c>
      <c r="AU304" s="324"/>
      <c r="AV304" s="324"/>
      <c r="AW304" s="324"/>
      <c r="AX304" s="324"/>
      <c r="AY304" s="324"/>
      <c r="AZ304" s="324"/>
      <c r="BA304" s="324"/>
      <c r="BB304" s="324"/>
      <c r="BC304" s="324"/>
      <c r="BD304" s="324"/>
      <c r="BE304" s="324"/>
      <c r="BF304" s="324"/>
      <c r="BG304" s="140">
        <f t="shared" si="152"/>
        <v>0</v>
      </c>
      <c r="BH304" s="324"/>
      <c r="BI304" s="324"/>
      <c r="BJ304" s="324"/>
      <c r="BK304" s="324"/>
      <c r="BL304" s="324"/>
      <c r="BM304" s="324"/>
      <c r="BN304" s="324"/>
      <c r="BO304" s="324"/>
      <c r="BP304" s="324"/>
      <c r="BQ304" s="324"/>
      <c r="BR304" s="324"/>
      <c r="BS304" s="324"/>
      <c r="BT304" s="140">
        <f t="shared" si="153"/>
        <v>0</v>
      </c>
      <c r="BU304" s="114">
        <f t="shared" si="154"/>
        <v>2728</v>
      </c>
      <c r="BV304" s="432"/>
      <c r="BW304" s="432"/>
      <c r="BX304" s="432"/>
      <c r="BY304" s="432"/>
      <c r="BZ304" s="433"/>
      <c r="CA304" s="434"/>
      <c r="CB304" s="7" t="s">
        <v>1151</v>
      </c>
      <c r="CC304" s="3"/>
      <c r="CD304" s="3"/>
      <c r="CE304" s="3"/>
      <c r="CF304" s="3"/>
      <c r="CG304" s="3"/>
      <c r="CH304" s="3"/>
      <c r="CI304" s="3"/>
      <c r="CJ304" s="3"/>
      <c r="CK304" s="3"/>
      <c r="CL304" s="3"/>
      <c r="CM304" s="3"/>
      <c r="CN304" s="3"/>
      <c r="CO304" s="4">
        <f t="shared" si="161"/>
        <v>0</v>
      </c>
      <c r="CP304" s="3">
        <v>1</v>
      </c>
      <c r="CQ304" s="3"/>
      <c r="CR304" s="3"/>
      <c r="CS304" s="3"/>
      <c r="CT304" s="3"/>
      <c r="CU304" s="3"/>
      <c r="CV304" s="3"/>
      <c r="CW304" s="3"/>
      <c r="CX304" s="3"/>
      <c r="CY304" s="3"/>
      <c r="CZ304" s="3"/>
      <c r="DA304" s="3"/>
      <c r="DB304" s="4">
        <f t="shared" si="162"/>
        <v>1</v>
      </c>
      <c r="DC304" s="3">
        <v>1</v>
      </c>
      <c r="DD304" s="3"/>
      <c r="DE304" s="3"/>
      <c r="DF304" s="3"/>
      <c r="DG304" s="3"/>
      <c r="DH304" s="3"/>
      <c r="DI304" s="3"/>
      <c r="DJ304" s="3"/>
      <c r="DK304" s="3"/>
      <c r="DL304" s="3"/>
      <c r="DM304" s="3"/>
      <c r="DN304" s="3"/>
      <c r="DO304" s="4">
        <f t="shared" si="163"/>
        <v>1</v>
      </c>
      <c r="DP304" s="3"/>
      <c r="DQ304" s="3"/>
      <c r="DR304" s="3"/>
      <c r="DS304" s="3"/>
      <c r="DT304" s="3"/>
      <c r="DU304" s="3"/>
      <c r="DV304" s="3"/>
      <c r="DW304" s="3"/>
      <c r="DX304" s="3"/>
      <c r="DY304" s="3"/>
      <c r="DZ304" s="3"/>
      <c r="EA304" s="3"/>
      <c r="EB304" s="4">
        <f t="shared" si="164"/>
        <v>0</v>
      </c>
      <c r="EC304" s="3"/>
      <c r="ED304" s="3"/>
      <c r="EE304" s="3"/>
      <c r="EF304" s="3"/>
      <c r="EG304" s="3"/>
      <c r="EH304" s="3"/>
      <c r="EI304" s="3"/>
      <c r="EJ304" s="3"/>
      <c r="EK304" s="3"/>
      <c r="EL304" s="3"/>
      <c r="EM304" s="3"/>
      <c r="EN304" s="3"/>
      <c r="EO304" s="4">
        <f t="shared" si="165"/>
        <v>0</v>
      </c>
      <c r="EP304" s="8">
        <f t="shared" si="166"/>
        <v>2</v>
      </c>
      <c r="EQ304" s="181">
        <f>IFERROR(VLOOKUP(I304,CEI_012018!$A$1:$U$509,9,FALSE),0)</f>
        <v>0</v>
      </c>
      <c r="ER304" s="181">
        <f>IFERROR(VLOOKUP(I304,CEI_022018!$A$1:$U$509,9,FALSE),0)</f>
        <v>0</v>
      </c>
      <c r="ES304" s="181">
        <f>IFERROR(VLOOKUP(I304,CEI_032018!$A$1:$U$509,9,FALSE),0)</f>
        <v>0</v>
      </c>
      <c r="ET304" s="181">
        <f>IFERROR(VLOOKUP(I304,CEI_042018!$A$1:$U$491,9,FALSE),0)</f>
        <v>0</v>
      </c>
      <c r="EU304" s="181">
        <f>IFERROR(VLOOKUP(I304,CEI_052018!$A$1:$U$489,9,FALSE),0)</f>
        <v>0</v>
      </c>
      <c r="EV304" s="181">
        <f>IFERROR(VLOOKUP(I304,CEI_062018!$A$1:$U$489,9,FALSE),0)</f>
        <v>0</v>
      </c>
      <c r="EW304" s="181">
        <f>IFERROR(VLOOKUP(I304,CEI_072018!$A$1:$U$489,9,FALSE),0)</f>
        <v>0</v>
      </c>
      <c r="EX304" s="181">
        <f>IFERROR(VLOOKUP(I304,CEI_082018!$A$1:$U$489,9,FALSE),0)</f>
        <v>0</v>
      </c>
      <c r="EY304" s="181">
        <f>IFERROR(VLOOKUP(I304,CEI_092018!$A$1:$U$489,9,FALSE),0)</f>
        <v>0</v>
      </c>
      <c r="EZ304" s="181"/>
      <c r="FA304" s="181"/>
      <c r="FB304" s="181"/>
      <c r="FC304" s="181">
        <f>IFERROR(VLOOKUP(I304,CEI_092018!$A$1:$U$489,12,FALSE),0)</f>
        <v>0</v>
      </c>
      <c r="FD304" s="181">
        <f t="shared" ref="FD304:FD318" si="170">EW304+FC304</f>
        <v>0</v>
      </c>
      <c r="FE304" s="181">
        <f t="shared" ref="FE304:FE318" si="171">SUM(T304-FD304)</f>
        <v>0</v>
      </c>
      <c r="FF304"/>
      <c r="FG304"/>
      <c r="FH304"/>
      <c r="FI304"/>
      <c r="FJ304"/>
      <c r="FK304"/>
      <c r="FL304"/>
      <c r="FM304"/>
      <c r="FN304"/>
      <c r="FO304"/>
      <c r="FP304"/>
      <c r="FQ304"/>
      <c r="FR304"/>
      <c r="FS304"/>
      <c r="FT304"/>
      <c r="FU304"/>
      <c r="FV304"/>
      <c r="FW304"/>
      <c r="FX304"/>
      <c r="FY304"/>
      <c r="FZ304"/>
      <c r="GA304"/>
      <c r="GB304"/>
      <c r="GC304"/>
    </row>
    <row r="305" spans="1:185" ht="12.75" customHeight="1" x14ac:dyDescent="0.25">
      <c r="A305" s="202"/>
      <c r="B305" s="22" t="s">
        <v>57</v>
      </c>
      <c r="C305" s="34" t="s">
        <v>45</v>
      </c>
      <c r="D305" s="22" t="s">
        <v>58</v>
      </c>
      <c r="E305" s="25" t="s">
        <v>484</v>
      </c>
      <c r="F305" s="25" t="s">
        <v>1923</v>
      </c>
      <c r="G305" s="25" t="s">
        <v>1924</v>
      </c>
      <c r="H305" s="22" t="s">
        <v>56</v>
      </c>
      <c r="I305" s="423" t="s">
        <v>1426</v>
      </c>
      <c r="J305" s="37" t="s">
        <v>1512</v>
      </c>
      <c r="K305" s="23" t="s">
        <v>1546</v>
      </c>
      <c r="L305" s="23" t="s">
        <v>1547</v>
      </c>
      <c r="M305" s="23" t="s">
        <v>688</v>
      </c>
      <c r="N305" s="381" t="s">
        <v>1766</v>
      </c>
      <c r="O305" s="2"/>
      <c r="P305" s="2"/>
      <c r="Q305" s="358"/>
      <c r="R305" s="2"/>
      <c r="S305" s="2"/>
      <c r="T305" s="116">
        <f t="shared" si="143"/>
        <v>0</v>
      </c>
      <c r="U305" s="324"/>
      <c r="V305" s="324"/>
      <c r="W305" s="324"/>
      <c r="X305" s="324">
        <v>1656</v>
      </c>
      <c r="Y305" s="324"/>
      <c r="Z305" s="324"/>
      <c r="AA305" s="324"/>
      <c r="AB305" s="324"/>
      <c r="AC305" s="324"/>
      <c r="AD305" s="324"/>
      <c r="AE305" s="324"/>
      <c r="AF305" s="324"/>
      <c r="AG305" s="140">
        <f t="shared" si="150"/>
        <v>1656</v>
      </c>
      <c r="AH305" s="324">
        <v>0</v>
      </c>
      <c r="AI305" s="324"/>
      <c r="AJ305" s="324"/>
      <c r="AK305" s="324"/>
      <c r="AL305" s="324"/>
      <c r="AM305" s="324"/>
      <c r="AN305" s="324"/>
      <c r="AO305" s="324"/>
      <c r="AP305" s="324"/>
      <c r="AQ305" s="324"/>
      <c r="AR305" s="324"/>
      <c r="AS305" s="324"/>
      <c r="AT305" s="140">
        <f t="shared" si="151"/>
        <v>0</v>
      </c>
      <c r="AU305" s="324"/>
      <c r="AV305" s="324"/>
      <c r="AW305" s="324"/>
      <c r="AX305" s="324"/>
      <c r="AY305" s="324"/>
      <c r="AZ305" s="324"/>
      <c r="BA305" s="324"/>
      <c r="BB305" s="324"/>
      <c r="BC305" s="324"/>
      <c r="BD305" s="324"/>
      <c r="BE305" s="324"/>
      <c r="BF305" s="324"/>
      <c r="BG305" s="140">
        <f t="shared" si="152"/>
        <v>0</v>
      </c>
      <c r="BH305" s="324"/>
      <c r="BI305" s="324"/>
      <c r="BJ305" s="324"/>
      <c r="BK305" s="324"/>
      <c r="BL305" s="324"/>
      <c r="BM305" s="324"/>
      <c r="BN305" s="324"/>
      <c r="BO305" s="324"/>
      <c r="BP305" s="324"/>
      <c r="BQ305" s="324"/>
      <c r="BR305" s="324"/>
      <c r="BS305" s="324"/>
      <c r="BT305" s="140">
        <f t="shared" si="153"/>
        <v>0</v>
      </c>
      <c r="BU305" s="114">
        <f t="shared" si="154"/>
        <v>1656</v>
      </c>
      <c r="BV305" s="432"/>
      <c r="BW305" s="432"/>
      <c r="BX305" s="432"/>
      <c r="BY305" s="432"/>
      <c r="BZ305" s="436">
        <f>IFERROR((EX305/T305%),0)</f>
        <v>0</v>
      </c>
      <c r="CA305" s="434"/>
      <c r="CB305" s="7" t="s">
        <v>73</v>
      </c>
      <c r="CC305" s="3"/>
      <c r="CD305" s="3"/>
      <c r="CE305" s="3"/>
      <c r="CF305" s="3"/>
      <c r="CG305" s="3"/>
      <c r="CH305" s="3"/>
      <c r="CI305" s="3"/>
      <c r="CJ305" s="3"/>
      <c r="CK305" s="3"/>
      <c r="CL305" s="3">
        <v>2</v>
      </c>
      <c r="CM305" s="3"/>
      <c r="CN305" s="3"/>
      <c r="CO305" s="4">
        <f t="shared" si="161"/>
        <v>2</v>
      </c>
      <c r="CP305" s="3"/>
      <c r="CQ305" s="3"/>
      <c r="CR305" s="3"/>
      <c r="CS305" s="3"/>
      <c r="CT305" s="3"/>
      <c r="CU305" s="3"/>
      <c r="CV305" s="3"/>
      <c r="CW305" s="3"/>
      <c r="CX305" s="3"/>
      <c r="CY305" s="3"/>
      <c r="CZ305" s="3"/>
      <c r="DA305" s="3"/>
      <c r="DB305" s="4">
        <f t="shared" si="162"/>
        <v>0</v>
      </c>
      <c r="DC305" s="3"/>
      <c r="DD305" s="3"/>
      <c r="DE305" s="3"/>
      <c r="DF305" s="3"/>
      <c r="DG305" s="3"/>
      <c r="DH305" s="3"/>
      <c r="DI305" s="3"/>
      <c r="DJ305" s="3"/>
      <c r="DK305" s="3"/>
      <c r="DL305" s="3"/>
      <c r="DM305" s="3"/>
      <c r="DN305" s="3"/>
      <c r="DO305" s="4">
        <f t="shared" si="163"/>
        <v>0</v>
      </c>
      <c r="DP305" s="3"/>
      <c r="DQ305" s="3"/>
      <c r="DR305" s="3"/>
      <c r="DS305" s="3"/>
      <c r="DT305" s="3"/>
      <c r="DU305" s="3"/>
      <c r="DV305" s="3"/>
      <c r="DW305" s="3"/>
      <c r="DX305" s="3"/>
      <c r="DY305" s="3"/>
      <c r="DZ305" s="3"/>
      <c r="EA305" s="3"/>
      <c r="EB305" s="4">
        <f t="shared" si="164"/>
        <v>0</v>
      </c>
      <c r="EC305" s="3"/>
      <c r="ED305" s="3"/>
      <c r="EE305" s="3"/>
      <c r="EF305" s="3"/>
      <c r="EG305" s="3"/>
      <c r="EH305" s="3"/>
      <c r="EI305" s="3"/>
      <c r="EJ305" s="3"/>
      <c r="EK305" s="3"/>
      <c r="EL305" s="3"/>
      <c r="EM305" s="3"/>
      <c r="EN305" s="3"/>
      <c r="EO305" s="4">
        <f t="shared" si="165"/>
        <v>0</v>
      </c>
      <c r="EP305" s="8">
        <f t="shared" si="166"/>
        <v>2</v>
      </c>
      <c r="EQ305" s="181">
        <f>IFERROR(VLOOKUP(I305,CEI_012018!$A$1:$U$509,9,FALSE),0)</f>
        <v>0</v>
      </c>
      <c r="ER305" s="181">
        <f>IFERROR(VLOOKUP(I305,CEI_022018!$A$1:$U$509,9,FALSE),0)</f>
        <v>0</v>
      </c>
      <c r="ES305" s="181">
        <f>IFERROR(VLOOKUP(I305,CEI_032018!$A$1:$U$509,9,FALSE),0)</f>
        <v>0</v>
      </c>
      <c r="ET305" s="181">
        <f>IFERROR(VLOOKUP(I305,CEI_042018!$A$1:$U$491,9,FALSE),0)</f>
        <v>0</v>
      </c>
      <c r="EU305" s="181">
        <f>IFERROR(VLOOKUP(I305,CEI_052018!$A$1:$U$489,9,FALSE),0)</f>
        <v>0</v>
      </c>
      <c r="EV305" s="181">
        <f>IFERROR(VLOOKUP(I305,CEI_062018!$A$1:$U$489,9,FALSE),0)</f>
        <v>0</v>
      </c>
      <c r="EW305" s="181">
        <f>IFERROR(VLOOKUP(I305,CEI_072018!$A$1:$U$489,9,FALSE),0)</f>
        <v>0</v>
      </c>
      <c r="EX305" s="181">
        <f>IFERROR(VLOOKUP(I305,CEI_082018!$A$1:$U$489,9,FALSE),0)</f>
        <v>0</v>
      </c>
      <c r="EY305" s="181">
        <f>IFERROR(VLOOKUP(I305,CEI_092018!$A$1:$U$489,9,FALSE),0)</f>
        <v>0</v>
      </c>
      <c r="EZ305" s="181"/>
      <c r="FA305" s="181"/>
      <c r="FB305" s="181"/>
      <c r="FC305" s="181">
        <f>IFERROR(VLOOKUP(I305,CEI_092018!$A$1:$U$489,12,FALSE),0)</f>
        <v>0</v>
      </c>
      <c r="FD305" s="181">
        <f t="shared" si="170"/>
        <v>0</v>
      </c>
      <c r="FE305" s="181">
        <f t="shared" si="171"/>
        <v>0</v>
      </c>
      <c r="FF305"/>
      <c r="FG305"/>
      <c r="FH305"/>
      <c r="FI305"/>
      <c r="FJ305"/>
      <c r="FK305"/>
      <c r="FL305"/>
      <c r="FM305"/>
      <c r="FN305"/>
      <c r="FO305"/>
      <c r="FP305"/>
      <c r="FQ305"/>
      <c r="FR305"/>
      <c r="FS305"/>
      <c r="FT305"/>
      <c r="FU305"/>
      <c r="FV305"/>
      <c r="FW305"/>
      <c r="FX305"/>
      <c r="FY305"/>
      <c r="FZ305"/>
      <c r="GA305"/>
      <c r="GB305"/>
      <c r="GC305"/>
    </row>
    <row r="306" spans="1:185" ht="12.75" customHeight="1" x14ac:dyDescent="0.25">
      <c r="A306" s="202"/>
      <c r="B306" s="22" t="s">
        <v>57</v>
      </c>
      <c r="C306" s="34" t="s">
        <v>45</v>
      </c>
      <c r="D306" s="22" t="s">
        <v>58</v>
      </c>
      <c r="E306" s="25" t="s">
        <v>484</v>
      </c>
      <c r="F306" s="25" t="s">
        <v>58</v>
      </c>
      <c r="G306" s="25" t="s">
        <v>484</v>
      </c>
      <c r="H306" s="22" t="s">
        <v>56</v>
      </c>
      <c r="I306" s="423" t="s">
        <v>565</v>
      </c>
      <c r="J306" s="37"/>
      <c r="K306" s="23" t="s">
        <v>582</v>
      </c>
      <c r="L306" s="23" t="s">
        <v>681</v>
      </c>
      <c r="M306" s="23" t="s">
        <v>682</v>
      </c>
      <c r="N306" s="380" t="s">
        <v>1765</v>
      </c>
      <c r="O306" s="2"/>
      <c r="P306" s="2"/>
      <c r="Q306" s="2"/>
      <c r="R306" s="2"/>
      <c r="S306" s="2"/>
      <c r="T306" s="116">
        <f t="shared" si="143"/>
        <v>0</v>
      </c>
      <c r="U306" s="324"/>
      <c r="V306" s="324"/>
      <c r="W306" s="324"/>
      <c r="X306" s="324"/>
      <c r="Y306" s="324"/>
      <c r="Z306" s="324"/>
      <c r="AA306" s="324">
        <v>1054.4000000000001</v>
      </c>
      <c r="AB306" s="324"/>
      <c r="AC306" s="324"/>
      <c r="AD306" s="324"/>
      <c r="AE306" s="324"/>
      <c r="AF306" s="324"/>
      <c r="AG306" s="140">
        <f t="shared" si="150"/>
        <v>1054.4000000000001</v>
      </c>
      <c r="AH306" s="324"/>
      <c r="AI306" s="324"/>
      <c r="AJ306" s="324"/>
      <c r="AK306" s="324"/>
      <c r="AL306" s="324"/>
      <c r="AM306" s="324"/>
      <c r="AN306" s="324"/>
      <c r="AO306" s="324"/>
      <c r="AP306" s="324"/>
      <c r="AQ306" s="324"/>
      <c r="AR306" s="324"/>
      <c r="AS306" s="324"/>
      <c r="AT306" s="140">
        <f t="shared" si="151"/>
        <v>0</v>
      </c>
      <c r="AU306" s="324"/>
      <c r="AV306" s="324"/>
      <c r="AW306" s="324"/>
      <c r="AX306" s="324"/>
      <c r="AY306" s="324"/>
      <c r="AZ306" s="324"/>
      <c r="BA306" s="324"/>
      <c r="BB306" s="324"/>
      <c r="BC306" s="324"/>
      <c r="BD306" s="324"/>
      <c r="BE306" s="324"/>
      <c r="BF306" s="324"/>
      <c r="BG306" s="140">
        <f t="shared" si="152"/>
        <v>0</v>
      </c>
      <c r="BH306" s="324"/>
      <c r="BI306" s="324"/>
      <c r="BJ306" s="324"/>
      <c r="BK306" s="324"/>
      <c r="BL306" s="324"/>
      <c r="BM306" s="324"/>
      <c r="BN306" s="324"/>
      <c r="BO306" s="324"/>
      <c r="BP306" s="324"/>
      <c r="BQ306" s="324"/>
      <c r="BR306" s="324"/>
      <c r="BS306" s="324"/>
      <c r="BT306" s="140">
        <f t="shared" si="153"/>
        <v>0</v>
      </c>
      <c r="BU306" s="114">
        <f t="shared" si="154"/>
        <v>1054.4000000000001</v>
      </c>
      <c r="BV306" s="432"/>
      <c r="BW306" s="432"/>
      <c r="BX306" s="432"/>
      <c r="BY306" s="432"/>
      <c r="BZ306" s="433"/>
      <c r="CA306" s="434"/>
      <c r="CB306" s="7" t="s">
        <v>585</v>
      </c>
      <c r="CC306" s="3"/>
      <c r="CD306" s="3"/>
      <c r="CE306" s="3"/>
      <c r="CF306" s="3"/>
      <c r="CG306" s="3"/>
      <c r="CH306" s="3"/>
      <c r="CI306" s="3"/>
      <c r="CJ306" s="3"/>
      <c r="CK306" s="3"/>
      <c r="CL306" s="3"/>
      <c r="CM306" s="3"/>
      <c r="CN306" s="3">
        <v>10</v>
      </c>
      <c r="CO306" s="4">
        <f t="shared" si="161"/>
        <v>10</v>
      </c>
      <c r="CP306" s="3"/>
      <c r="CQ306" s="3"/>
      <c r="CR306" s="3"/>
      <c r="CS306" s="3"/>
      <c r="CT306" s="3"/>
      <c r="CU306" s="3"/>
      <c r="CV306" s="3"/>
      <c r="CW306" s="3"/>
      <c r="CX306" s="3"/>
      <c r="CY306" s="3"/>
      <c r="CZ306" s="3"/>
      <c r="DA306" s="3"/>
      <c r="DB306" s="4">
        <f t="shared" si="162"/>
        <v>0</v>
      </c>
      <c r="DC306" s="3"/>
      <c r="DD306" s="3"/>
      <c r="DE306" s="3"/>
      <c r="DF306" s="3"/>
      <c r="DG306" s="3"/>
      <c r="DH306" s="3"/>
      <c r="DI306" s="3"/>
      <c r="DJ306" s="3"/>
      <c r="DK306" s="3"/>
      <c r="DL306" s="3"/>
      <c r="DM306" s="3"/>
      <c r="DN306" s="3"/>
      <c r="DO306" s="4">
        <f t="shared" si="163"/>
        <v>0</v>
      </c>
      <c r="DP306" s="3"/>
      <c r="DQ306" s="3"/>
      <c r="DR306" s="3"/>
      <c r="DS306" s="3"/>
      <c r="DT306" s="3"/>
      <c r="DU306" s="3"/>
      <c r="DV306" s="3"/>
      <c r="DW306" s="3"/>
      <c r="DX306" s="3"/>
      <c r="DY306" s="3"/>
      <c r="DZ306" s="3"/>
      <c r="EA306" s="3"/>
      <c r="EB306" s="4">
        <f t="shared" si="164"/>
        <v>0</v>
      </c>
      <c r="EC306" s="3"/>
      <c r="ED306" s="3"/>
      <c r="EE306" s="3"/>
      <c r="EF306" s="3"/>
      <c r="EG306" s="3"/>
      <c r="EH306" s="3"/>
      <c r="EI306" s="3"/>
      <c r="EJ306" s="3"/>
      <c r="EK306" s="3"/>
      <c r="EL306" s="3"/>
      <c r="EM306" s="3"/>
      <c r="EN306" s="3"/>
      <c r="EO306" s="4">
        <f t="shared" si="165"/>
        <v>0</v>
      </c>
      <c r="EP306" s="8">
        <f t="shared" si="166"/>
        <v>10</v>
      </c>
      <c r="EQ306" s="181">
        <f>IFERROR(VLOOKUP(I306,CEI_012018!$A$1:$U$509,9,FALSE),0)</f>
        <v>0</v>
      </c>
      <c r="ER306" s="181">
        <f>IFERROR(VLOOKUP(I306,CEI_022018!$A$1:$U$509,9,FALSE),0)</f>
        <v>0</v>
      </c>
      <c r="ES306" s="181">
        <f>IFERROR(VLOOKUP(I306,CEI_032018!$A$1:$U$509,9,FALSE),0)</f>
        <v>0</v>
      </c>
      <c r="ET306" s="181">
        <f>IFERROR(VLOOKUP(I306,CEI_042018!$A$1:$U$491,9,FALSE),0)</f>
        <v>0</v>
      </c>
      <c r="EU306" s="181">
        <f>IFERROR(VLOOKUP(I306,CEI_052018!$A$1:$U$489,9,FALSE),0)</f>
        <v>0</v>
      </c>
      <c r="EV306" s="181">
        <f>IFERROR(VLOOKUP(I306,CEI_062018!$A$1:$U$489,9,FALSE),0)</f>
        <v>0</v>
      </c>
      <c r="EW306" s="181">
        <f>IFERROR(VLOOKUP(I306,CEI_072018!$A$1:$U$489,9,FALSE),0)</f>
        <v>0</v>
      </c>
      <c r="EX306" s="181">
        <f>IFERROR(VLOOKUP(I306,CEI_082018!$A$1:$U$489,9,FALSE),0)</f>
        <v>0</v>
      </c>
      <c r="EY306" s="181">
        <f>IFERROR(VLOOKUP(I306,CEI_092018!$A$1:$U$489,9,FALSE),0)</f>
        <v>0</v>
      </c>
      <c r="EZ306" s="181"/>
      <c r="FA306" s="181"/>
      <c r="FB306" s="181"/>
      <c r="FC306" s="181">
        <f>IFERROR(VLOOKUP(I306,CEI_092018!$A$1:$U$489,12,FALSE),0)</f>
        <v>0</v>
      </c>
      <c r="FD306" s="181">
        <f t="shared" si="170"/>
        <v>0</v>
      </c>
      <c r="FE306" s="181">
        <f t="shared" si="171"/>
        <v>0</v>
      </c>
      <c r="FF306"/>
      <c r="FG306"/>
      <c r="FH306"/>
      <c r="FI306"/>
      <c r="FJ306"/>
      <c r="FK306"/>
      <c r="FL306"/>
      <c r="FM306"/>
      <c r="FN306"/>
      <c r="FO306"/>
      <c r="FP306"/>
      <c r="FQ306"/>
      <c r="FR306"/>
      <c r="FS306"/>
      <c r="FT306"/>
      <c r="FU306"/>
      <c r="FV306"/>
      <c r="FW306"/>
      <c r="FX306"/>
      <c r="FY306"/>
      <c r="FZ306"/>
      <c r="GA306"/>
      <c r="GB306"/>
      <c r="GC306"/>
    </row>
    <row r="307" spans="1:185" ht="12.75" customHeight="1" x14ac:dyDescent="0.25">
      <c r="A307" s="202"/>
      <c r="B307" s="25" t="s">
        <v>57</v>
      </c>
      <c r="C307" s="34" t="s">
        <v>45</v>
      </c>
      <c r="D307" s="22" t="s">
        <v>58</v>
      </c>
      <c r="E307" s="25" t="s">
        <v>484</v>
      </c>
      <c r="F307" s="25" t="s">
        <v>58</v>
      </c>
      <c r="G307" s="25" t="s">
        <v>484</v>
      </c>
      <c r="H307" s="22" t="s">
        <v>56</v>
      </c>
      <c r="I307" s="404" t="s">
        <v>565</v>
      </c>
      <c r="J307" s="136"/>
      <c r="K307" s="23" t="s">
        <v>1545</v>
      </c>
      <c r="L307" s="23" t="s">
        <v>1547</v>
      </c>
      <c r="M307" s="23" t="s">
        <v>688</v>
      </c>
      <c r="N307" s="23"/>
      <c r="O307" s="2"/>
      <c r="P307" s="2"/>
      <c r="Q307" s="2"/>
      <c r="R307" s="2"/>
      <c r="S307" s="2"/>
      <c r="T307" s="116">
        <f t="shared" si="143"/>
        <v>0</v>
      </c>
      <c r="U307" s="324"/>
      <c r="V307" s="324"/>
      <c r="W307" s="324"/>
      <c r="X307" s="324"/>
      <c r="Y307" s="324"/>
      <c r="Z307" s="324"/>
      <c r="AA307" s="324"/>
      <c r="AB307" s="324"/>
      <c r="AC307" s="324"/>
      <c r="AD307" s="324"/>
      <c r="AE307" s="324"/>
      <c r="AF307" s="324"/>
      <c r="AG307" s="140">
        <f t="shared" si="150"/>
        <v>0</v>
      </c>
      <c r="AH307" s="324">
        <v>720</v>
      </c>
      <c r="AI307" s="324"/>
      <c r="AJ307" s="324"/>
      <c r="AK307" s="324"/>
      <c r="AL307" s="324"/>
      <c r="AM307" s="324"/>
      <c r="AN307" s="324"/>
      <c r="AO307" s="324"/>
      <c r="AP307" s="324"/>
      <c r="AQ307" s="324"/>
      <c r="AR307" s="324"/>
      <c r="AS307" s="324"/>
      <c r="AT307" s="140">
        <f t="shared" si="151"/>
        <v>720</v>
      </c>
      <c r="AU307" s="324"/>
      <c r="AV307" s="324"/>
      <c r="AW307" s="324"/>
      <c r="AX307" s="324"/>
      <c r="AY307" s="324"/>
      <c r="AZ307" s="324"/>
      <c r="BA307" s="324"/>
      <c r="BB307" s="324"/>
      <c r="BC307" s="324"/>
      <c r="BD307" s="324"/>
      <c r="BE307" s="324"/>
      <c r="BF307" s="324"/>
      <c r="BG307" s="140">
        <f t="shared" si="152"/>
        <v>0</v>
      </c>
      <c r="BH307" s="324"/>
      <c r="BI307" s="324"/>
      <c r="BJ307" s="324"/>
      <c r="BK307" s="324"/>
      <c r="BL307" s="324"/>
      <c r="BM307" s="324"/>
      <c r="BN307" s="324"/>
      <c r="BO307" s="324"/>
      <c r="BP307" s="324"/>
      <c r="BQ307" s="324"/>
      <c r="BR307" s="324"/>
      <c r="BS307" s="324"/>
      <c r="BT307" s="140">
        <f t="shared" si="153"/>
        <v>0</v>
      </c>
      <c r="BU307" s="114">
        <f t="shared" si="154"/>
        <v>720</v>
      </c>
      <c r="BV307" s="432"/>
      <c r="BW307" s="432"/>
      <c r="BX307" s="432"/>
      <c r="BY307" s="432"/>
      <c r="BZ307" s="433"/>
      <c r="CA307" s="434"/>
      <c r="CB307" s="7" t="s">
        <v>73</v>
      </c>
      <c r="CC307" s="3"/>
      <c r="CD307" s="3"/>
      <c r="CE307" s="3"/>
      <c r="CF307" s="3"/>
      <c r="CG307" s="3"/>
      <c r="CH307" s="3"/>
      <c r="CI307" s="3"/>
      <c r="CJ307" s="3"/>
      <c r="CK307" s="3"/>
      <c r="CL307" s="3">
        <v>0</v>
      </c>
      <c r="CM307" s="3"/>
      <c r="CN307" s="3"/>
      <c r="CO307" s="4">
        <f t="shared" si="161"/>
        <v>0</v>
      </c>
      <c r="CP307" s="3"/>
      <c r="CQ307" s="3"/>
      <c r="CR307" s="3"/>
      <c r="CS307" s="3"/>
      <c r="CT307" s="3"/>
      <c r="CU307" s="3"/>
      <c r="CV307" s="3"/>
      <c r="CW307" s="3"/>
      <c r="CX307" s="3"/>
      <c r="CY307" s="3"/>
      <c r="CZ307" s="3"/>
      <c r="DA307" s="3"/>
      <c r="DB307" s="4">
        <f t="shared" si="162"/>
        <v>0</v>
      </c>
      <c r="DC307" s="3">
        <v>2</v>
      </c>
      <c r="DD307" s="3"/>
      <c r="DE307" s="3"/>
      <c r="DF307" s="3"/>
      <c r="DG307" s="3"/>
      <c r="DH307" s="3"/>
      <c r="DI307" s="3"/>
      <c r="DJ307" s="3"/>
      <c r="DK307" s="3"/>
      <c r="DL307" s="3"/>
      <c r="DM307" s="3"/>
      <c r="DN307" s="3"/>
      <c r="DO307" s="4">
        <f t="shared" si="163"/>
        <v>2</v>
      </c>
      <c r="DP307" s="3"/>
      <c r="DQ307" s="3"/>
      <c r="DR307" s="3"/>
      <c r="DS307" s="3"/>
      <c r="DT307" s="3"/>
      <c r="DU307" s="3"/>
      <c r="DV307" s="3"/>
      <c r="DW307" s="3"/>
      <c r="DX307" s="3"/>
      <c r="DY307" s="3"/>
      <c r="DZ307" s="3"/>
      <c r="EA307" s="3"/>
      <c r="EB307" s="4">
        <f t="shared" si="164"/>
        <v>0</v>
      </c>
      <c r="EC307" s="3"/>
      <c r="ED307" s="3"/>
      <c r="EE307" s="3"/>
      <c r="EF307" s="3"/>
      <c r="EG307" s="3"/>
      <c r="EH307" s="3"/>
      <c r="EI307" s="3"/>
      <c r="EJ307" s="3"/>
      <c r="EK307" s="3"/>
      <c r="EL307" s="3"/>
      <c r="EM307" s="3"/>
      <c r="EN307" s="3"/>
      <c r="EO307" s="4">
        <f t="shared" si="165"/>
        <v>0</v>
      </c>
      <c r="EP307" s="8">
        <f t="shared" si="166"/>
        <v>2</v>
      </c>
      <c r="EQ307" s="181">
        <f>IFERROR(VLOOKUP(I307,CEI_012018!$A$1:$U$509,9,FALSE),0)</f>
        <v>0</v>
      </c>
      <c r="ER307" s="181">
        <f>IFERROR(VLOOKUP(I307,CEI_022018!$A$1:$U$509,9,FALSE),0)</f>
        <v>0</v>
      </c>
      <c r="ES307" s="181">
        <f>IFERROR(VLOOKUP(I307,CEI_032018!$A$1:$U$509,9,FALSE),0)</f>
        <v>0</v>
      </c>
      <c r="ET307" s="181">
        <f>IFERROR(VLOOKUP(I307,CEI_042018!$A$1:$U$491,9,FALSE),0)</f>
        <v>0</v>
      </c>
      <c r="EU307" s="181">
        <f>IFERROR(VLOOKUP(I307,CEI_052018!$A$1:$U$489,9,FALSE),0)</f>
        <v>0</v>
      </c>
      <c r="EV307" s="181">
        <f>IFERROR(VLOOKUP(I307,CEI_062018!$A$1:$U$489,9,FALSE),0)</f>
        <v>0</v>
      </c>
      <c r="EW307" s="181">
        <f>IFERROR(VLOOKUP(I307,CEI_072018!$A$1:$U$489,9,FALSE),0)</f>
        <v>0</v>
      </c>
      <c r="EX307" s="181">
        <f>IFERROR(VLOOKUP(I307,CEI_082018!$A$1:$U$489,9,FALSE),0)</f>
        <v>0</v>
      </c>
      <c r="EY307" s="181">
        <f>IFERROR(VLOOKUP(I307,CEI_092018!$A$1:$U$489,9,FALSE),0)</f>
        <v>0</v>
      </c>
      <c r="EZ307" s="181"/>
      <c r="FA307" s="181"/>
      <c r="FB307" s="181"/>
      <c r="FC307" s="181">
        <f>IFERROR(VLOOKUP(I307,CEI_092018!$A$1:$U$489,12,FALSE),0)</f>
        <v>0</v>
      </c>
      <c r="FD307" s="181">
        <f t="shared" si="170"/>
        <v>0</v>
      </c>
      <c r="FE307" s="181">
        <f t="shared" si="171"/>
        <v>0</v>
      </c>
      <c r="FF307"/>
      <c r="FG307"/>
      <c r="FH307"/>
      <c r="FI307"/>
      <c r="FJ307"/>
      <c r="FK307"/>
      <c r="FL307"/>
      <c r="FM307"/>
      <c r="FN307"/>
      <c r="FO307"/>
      <c r="FP307"/>
      <c r="FQ307"/>
      <c r="FR307"/>
      <c r="FS307"/>
      <c r="FT307"/>
      <c r="FU307"/>
      <c r="FV307"/>
      <c r="FW307"/>
      <c r="FX307"/>
      <c r="FY307"/>
      <c r="FZ307"/>
      <c r="GA307"/>
      <c r="GB307"/>
      <c r="GC307"/>
    </row>
    <row r="308" spans="1:185" ht="12.75" customHeight="1" x14ac:dyDescent="0.25">
      <c r="A308" s="202"/>
      <c r="B308" s="22" t="s">
        <v>57</v>
      </c>
      <c r="C308" s="34" t="s">
        <v>45</v>
      </c>
      <c r="D308" s="22" t="s">
        <v>58</v>
      </c>
      <c r="E308" s="25" t="s">
        <v>484</v>
      </c>
      <c r="F308" s="25" t="s">
        <v>58</v>
      </c>
      <c r="G308" s="25" t="s">
        <v>484</v>
      </c>
      <c r="H308" s="22" t="s">
        <v>56</v>
      </c>
      <c r="I308" s="423" t="s">
        <v>565</v>
      </c>
      <c r="J308" s="37"/>
      <c r="K308" s="23" t="s">
        <v>485</v>
      </c>
      <c r="L308" s="23" t="s">
        <v>683</v>
      </c>
      <c r="M308" s="23" t="s">
        <v>684</v>
      </c>
      <c r="N308" s="23"/>
      <c r="O308" s="2"/>
      <c r="P308" s="2"/>
      <c r="Q308" s="2"/>
      <c r="R308" s="2"/>
      <c r="S308" s="2"/>
      <c r="T308" s="116">
        <f t="shared" si="143"/>
        <v>0</v>
      </c>
      <c r="U308" s="324"/>
      <c r="V308" s="324"/>
      <c r="W308" s="324"/>
      <c r="X308" s="324"/>
      <c r="Y308" s="324"/>
      <c r="Z308" s="324"/>
      <c r="AA308" s="324"/>
      <c r="AB308" s="324"/>
      <c r="AC308" s="324"/>
      <c r="AD308" s="324"/>
      <c r="AE308" s="324"/>
      <c r="AF308" s="324"/>
      <c r="AG308" s="140">
        <f t="shared" si="150"/>
        <v>0</v>
      </c>
      <c r="AH308" s="324">
        <v>350</v>
      </c>
      <c r="AI308" s="324"/>
      <c r="AJ308" s="324"/>
      <c r="AK308" s="324"/>
      <c r="AL308" s="324"/>
      <c r="AM308" s="324"/>
      <c r="AN308" s="324"/>
      <c r="AO308" s="324"/>
      <c r="AP308" s="324"/>
      <c r="AQ308" s="324"/>
      <c r="AR308" s="324"/>
      <c r="AS308" s="324"/>
      <c r="AT308" s="140">
        <f t="shared" si="151"/>
        <v>350</v>
      </c>
      <c r="AU308" s="324">
        <v>350</v>
      </c>
      <c r="AV308" s="324"/>
      <c r="AW308" s="324"/>
      <c r="AX308" s="324"/>
      <c r="AY308" s="324"/>
      <c r="AZ308" s="324"/>
      <c r="BA308" s="324"/>
      <c r="BB308" s="324"/>
      <c r="BC308" s="324"/>
      <c r="BD308" s="324"/>
      <c r="BE308" s="324"/>
      <c r="BF308" s="324"/>
      <c r="BG308" s="140">
        <f t="shared" si="152"/>
        <v>350</v>
      </c>
      <c r="BH308" s="324"/>
      <c r="BI308" s="324"/>
      <c r="BJ308" s="324"/>
      <c r="BK308" s="324"/>
      <c r="BL308" s="324"/>
      <c r="BM308" s="324"/>
      <c r="BN308" s="324"/>
      <c r="BO308" s="324"/>
      <c r="BP308" s="324"/>
      <c r="BQ308" s="324"/>
      <c r="BR308" s="324"/>
      <c r="BS308" s="324"/>
      <c r="BT308" s="140">
        <f t="shared" si="153"/>
        <v>0</v>
      </c>
      <c r="BU308" s="114">
        <f t="shared" si="154"/>
        <v>700</v>
      </c>
      <c r="BV308" s="432"/>
      <c r="BW308" s="432"/>
      <c r="BX308" s="432"/>
      <c r="BY308" s="432"/>
      <c r="BZ308" s="433"/>
      <c r="CA308" s="434"/>
      <c r="CB308" s="7" t="s">
        <v>73</v>
      </c>
      <c r="CC308" s="3"/>
      <c r="CD308" s="3"/>
      <c r="CE308" s="3"/>
      <c r="CF308" s="3"/>
      <c r="CG308" s="3"/>
      <c r="CH308" s="3"/>
      <c r="CI308" s="3"/>
      <c r="CJ308" s="3"/>
      <c r="CK308" s="3"/>
      <c r="CL308" s="3"/>
      <c r="CM308" s="3"/>
      <c r="CN308" s="3"/>
      <c r="CO308" s="4">
        <f t="shared" si="161"/>
        <v>0</v>
      </c>
      <c r="CP308" s="3"/>
      <c r="CQ308" s="3"/>
      <c r="CR308" s="3"/>
      <c r="CS308" s="3"/>
      <c r="CT308" s="3"/>
      <c r="CU308" s="3"/>
      <c r="CV308" s="3"/>
      <c r="CW308" s="3"/>
      <c r="CX308" s="3"/>
      <c r="CY308" s="3"/>
      <c r="CZ308" s="3"/>
      <c r="DA308" s="3"/>
      <c r="DB308" s="4">
        <f t="shared" si="162"/>
        <v>0</v>
      </c>
      <c r="DC308" s="3">
        <v>5</v>
      </c>
      <c r="DD308" s="3"/>
      <c r="DE308" s="3"/>
      <c r="DF308" s="3"/>
      <c r="DG308" s="3"/>
      <c r="DH308" s="3"/>
      <c r="DI308" s="3"/>
      <c r="DJ308" s="3"/>
      <c r="DK308" s="3"/>
      <c r="DL308" s="3"/>
      <c r="DM308" s="3"/>
      <c r="DN308" s="3"/>
      <c r="DO308" s="4">
        <f t="shared" si="163"/>
        <v>5</v>
      </c>
      <c r="DP308" s="3">
        <v>5</v>
      </c>
      <c r="DQ308" s="3"/>
      <c r="DR308" s="3"/>
      <c r="DS308" s="3"/>
      <c r="DT308" s="3"/>
      <c r="DU308" s="3"/>
      <c r="DV308" s="3"/>
      <c r="DW308" s="3"/>
      <c r="DX308" s="3"/>
      <c r="DY308" s="3"/>
      <c r="DZ308" s="3"/>
      <c r="EA308" s="3"/>
      <c r="EB308" s="4">
        <f t="shared" si="164"/>
        <v>5</v>
      </c>
      <c r="EC308" s="3"/>
      <c r="ED308" s="3"/>
      <c r="EE308" s="3"/>
      <c r="EF308" s="3"/>
      <c r="EG308" s="3"/>
      <c r="EH308" s="3"/>
      <c r="EI308" s="3"/>
      <c r="EJ308" s="3"/>
      <c r="EK308" s="3"/>
      <c r="EL308" s="3"/>
      <c r="EM308" s="3"/>
      <c r="EN308" s="3"/>
      <c r="EO308" s="4">
        <f t="shared" si="165"/>
        <v>0</v>
      </c>
      <c r="EP308" s="8">
        <f t="shared" si="166"/>
        <v>10</v>
      </c>
      <c r="EQ308" s="181">
        <f>IFERROR(VLOOKUP(I308,CEI_012018!$A$1:$U$509,9,FALSE),0)</f>
        <v>0</v>
      </c>
      <c r="ER308" s="181">
        <f>IFERROR(VLOOKUP(I308,CEI_022018!$A$1:$U$509,9,FALSE),0)</f>
        <v>0</v>
      </c>
      <c r="ES308" s="181">
        <f>IFERROR(VLOOKUP(I308,CEI_032018!$A$1:$U$509,9,FALSE),0)</f>
        <v>0</v>
      </c>
      <c r="ET308" s="181">
        <f>IFERROR(VLOOKUP(I308,CEI_042018!$A$1:$U$491,9,FALSE),0)</f>
        <v>0</v>
      </c>
      <c r="EU308" s="181">
        <f>IFERROR(VLOOKUP(I308,CEI_052018!$A$1:$U$489,9,FALSE),0)</f>
        <v>0</v>
      </c>
      <c r="EV308" s="181">
        <f>IFERROR(VLOOKUP(I308,CEI_062018!$A$1:$U$489,9,FALSE),0)</f>
        <v>0</v>
      </c>
      <c r="EW308" s="181">
        <f>IFERROR(VLOOKUP(I308,CEI_072018!$A$1:$U$489,9,FALSE),0)</f>
        <v>0</v>
      </c>
      <c r="EX308" s="181">
        <f>IFERROR(VLOOKUP(I308,CEI_082018!$A$1:$U$489,9,FALSE),0)</f>
        <v>0</v>
      </c>
      <c r="EY308" s="181">
        <f>IFERROR(VLOOKUP(I308,CEI_092018!$A$1:$U$489,9,FALSE),0)</f>
        <v>0</v>
      </c>
      <c r="EZ308" s="181"/>
      <c r="FA308" s="181"/>
      <c r="FB308" s="181"/>
      <c r="FC308" s="181">
        <f>IFERROR(VLOOKUP(I308,CEI_092018!$A$1:$U$489,12,FALSE),0)</f>
        <v>0</v>
      </c>
      <c r="FD308" s="181">
        <f t="shared" si="170"/>
        <v>0</v>
      </c>
      <c r="FE308" s="181">
        <f t="shared" si="171"/>
        <v>0</v>
      </c>
      <c r="FF308"/>
      <c r="FG308"/>
      <c r="FH308"/>
      <c r="FI308"/>
      <c r="FJ308"/>
      <c r="FK308"/>
      <c r="FL308"/>
      <c r="FM308"/>
      <c r="FN308"/>
      <c r="FO308"/>
      <c r="FP308"/>
      <c r="FQ308"/>
      <c r="FR308"/>
      <c r="FS308"/>
      <c r="FT308"/>
      <c r="FU308"/>
      <c r="FV308"/>
      <c r="FW308"/>
      <c r="FX308"/>
      <c r="FY308"/>
      <c r="FZ308"/>
      <c r="GA308"/>
      <c r="GB308"/>
      <c r="GC308"/>
    </row>
    <row r="309" spans="1:185" ht="12.75" customHeight="1" x14ac:dyDescent="0.25">
      <c r="A309" s="202"/>
      <c r="B309" s="22" t="s">
        <v>57</v>
      </c>
      <c r="C309" s="34" t="s">
        <v>45</v>
      </c>
      <c r="D309" s="22" t="s">
        <v>58</v>
      </c>
      <c r="E309" s="25" t="s">
        <v>484</v>
      </c>
      <c r="F309" s="25" t="s">
        <v>58</v>
      </c>
      <c r="G309" s="25" t="s">
        <v>484</v>
      </c>
      <c r="H309" s="22" t="s">
        <v>56</v>
      </c>
      <c r="I309" s="423" t="s">
        <v>565</v>
      </c>
      <c r="J309" s="37"/>
      <c r="K309" s="23" t="s">
        <v>874</v>
      </c>
      <c r="L309" s="23" t="s">
        <v>874</v>
      </c>
      <c r="M309" s="23" t="s">
        <v>875</v>
      </c>
      <c r="N309" s="23"/>
      <c r="O309" s="2"/>
      <c r="P309" s="2"/>
      <c r="Q309" s="2"/>
      <c r="R309" s="2"/>
      <c r="S309" s="2"/>
      <c r="T309" s="116">
        <f t="shared" si="143"/>
        <v>0</v>
      </c>
      <c r="U309" s="324"/>
      <c r="V309" s="324"/>
      <c r="W309" s="324"/>
      <c r="X309" s="324"/>
      <c r="Y309" s="324"/>
      <c r="Z309" s="324"/>
      <c r="AA309" s="324">
        <v>500</v>
      </c>
      <c r="AB309" s="324"/>
      <c r="AC309" s="324"/>
      <c r="AD309" s="324"/>
      <c r="AE309" s="324"/>
      <c r="AF309" s="324"/>
      <c r="AG309" s="140">
        <f t="shared" si="150"/>
        <v>500</v>
      </c>
      <c r="AH309" s="324"/>
      <c r="AI309" s="324"/>
      <c r="AJ309" s="324"/>
      <c r="AK309" s="324"/>
      <c r="AL309" s="324"/>
      <c r="AM309" s="324"/>
      <c r="AN309" s="324"/>
      <c r="AO309" s="324"/>
      <c r="AP309" s="324"/>
      <c r="AQ309" s="324"/>
      <c r="AR309" s="324"/>
      <c r="AS309" s="324"/>
      <c r="AT309" s="140">
        <f t="shared" si="151"/>
        <v>0</v>
      </c>
      <c r="AU309" s="324"/>
      <c r="AV309" s="324"/>
      <c r="AW309" s="324"/>
      <c r="AX309" s="324"/>
      <c r="AY309" s="324"/>
      <c r="AZ309" s="324"/>
      <c r="BA309" s="324"/>
      <c r="BB309" s="324"/>
      <c r="BC309" s="324"/>
      <c r="BD309" s="324"/>
      <c r="BE309" s="324"/>
      <c r="BF309" s="324"/>
      <c r="BG309" s="140">
        <f t="shared" si="152"/>
        <v>0</v>
      </c>
      <c r="BH309" s="324"/>
      <c r="BI309" s="324"/>
      <c r="BJ309" s="324"/>
      <c r="BK309" s="324"/>
      <c r="BL309" s="324"/>
      <c r="BM309" s="324"/>
      <c r="BN309" s="324"/>
      <c r="BO309" s="324"/>
      <c r="BP309" s="324"/>
      <c r="BQ309" s="324"/>
      <c r="BR309" s="324"/>
      <c r="BS309" s="324"/>
      <c r="BT309" s="140">
        <f t="shared" si="153"/>
        <v>0</v>
      </c>
      <c r="BU309" s="114">
        <f t="shared" si="154"/>
        <v>500</v>
      </c>
      <c r="BV309" s="432"/>
      <c r="BW309" s="432"/>
      <c r="BX309" s="432"/>
      <c r="BY309" s="432"/>
      <c r="BZ309" s="433"/>
      <c r="CA309" s="434"/>
      <c r="CB309" s="7" t="s">
        <v>73</v>
      </c>
      <c r="CC309" s="3"/>
      <c r="CD309" s="3"/>
      <c r="CE309" s="3"/>
      <c r="CF309" s="3"/>
      <c r="CG309" s="3"/>
      <c r="CH309" s="3"/>
      <c r="CI309" s="3">
        <v>0</v>
      </c>
      <c r="CJ309" s="3"/>
      <c r="CK309" s="3"/>
      <c r="CL309" s="3"/>
      <c r="CM309" s="3"/>
      <c r="CN309" s="3"/>
      <c r="CO309" s="4">
        <f t="shared" si="161"/>
        <v>0</v>
      </c>
      <c r="CP309" s="3"/>
      <c r="CQ309" s="3"/>
      <c r="CR309" s="3"/>
      <c r="CS309" s="3"/>
      <c r="CT309" s="3"/>
      <c r="CU309" s="3"/>
      <c r="CV309" s="3"/>
      <c r="CW309" s="3"/>
      <c r="CX309" s="3"/>
      <c r="CY309" s="3"/>
      <c r="CZ309" s="3"/>
      <c r="DA309" s="3"/>
      <c r="DB309" s="4">
        <f t="shared" si="162"/>
        <v>0</v>
      </c>
      <c r="DC309" s="3"/>
      <c r="DD309" s="3"/>
      <c r="DE309" s="3"/>
      <c r="DF309" s="3"/>
      <c r="DG309" s="3"/>
      <c r="DH309" s="3"/>
      <c r="DI309" s="3"/>
      <c r="DJ309" s="3"/>
      <c r="DK309" s="3"/>
      <c r="DL309" s="3"/>
      <c r="DM309" s="3"/>
      <c r="DN309" s="3"/>
      <c r="DO309" s="4">
        <f t="shared" si="163"/>
        <v>0</v>
      </c>
      <c r="DP309" s="3"/>
      <c r="DQ309" s="3"/>
      <c r="DR309" s="3"/>
      <c r="DS309" s="3"/>
      <c r="DT309" s="3"/>
      <c r="DU309" s="3"/>
      <c r="DV309" s="3"/>
      <c r="DW309" s="3"/>
      <c r="DX309" s="3"/>
      <c r="DY309" s="3"/>
      <c r="DZ309" s="3"/>
      <c r="EA309" s="3"/>
      <c r="EB309" s="4">
        <f t="shared" si="164"/>
        <v>0</v>
      </c>
      <c r="EC309" s="3"/>
      <c r="ED309" s="3"/>
      <c r="EE309" s="3"/>
      <c r="EF309" s="3"/>
      <c r="EG309" s="3"/>
      <c r="EH309" s="3"/>
      <c r="EI309" s="3"/>
      <c r="EJ309" s="3"/>
      <c r="EK309" s="3"/>
      <c r="EL309" s="3"/>
      <c r="EM309" s="3"/>
      <c r="EN309" s="3"/>
      <c r="EO309" s="4">
        <f t="shared" si="165"/>
        <v>0</v>
      </c>
      <c r="EP309" s="8">
        <f t="shared" si="166"/>
        <v>0</v>
      </c>
      <c r="EQ309" s="181">
        <f>IFERROR(VLOOKUP(I309,CEI_012018!$A$1:$U$509,9,FALSE),0)</f>
        <v>0</v>
      </c>
      <c r="ER309" s="181">
        <f>IFERROR(VLOOKUP(I309,CEI_022018!$A$1:$U$509,9,FALSE),0)</f>
        <v>0</v>
      </c>
      <c r="ES309" s="181">
        <f>IFERROR(VLOOKUP(I309,CEI_032018!$A$1:$U$509,9,FALSE),0)</f>
        <v>0</v>
      </c>
      <c r="ET309" s="181">
        <f>IFERROR(VLOOKUP(I309,CEI_042018!$A$1:$U$491,9,FALSE),0)</f>
        <v>0</v>
      </c>
      <c r="EU309" s="181">
        <f>IFERROR(VLOOKUP(I309,CEI_052018!$A$1:$U$489,9,FALSE),0)</f>
        <v>0</v>
      </c>
      <c r="EV309" s="181">
        <f>IFERROR(VLOOKUP(I309,CEI_062018!$A$1:$U$489,9,FALSE),0)</f>
        <v>0</v>
      </c>
      <c r="EW309" s="181">
        <f>IFERROR(VLOOKUP(I309,CEI_072018!$A$1:$U$489,9,FALSE),0)</f>
        <v>0</v>
      </c>
      <c r="EX309" s="181">
        <f>IFERROR(VLOOKUP(I309,CEI_082018!$A$1:$U$489,9,FALSE),0)</f>
        <v>0</v>
      </c>
      <c r="EY309" s="181">
        <f>IFERROR(VLOOKUP(I309,CEI_092018!$A$1:$U$489,9,FALSE),0)</f>
        <v>0</v>
      </c>
      <c r="EZ309" s="181"/>
      <c r="FA309" s="181"/>
      <c r="FB309" s="181"/>
      <c r="FC309" s="181">
        <f>IFERROR(VLOOKUP(I309,CEI_092018!$A$1:$U$489,12,FALSE),0)</f>
        <v>0</v>
      </c>
      <c r="FD309" s="181">
        <f t="shared" si="170"/>
        <v>0</v>
      </c>
      <c r="FE309" s="181">
        <f t="shared" si="171"/>
        <v>0</v>
      </c>
      <c r="FF309"/>
      <c r="FG309"/>
      <c r="FH309"/>
      <c r="FI309"/>
      <c r="FJ309"/>
      <c r="FK309"/>
      <c r="FL309"/>
      <c r="FM309"/>
      <c r="FN309"/>
      <c r="FO309"/>
      <c r="FP309"/>
      <c r="FQ309"/>
      <c r="FR309"/>
      <c r="FS309"/>
      <c r="FT309"/>
      <c r="FU309"/>
      <c r="FV309"/>
      <c r="FW309"/>
      <c r="FX309"/>
      <c r="FY309"/>
      <c r="FZ309"/>
      <c r="GA309"/>
      <c r="GB309"/>
      <c r="GC309"/>
    </row>
    <row r="310" spans="1:185" ht="12.75" customHeight="1" x14ac:dyDescent="0.25">
      <c r="A310" s="202"/>
      <c r="B310" s="22" t="s">
        <v>57</v>
      </c>
      <c r="C310" s="34" t="s">
        <v>45</v>
      </c>
      <c r="D310" s="22" t="s">
        <v>58</v>
      </c>
      <c r="E310" s="25" t="s">
        <v>484</v>
      </c>
      <c r="F310" s="25" t="s">
        <v>58</v>
      </c>
      <c r="G310" s="25" t="s">
        <v>484</v>
      </c>
      <c r="H310" s="22" t="s">
        <v>56</v>
      </c>
      <c r="I310" s="423" t="s">
        <v>565</v>
      </c>
      <c r="J310" s="37"/>
      <c r="K310" s="23" t="s">
        <v>860</v>
      </c>
      <c r="L310" s="23" t="s">
        <v>861</v>
      </c>
      <c r="M310" s="23" t="s">
        <v>697</v>
      </c>
      <c r="N310" s="23"/>
      <c r="O310" s="2"/>
      <c r="P310" s="2"/>
      <c r="Q310" s="2"/>
      <c r="R310" s="2"/>
      <c r="S310" s="2"/>
      <c r="T310" s="116">
        <f t="shared" si="143"/>
        <v>0</v>
      </c>
      <c r="U310" s="324"/>
      <c r="V310" s="324"/>
      <c r="W310" s="324"/>
      <c r="X310" s="324"/>
      <c r="Y310" s="324"/>
      <c r="Z310" s="324"/>
      <c r="AA310" s="324"/>
      <c r="AB310" s="324"/>
      <c r="AC310" s="324"/>
      <c r="AD310" s="324"/>
      <c r="AE310" s="324"/>
      <c r="AF310" s="324"/>
      <c r="AG310" s="140">
        <f t="shared" si="150"/>
        <v>0</v>
      </c>
      <c r="AH310" s="324">
        <v>368</v>
      </c>
      <c r="AI310" s="324"/>
      <c r="AJ310" s="324"/>
      <c r="AK310" s="324"/>
      <c r="AL310" s="324"/>
      <c r="AM310" s="324"/>
      <c r="AN310" s="324"/>
      <c r="AO310" s="324"/>
      <c r="AP310" s="324"/>
      <c r="AQ310" s="324"/>
      <c r="AR310" s="324"/>
      <c r="AS310" s="324"/>
      <c r="AT310" s="140">
        <f t="shared" si="151"/>
        <v>368</v>
      </c>
      <c r="AU310" s="324"/>
      <c r="AV310" s="324"/>
      <c r="AW310" s="324"/>
      <c r="AX310" s="324"/>
      <c r="AY310" s="324"/>
      <c r="AZ310" s="324"/>
      <c r="BA310" s="324"/>
      <c r="BB310" s="324"/>
      <c r="BC310" s="324"/>
      <c r="BD310" s="324"/>
      <c r="BE310" s="324"/>
      <c r="BF310" s="324"/>
      <c r="BG310" s="140">
        <f t="shared" si="152"/>
        <v>0</v>
      </c>
      <c r="BH310" s="324"/>
      <c r="BI310" s="324"/>
      <c r="BJ310" s="324"/>
      <c r="BK310" s="324"/>
      <c r="BL310" s="324"/>
      <c r="BM310" s="324"/>
      <c r="BN310" s="324"/>
      <c r="BO310" s="324"/>
      <c r="BP310" s="324"/>
      <c r="BQ310" s="324"/>
      <c r="BR310" s="324"/>
      <c r="BS310" s="324"/>
      <c r="BT310" s="140">
        <f t="shared" si="153"/>
        <v>0</v>
      </c>
      <c r="BU310" s="114">
        <f t="shared" si="154"/>
        <v>368</v>
      </c>
      <c r="BV310" s="432"/>
      <c r="BW310" s="432"/>
      <c r="BX310" s="432"/>
      <c r="BY310" s="432"/>
      <c r="BZ310" s="433"/>
      <c r="CA310" s="434"/>
      <c r="CB310" s="7" t="s">
        <v>73</v>
      </c>
      <c r="CC310" s="3"/>
      <c r="CD310" s="3"/>
      <c r="CE310" s="3"/>
      <c r="CF310" s="3"/>
      <c r="CG310" s="3"/>
      <c r="CH310" s="3"/>
      <c r="CI310" s="3"/>
      <c r="CJ310" s="3"/>
      <c r="CK310" s="3"/>
      <c r="CL310" s="3"/>
      <c r="CM310" s="3"/>
      <c r="CN310" s="3"/>
      <c r="CO310" s="4">
        <f t="shared" si="161"/>
        <v>0</v>
      </c>
      <c r="CP310" s="3"/>
      <c r="CQ310" s="3"/>
      <c r="CR310" s="3"/>
      <c r="CS310" s="3"/>
      <c r="CT310" s="3"/>
      <c r="CU310" s="3"/>
      <c r="CV310" s="3"/>
      <c r="CW310" s="3"/>
      <c r="CX310" s="3"/>
      <c r="CY310" s="3"/>
      <c r="CZ310" s="3"/>
      <c r="DA310" s="3"/>
      <c r="DB310" s="4">
        <f t="shared" si="162"/>
        <v>0</v>
      </c>
      <c r="DC310" s="3">
        <v>2</v>
      </c>
      <c r="DD310" s="3"/>
      <c r="DE310" s="3"/>
      <c r="DF310" s="3"/>
      <c r="DG310" s="3"/>
      <c r="DH310" s="3"/>
      <c r="DI310" s="3"/>
      <c r="DJ310" s="3"/>
      <c r="DK310" s="3"/>
      <c r="DL310" s="3"/>
      <c r="DM310" s="3"/>
      <c r="DN310" s="3"/>
      <c r="DO310" s="4">
        <f t="shared" si="163"/>
        <v>2</v>
      </c>
      <c r="DP310" s="3"/>
      <c r="DQ310" s="3"/>
      <c r="DR310" s="3"/>
      <c r="DS310" s="3"/>
      <c r="DT310" s="3"/>
      <c r="DU310" s="3"/>
      <c r="DV310" s="3"/>
      <c r="DW310" s="3"/>
      <c r="DX310" s="3"/>
      <c r="DY310" s="3"/>
      <c r="DZ310" s="3"/>
      <c r="EA310" s="3"/>
      <c r="EB310" s="4">
        <f t="shared" si="164"/>
        <v>0</v>
      </c>
      <c r="EC310" s="3"/>
      <c r="ED310" s="3"/>
      <c r="EE310" s="3"/>
      <c r="EF310" s="3"/>
      <c r="EG310" s="3"/>
      <c r="EH310" s="3"/>
      <c r="EI310" s="3"/>
      <c r="EJ310" s="3"/>
      <c r="EK310" s="3"/>
      <c r="EL310" s="3"/>
      <c r="EM310" s="3"/>
      <c r="EN310" s="3"/>
      <c r="EO310" s="4">
        <f t="shared" si="165"/>
        <v>0</v>
      </c>
      <c r="EP310" s="8">
        <f t="shared" si="166"/>
        <v>2</v>
      </c>
      <c r="EQ310" s="181">
        <f>IFERROR(VLOOKUP(I310,CEI_012018!$A$1:$U$509,9,FALSE),0)</f>
        <v>0</v>
      </c>
      <c r="ER310" s="181">
        <f>IFERROR(VLOOKUP(I310,CEI_022018!$A$1:$U$509,9,FALSE),0)</f>
        <v>0</v>
      </c>
      <c r="ES310" s="181">
        <f>IFERROR(VLOOKUP(I310,CEI_032018!$A$1:$U$509,9,FALSE),0)</f>
        <v>0</v>
      </c>
      <c r="ET310" s="181">
        <f>IFERROR(VLOOKUP(I310,CEI_042018!$A$1:$U$491,9,FALSE),0)</f>
        <v>0</v>
      </c>
      <c r="EU310" s="181">
        <f>IFERROR(VLOOKUP(I310,CEI_052018!$A$1:$U$489,9,FALSE),0)</f>
        <v>0</v>
      </c>
      <c r="EV310" s="181">
        <f>IFERROR(VLOOKUP(I310,CEI_062018!$A$1:$U$489,9,FALSE),0)</f>
        <v>0</v>
      </c>
      <c r="EW310" s="181">
        <f>IFERROR(VLOOKUP(I310,CEI_072018!$A$1:$U$489,9,FALSE),0)</f>
        <v>0</v>
      </c>
      <c r="EX310" s="181">
        <f>IFERROR(VLOOKUP(I310,CEI_082018!$A$1:$U$489,9,FALSE),0)</f>
        <v>0</v>
      </c>
      <c r="EY310" s="181">
        <f>IFERROR(VLOOKUP(I310,CEI_092018!$A$1:$U$489,9,FALSE),0)</f>
        <v>0</v>
      </c>
      <c r="EZ310" s="181"/>
      <c r="FA310" s="181"/>
      <c r="FB310" s="181"/>
      <c r="FC310" s="181">
        <f>IFERROR(VLOOKUP(I310,CEI_092018!$A$1:$U$489,12,FALSE),0)</f>
        <v>0</v>
      </c>
      <c r="FD310" s="181">
        <f t="shared" si="170"/>
        <v>0</v>
      </c>
      <c r="FE310" s="181">
        <f t="shared" si="171"/>
        <v>0</v>
      </c>
      <c r="FF310"/>
      <c r="FG310"/>
      <c r="FH310"/>
      <c r="FI310"/>
      <c r="FJ310"/>
      <c r="FK310"/>
      <c r="FL310"/>
      <c r="FM310"/>
      <c r="FN310"/>
      <c r="FO310"/>
      <c r="FP310"/>
      <c r="FQ310"/>
      <c r="FR310"/>
      <c r="FS310"/>
      <c r="FT310"/>
      <c r="FU310"/>
      <c r="FV310"/>
      <c r="FW310"/>
      <c r="FX310"/>
      <c r="FY310"/>
      <c r="FZ310"/>
      <c r="GA310"/>
      <c r="GB310"/>
      <c r="GC310"/>
    </row>
    <row r="311" spans="1:185" ht="12.75" customHeight="1" x14ac:dyDescent="0.25">
      <c r="A311" s="202"/>
      <c r="B311" s="22" t="s">
        <v>57</v>
      </c>
      <c r="C311" s="34" t="s">
        <v>45</v>
      </c>
      <c r="D311" s="22" t="s">
        <v>58</v>
      </c>
      <c r="E311" s="25" t="s">
        <v>484</v>
      </c>
      <c r="F311" s="25" t="s">
        <v>58</v>
      </c>
      <c r="G311" s="25" t="s">
        <v>484</v>
      </c>
      <c r="H311" s="22" t="s">
        <v>56</v>
      </c>
      <c r="I311" s="423" t="s">
        <v>565</v>
      </c>
      <c r="J311" s="37"/>
      <c r="K311" s="23" t="s">
        <v>486</v>
      </c>
      <c r="L311" s="23" t="s">
        <v>487</v>
      </c>
      <c r="M311" s="23" t="s">
        <v>699</v>
      </c>
      <c r="N311" s="382" t="s">
        <v>1767</v>
      </c>
      <c r="O311" s="2"/>
      <c r="P311" s="2"/>
      <c r="Q311" s="2"/>
      <c r="R311" s="2"/>
      <c r="S311" s="2"/>
      <c r="T311" s="116">
        <f t="shared" si="143"/>
        <v>0</v>
      </c>
      <c r="U311" s="324"/>
      <c r="V311" s="324"/>
      <c r="W311" s="324"/>
      <c r="X311" s="324"/>
      <c r="Y311" s="324"/>
      <c r="Z311" s="324"/>
      <c r="AA311" s="324"/>
      <c r="AB311" s="324"/>
      <c r="AC311" s="324">
        <v>300</v>
      </c>
      <c r="AD311" s="324"/>
      <c r="AE311" s="324"/>
      <c r="AF311" s="324"/>
      <c r="AG311" s="140">
        <f t="shared" si="150"/>
        <v>300</v>
      </c>
      <c r="AH311" s="324"/>
      <c r="AI311" s="324"/>
      <c r="AJ311" s="324"/>
      <c r="AK311" s="324"/>
      <c r="AL311" s="324"/>
      <c r="AM311" s="324"/>
      <c r="AN311" s="324"/>
      <c r="AO311" s="324"/>
      <c r="AP311" s="324"/>
      <c r="AQ311" s="324"/>
      <c r="AR311" s="324"/>
      <c r="AS311" s="324"/>
      <c r="AT311" s="140">
        <f t="shared" si="151"/>
        <v>0</v>
      </c>
      <c r="AU311" s="324"/>
      <c r="AV311" s="324"/>
      <c r="AW311" s="324"/>
      <c r="AX311" s="324"/>
      <c r="AY311" s="324"/>
      <c r="AZ311" s="324"/>
      <c r="BA311" s="324"/>
      <c r="BB311" s="324"/>
      <c r="BC311" s="324"/>
      <c r="BD311" s="324"/>
      <c r="BE311" s="324"/>
      <c r="BF311" s="324"/>
      <c r="BG311" s="140">
        <f t="shared" si="152"/>
        <v>0</v>
      </c>
      <c r="BH311" s="324"/>
      <c r="BI311" s="324"/>
      <c r="BJ311" s="324"/>
      <c r="BK311" s="324"/>
      <c r="BL311" s="324"/>
      <c r="BM311" s="324"/>
      <c r="BN311" s="324"/>
      <c r="BO311" s="324"/>
      <c r="BP311" s="324"/>
      <c r="BQ311" s="324"/>
      <c r="BR311" s="324"/>
      <c r="BS311" s="324"/>
      <c r="BT311" s="140">
        <f t="shared" si="153"/>
        <v>0</v>
      </c>
      <c r="BU311" s="114">
        <f t="shared" si="154"/>
        <v>300</v>
      </c>
      <c r="BV311" s="432"/>
      <c r="BW311" s="432"/>
      <c r="BX311" s="432"/>
      <c r="BY311" s="432"/>
      <c r="BZ311" s="433"/>
      <c r="CA311" s="434"/>
      <c r="CB311" s="7" t="s">
        <v>73</v>
      </c>
      <c r="CC311" s="3"/>
      <c r="CD311" s="3"/>
      <c r="CE311" s="3"/>
      <c r="CF311" s="3"/>
      <c r="CG311" s="3"/>
      <c r="CH311" s="3"/>
      <c r="CI311" s="3"/>
      <c r="CJ311" s="3"/>
      <c r="CK311" s="3">
        <v>1</v>
      </c>
      <c r="CL311" s="3"/>
      <c r="CM311" s="3"/>
      <c r="CN311" s="3"/>
      <c r="CO311" s="4">
        <f t="shared" si="161"/>
        <v>1</v>
      </c>
      <c r="CP311" s="3"/>
      <c r="CQ311" s="3"/>
      <c r="CR311" s="3"/>
      <c r="CS311" s="3"/>
      <c r="CT311" s="3"/>
      <c r="CU311" s="3"/>
      <c r="CV311" s="3"/>
      <c r="CW311" s="3"/>
      <c r="CX311" s="3"/>
      <c r="CY311" s="3"/>
      <c r="CZ311" s="3"/>
      <c r="DA311" s="3"/>
      <c r="DB311" s="4">
        <f t="shared" si="162"/>
        <v>0</v>
      </c>
      <c r="DC311" s="3"/>
      <c r="DD311" s="3"/>
      <c r="DE311" s="3"/>
      <c r="DF311" s="3"/>
      <c r="DG311" s="3"/>
      <c r="DH311" s="3"/>
      <c r="DI311" s="3"/>
      <c r="DJ311" s="3"/>
      <c r="DK311" s="3"/>
      <c r="DL311" s="3"/>
      <c r="DM311" s="3"/>
      <c r="DN311" s="3"/>
      <c r="DO311" s="4">
        <f t="shared" si="163"/>
        <v>0</v>
      </c>
      <c r="DP311" s="3"/>
      <c r="DQ311" s="3"/>
      <c r="DR311" s="3"/>
      <c r="DS311" s="3"/>
      <c r="DT311" s="3"/>
      <c r="DU311" s="3"/>
      <c r="DV311" s="3"/>
      <c r="DW311" s="3"/>
      <c r="DX311" s="3"/>
      <c r="DY311" s="3"/>
      <c r="DZ311" s="3"/>
      <c r="EA311" s="3"/>
      <c r="EB311" s="4">
        <f t="shared" si="164"/>
        <v>0</v>
      </c>
      <c r="EC311" s="3"/>
      <c r="ED311" s="3"/>
      <c r="EE311" s="3"/>
      <c r="EF311" s="3"/>
      <c r="EG311" s="3"/>
      <c r="EH311" s="3"/>
      <c r="EI311" s="3"/>
      <c r="EJ311" s="3"/>
      <c r="EK311" s="3"/>
      <c r="EL311" s="3"/>
      <c r="EM311" s="3"/>
      <c r="EN311" s="3"/>
      <c r="EO311" s="4">
        <f t="shared" si="165"/>
        <v>0</v>
      </c>
      <c r="EP311" s="8">
        <f t="shared" si="166"/>
        <v>1</v>
      </c>
      <c r="EQ311" s="181">
        <f>IFERROR(VLOOKUP(I311,CEI_012018!$A$1:$U$509,9,FALSE),0)</f>
        <v>0</v>
      </c>
      <c r="ER311" s="181">
        <f>IFERROR(VLOOKUP(I311,CEI_022018!$A$1:$U$509,9,FALSE),0)</f>
        <v>0</v>
      </c>
      <c r="ES311" s="181">
        <f>IFERROR(VLOOKUP(I311,CEI_032018!$A$1:$U$509,9,FALSE),0)</f>
        <v>0</v>
      </c>
      <c r="ET311" s="181">
        <f>IFERROR(VLOOKUP(I311,CEI_042018!$A$1:$U$491,9,FALSE),0)</f>
        <v>0</v>
      </c>
      <c r="EU311" s="181">
        <f>IFERROR(VLOOKUP(I311,CEI_052018!$A$1:$U$489,9,FALSE),0)</f>
        <v>0</v>
      </c>
      <c r="EV311" s="181">
        <f>IFERROR(VLOOKUP(I311,CEI_062018!$A$1:$U$489,9,FALSE),0)</f>
        <v>0</v>
      </c>
      <c r="EW311" s="181">
        <f>IFERROR(VLOOKUP(I311,CEI_072018!$A$1:$U$489,9,FALSE),0)</f>
        <v>0</v>
      </c>
      <c r="EX311" s="181">
        <f>IFERROR(VLOOKUP(I311,CEI_082018!$A$1:$U$489,9,FALSE),0)</f>
        <v>0</v>
      </c>
      <c r="EY311" s="181">
        <f>IFERROR(VLOOKUP(I311,CEI_092018!$A$1:$U$489,9,FALSE),0)</f>
        <v>0</v>
      </c>
      <c r="EZ311" s="181"/>
      <c r="FA311" s="181"/>
      <c r="FB311" s="181"/>
      <c r="FC311" s="181">
        <f>IFERROR(VLOOKUP(I311,CEI_092018!$A$1:$U$489,12,FALSE),0)</f>
        <v>0</v>
      </c>
      <c r="FD311" s="181">
        <f t="shared" si="170"/>
        <v>0</v>
      </c>
      <c r="FE311" s="181">
        <f t="shared" si="171"/>
        <v>0</v>
      </c>
      <c r="FF311"/>
      <c r="FG311"/>
      <c r="FH311"/>
      <c r="FI311"/>
      <c r="FJ311"/>
      <c r="FK311"/>
      <c r="FL311"/>
      <c r="FM311"/>
      <c r="FN311"/>
      <c r="FO311"/>
      <c r="FP311"/>
      <c r="FQ311"/>
      <c r="FR311"/>
      <c r="FS311"/>
      <c r="FT311"/>
      <c r="FU311"/>
      <c r="FV311"/>
      <c r="FW311"/>
      <c r="FX311"/>
      <c r="FY311"/>
      <c r="FZ311"/>
      <c r="GA311"/>
      <c r="GB311"/>
      <c r="GC311"/>
    </row>
    <row r="312" spans="1:185" ht="12.75" customHeight="1" x14ac:dyDescent="0.25">
      <c r="A312" s="202"/>
      <c r="B312" s="329" t="s">
        <v>57</v>
      </c>
      <c r="C312" s="330" t="s">
        <v>45</v>
      </c>
      <c r="D312" s="329" t="s">
        <v>58</v>
      </c>
      <c r="E312" s="331" t="s">
        <v>484</v>
      </c>
      <c r="F312" s="25" t="s">
        <v>58</v>
      </c>
      <c r="G312" s="331" t="s">
        <v>484</v>
      </c>
      <c r="H312" s="329" t="s">
        <v>56</v>
      </c>
      <c r="I312" s="404" t="s">
        <v>565</v>
      </c>
      <c r="J312" s="332"/>
      <c r="K312" s="23" t="s">
        <v>685</v>
      </c>
      <c r="L312" s="94" t="s">
        <v>686</v>
      </c>
      <c r="M312" s="94" t="s">
        <v>688</v>
      </c>
      <c r="N312" s="94"/>
      <c r="O312" s="333"/>
      <c r="P312" s="333"/>
      <c r="Q312" s="333"/>
      <c r="R312" s="333"/>
      <c r="S312" s="333"/>
      <c r="T312" s="116">
        <f t="shared" si="143"/>
        <v>0</v>
      </c>
      <c r="U312" s="334"/>
      <c r="V312" s="334"/>
      <c r="W312" s="334"/>
      <c r="X312" s="334"/>
      <c r="Y312" s="334"/>
      <c r="Z312" s="334"/>
      <c r="AA312" s="334"/>
      <c r="AB312" s="334"/>
      <c r="AC312" s="334"/>
      <c r="AD312" s="334"/>
      <c r="AE312" s="334"/>
      <c r="AF312" s="334"/>
      <c r="AG312" s="140">
        <f t="shared" si="150"/>
        <v>0</v>
      </c>
      <c r="AH312" s="334">
        <v>180</v>
      </c>
      <c r="AI312" s="334"/>
      <c r="AJ312" s="334"/>
      <c r="AK312" s="334"/>
      <c r="AL312" s="334"/>
      <c r="AM312" s="334"/>
      <c r="AN312" s="334"/>
      <c r="AO312" s="334"/>
      <c r="AP312" s="334"/>
      <c r="AQ312" s="334"/>
      <c r="AR312" s="334"/>
      <c r="AS312" s="334"/>
      <c r="AT312" s="140">
        <f t="shared" si="151"/>
        <v>180</v>
      </c>
      <c r="AU312" s="334"/>
      <c r="AV312" s="334"/>
      <c r="AW312" s="334"/>
      <c r="AX312" s="334"/>
      <c r="AY312" s="334"/>
      <c r="AZ312" s="334"/>
      <c r="BA312" s="334"/>
      <c r="BB312" s="334"/>
      <c r="BC312" s="334"/>
      <c r="BD312" s="334"/>
      <c r="BE312" s="334"/>
      <c r="BF312" s="334"/>
      <c r="BG312" s="140">
        <f t="shared" si="152"/>
        <v>0</v>
      </c>
      <c r="BH312" s="334"/>
      <c r="BI312" s="334"/>
      <c r="BJ312" s="334"/>
      <c r="BK312" s="334"/>
      <c r="BL312" s="334"/>
      <c r="BM312" s="334"/>
      <c r="BN312" s="334"/>
      <c r="BO312" s="334"/>
      <c r="BP312" s="334"/>
      <c r="BQ312" s="334"/>
      <c r="BR312" s="334"/>
      <c r="BS312" s="334"/>
      <c r="BT312" s="140">
        <f t="shared" si="153"/>
        <v>0</v>
      </c>
      <c r="BU312" s="114">
        <f t="shared" si="154"/>
        <v>180</v>
      </c>
      <c r="BV312" s="432"/>
      <c r="BW312" s="432"/>
      <c r="BX312" s="432"/>
      <c r="BY312" s="432"/>
      <c r="BZ312" s="433"/>
      <c r="CA312" s="434"/>
      <c r="CB312" s="335" t="s">
        <v>689</v>
      </c>
      <c r="CC312" s="336"/>
      <c r="CD312" s="336"/>
      <c r="CE312" s="336"/>
      <c r="CF312" s="336"/>
      <c r="CG312" s="336"/>
      <c r="CH312" s="336"/>
      <c r="CI312" s="336"/>
      <c r="CJ312" s="336"/>
      <c r="CK312" s="336"/>
      <c r="CL312" s="336">
        <v>1</v>
      </c>
      <c r="CM312" s="336"/>
      <c r="CN312" s="336"/>
      <c r="CO312" s="4">
        <f t="shared" si="161"/>
        <v>1</v>
      </c>
      <c r="CP312" s="336"/>
      <c r="CQ312" s="336"/>
      <c r="CR312" s="336"/>
      <c r="CS312" s="336"/>
      <c r="CT312" s="336"/>
      <c r="CU312" s="336"/>
      <c r="CV312" s="336"/>
      <c r="CW312" s="336"/>
      <c r="CX312" s="336"/>
      <c r="CY312" s="336"/>
      <c r="CZ312" s="336"/>
      <c r="DA312" s="336"/>
      <c r="DB312" s="4">
        <f t="shared" si="162"/>
        <v>0</v>
      </c>
      <c r="DC312" s="336"/>
      <c r="DD312" s="336">
        <v>1</v>
      </c>
      <c r="DE312" s="336"/>
      <c r="DF312" s="336"/>
      <c r="DG312" s="336"/>
      <c r="DH312" s="336"/>
      <c r="DI312" s="336"/>
      <c r="DJ312" s="336"/>
      <c r="DK312" s="336"/>
      <c r="DL312" s="336"/>
      <c r="DM312" s="336"/>
      <c r="DN312" s="336"/>
      <c r="DO312" s="4">
        <f t="shared" si="163"/>
        <v>1</v>
      </c>
      <c r="DP312" s="336">
        <v>1</v>
      </c>
      <c r="DQ312" s="336"/>
      <c r="DR312" s="336"/>
      <c r="DS312" s="336"/>
      <c r="DT312" s="336"/>
      <c r="DU312" s="336"/>
      <c r="DV312" s="336"/>
      <c r="DW312" s="336"/>
      <c r="DX312" s="336"/>
      <c r="DY312" s="336"/>
      <c r="DZ312" s="336"/>
      <c r="EA312" s="336"/>
      <c r="EB312" s="4">
        <f t="shared" si="164"/>
        <v>1</v>
      </c>
      <c r="EC312" s="336"/>
      <c r="ED312" s="336"/>
      <c r="EE312" s="336"/>
      <c r="EF312" s="336"/>
      <c r="EG312" s="336"/>
      <c r="EH312" s="336"/>
      <c r="EI312" s="336"/>
      <c r="EJ312" s="336"/>
      <c r="EK312" s="336"/>
      <c r="EL312" s="336"/>
      <c r="EM312" s="336"/>
      <c r="EN312" s="336"/>
      <c r="EO312" s="4">
        <f t="shared" si="165"/>
        <v>0</v>
      </c>
      <c r="EP312" s="8">
        <f t="shared" si="166"/>
        <v>3</v>
      </c>
      <c r="EQ312" s="181">
        <f>IFERROR(VLOOKUP(I312,CEI_012018!$A$1:$U$509,9,FALSE),0)</f>
        <v>0</v>
      </c>
      <c r="ER312" s="181">
        <f>IFERROR(VLOOKUP(I312,CEI_022018!$A$1:$U$509,9,FALSE),0)</f>
        <v>0</v>
      </c>
      <c r="ES312" s="181">
        <f>IFERROR(VLOOKUP(I312,CEI_032018!$A$1:$U$509,9,FALSE),0)</f>
        <v>0</v>
      </c>
      <c r="ET312" s="181">
        <f>IFERROR(VLOOKUP(I312,CEI_042018!$A$1:$U$491,9,FALSE),0)</f>
        <v>0</v>
      </c>
      <c r="EU312" s="181">
        <f>IFERROR(VLOOKUP(I312,CEI_052018!$A$1:$U$489,9,FALSE),0)</f>
        <v>0</v>
      </c>
      <c r="EV312" s="181">
        <f>IFERROR(VLOOKUP(I312,CEI_062018!$A$1:$U$489,9,FALSE),0)</f>
        <v>0</v>
      </c>
      <c r="EW312" s="181">
        <f>IFERROR(VLOOKUP(I312,CEI_072018!$A$1:$U$489,9,FALSE),0)</f>
        <v>0</v>
      </c>
      <c r="EX312" s="181">
        <f>IFERROR(VLOOKUP(I312,CEI_082018!$A$1:$U$489,9,FALSE),0)</f>
        <v>0</v>
      </c>
      <c r="EY312" s="181">
        <f>IFERROR(VLOOKUP(I312,CEI_092018!$A$1:$U$489,9,FALSE),0)</f>
        <v>0</v>
      </c>
      <c r="EZ312" s="181"/>
      <c r="FA312" s="181"/>
      <c r="FB312" s="181"/>
      <c r="FC312" s="181">
        <f>IFERROR(VLOOKUP(I312,CEI_092018!$A$1:$U$489,12,FALSE),0)</f>
        <v>0</v>
      </c>
      <c r="FD312" s="181">
        <f t="shared" si="170"/>
        <v>0</v>
      </c>
      <c r="FE312" s="181">
        <f t="shared" si="171"/>
        <v>0</v>
      </c>
      <c r="FF312"/>
      <c r="FG312"/>
      <c r="FH312"/>
      <c r="FI312"/>
      <c r="FJ312"/>
      <c r="FK312"/>
      <c r="FL312"/>
      <c r="FM312"/>
      <c r="FN312"/>
      <c r="FO312"/>
      <c r="FP312"/>
      <c r="FQ312"/>
      <c r="FR312"/>
      <c r="FS312"/>
      <c r="FT312"/>
      <c r="FU312"/>
      <c r="FV312"/>
      <c r="FW312"/>
      <c r="FX312"/>
      <c r="FY312"/>
      <c r="FZ312"/>
      <c r="GA312"/>
      <c r="GB312"/>
      <c r="GC312"/>
    </row>
    <row r="313" spans="1:185" ht="12.75" customHeight="1" x14ac:dyDescent="0.25">
      <c r="A313" s="202"/>
      <c r="B313" s="22" t="s">
        <v>57</v>
      </c>
      <c r="C313" s="34" t="s">
        <v>45</v>
      </c>
      <c r="D313" s="22" t="s">
        <v>58</v>
      </c>
      <c r="E313" s="25" t="s">
        <v>484</v>
      </c>
      <c r="F313" s="25" t="s">
        <v>58</v>
      </c>
      <c r="G313" s="25" t="s">
        <v>484</v>
      </c>
      <c r="H313" s="22" t="s">
        <v>56</v>
      </c>
      <c r="I313" s="423" t="s">
        <v>565</v>
      </c>
      <c r="J313" s="37"/>
      <c r="K313" s="23" t="s">
        <v>694</v>
      </c>
      <c r="L313" s="23" t="s">
        <v>695</v>
      </c>
      <c r="M313" s="23" t="s">
        <v>696</v>
      </c>
      <c r="N313" s="23"/>
      <c r="O313" s="2"/>
      <c r="P313" s="2"/>
      <c r="Q313" s="2"/>
      <c r="R313" s="2"/>
      <c r="S313" s="2"/>
      <c r="T313" s="116">
        <f t="shared" si="143"/>
        <v>0</v>
      </c>
      <c r="U313" s="324"/>
      <c r="V313" s="324"/>
      <c r="W313" s="324"/>
      <c r="X313" s="324"/>
      <c r="Y313" s="324"/>
      <c r="Z313" s="324"/>
      <c r="AA313" s="324"/>
      <c r="AB313" s="324"/>
      <c r="AC313" s="324"/>
      <c r="AD313" s="324"/>
      <c r="AE313" s="324"/>
      <c r="AF313" s="324"/>
      <c r="AG313" s="140">
        <f t="shared" si="150"/>
        <v>0</v>
      </c>
      <c r="AH313" s="324"/>
      <c r="AI313" s="324"/>
      <c r="AJ313" s="324"/>
      <c r="AK313" s="324"/>
      <c r="AL313" s="324"/>
      <c r="AM313" s="324"/>
      <c r="AN313" s="324"/>
      <c r="AO313" s="324"/>
      <c r="AP313" s="324"/>
      <c r="AQ313" s="324"/>
      <c r="AR313" s="324"/>
      <c r="AS313" s="324"/>
      <c r="AT313" s="140">
        <f t="shared" si="151"/>
        <v>0</v>
      </c>
      <c r="AU313" s="324"/>
      <c r="AV313" s="324"/>
      <c r="AW313" s="324"/>
      <c r="AX313" s="324"/>
      <c r="AY313" s="324"/>
      <c r="AZ313" s="324"/>
      <c r="BA313" s="324"/>
      <c r="BB313" s="324"/>
      <c r="BC313" s="324"/>
      <c r="BD313" s="324"/>
      <c r="BE313" s="324"/>
      <c r="BF313" s="324"/>
      <c r="BG313" s="140">
        <f t="shared" si="152"/>
        <v>0</v>
      </c>
      <c r="BH313" s="324">
        <v>170</v>
      </c>
      <c r="BI313" s="324"/>
      <c r="BJ313" s="324"/>
      <c r="BK313" s="324"/>
      <c r="BL313" s="324"/>
      <c r="BM313" s="324"/>
      <c r="BN313" s="324"/>
      <c r="BO313" s="324"/>
      <c r="BP313" s="324"/>
      <c r="BQ313" s="324"/>
      <c r="BR313" s="324"/>
      <c r="BS313" s="324"/>
      <c r="BT313" s="140">
        <f t="shared" si="153"/>
        <v>170</v>
      </c>
      <c r="BU313" s="114">
        <f t="shared" si="154"/>
        <v>170</v>
      </c>
      <c r="BV313" s="432"/>
      <c r="BW313" s="432"/>
      <c r="BX313" s="432"/>
      <c r="BY313" s="432"/>
      <c r="BZ313" s="433"/>
      <c r="CA313" s="434"/>
      <c r="CB313" s="7" t="s">
        <v>73</v>
      </c>
      <c r="CC313" s="3"/>
      <c r="CD313" s="3"/>
      <c r="CE313" s="3"/>
      <c r="CF313" s="3"/>
      <c r="CG313" s="3"/>
      <c r="CH313" s="3"/>
      <c r="CI313" s="3"/>
      <c r="CJ313" s="3"/>
      <c r="CK313" s="3"/>
      <c r="CL313" s="3"/>
      <c r="CM313" s="3"/>
      <c r="CN313" s="3"/>
      <c r="CO313" s="4">
        <f t="shared" si="161"/>
        <v>0</v>
      </c>
      <c r="CP313" s="3"/>
      <c r="CQ313" s="3"/>
      <c r="CR313" s="3"/>
      <c r="CS313" s="3"/>
      <c r="CT313" s="3"/>
      <c r="CU313" s="3"/>
      <c r="CV313" s="3"/>
      <c r="CW313" s="3"/>
      <c r="CX313" s="3"/>
      <c r="CY313" s="3"/>
      <c r="CZ313" s="3"/>
      <c r="DA313" s="3"/>
      <c r="DB313" s="4">
        <f t="shared" si="162"/>
        <v>0</v>
      </c>
      <c r="DC313" s="3"/>
      <c r="DD313" s="3"/>
      <c r="DE313" s="3"/>
      <c r="DF313" s="3"/>
      <c r="DG313" s="3"/>
      <c r="DH313" s="3"/>
      <c r="DI313" s="3"/>
      <c r="DJ313" s="3"/>
      <c r="DK313" s="3"/>
      <c r="DL313" s="3"/>
      <c r="DM313" s="3"/>
      <c r="DN313" s="3"/>
      <c r="DO313" s="4">
        <f t="shared" si="163"/>
        <v>0</v>
      </c>
      <c r="DP313" s="3"/>
      <c r="DQ313" s="3"/>
      <c r="DR313" s="3"/>
      <c r="DS313" s="3"/>
      <c r="DT313" s="3"/>
      <c r="DU313" s="3"/>
      <c r="DV313" s="3"/>
      <c r="DW313" s="3"/>
      <c r="DX313" s="3"/>
      <c r="DY313" s="3"/>
      <c r="DZ313" s="3"/>
      <c r="EA313" s="3"/>
      <c r="EB313" s="4">
        <f t="shared" si="164"/>
        <v>0</v>
      </c>
      <c r="EC313" s="3">
        <v>1</v>
      </c>
      <c r="ED313" s="3"/>
      <c r="EE313" s="3"/>
      <c r="EF313" s="3"/>
      <c r="EG313" s="3"/>
      <c r="EH313" s="3"/>
      <c r="EI313" s="3"/>
      <c r="EJ313" s="3"/>
      <c r="EK313" s="3"/>
      <c r="EL313" s="3"/>
      <c r="EM313" s="3"/>
      <c r="EN313" s="3"/>
      <c r="EO313" s="4">
        <f t="shared" si="165"/>
        <v>1</v>
      </c>
      <c r="EP313" s="8">
        <f t="shared" si="166"/>
        <v>1</v>
      </c>
      <c r="EQ313" s="181">
        <f>IFERROR(VLOOKUP(I313,CEI_012018!$A$1:$U$509,9,FALSE),0)</f>
        <v>0</v>
      </c>
      <c r="ER313" s="181">
        <f>IFERROR(VLOOKUP(I313,CEI_022018!$A$1:$U$509,9,FALSE),0)</f>
        <v>0</v>
      </c>
      <c r="ES313" s="181">
        <f>IFERROR(VLOOKUP(I313,CEI_032018!$A$1:$U$509,9,FALSE),0)</f>
        <v>0</v>
      </c>
      <c r="ET313" s="181">
        <f>IFERROR(VLOOKUP(I313,CEI_042018!$A$1:$U$491,9,FALSE),0)</f>
        <v>0</v>
      </c>
      <c r="EU313" s="181">
        <f>IFERROR(VLOOKUP(I313,CEI_052018!$A$1:$U$489,9,FALSE),0)</f>
        <v>0</v>
      </c>
      <c r="EV313" s="181">
        <f>IFERROR(VLOOKUP(I313,CEI_062018!$A$1:$U$489,9,FALSE),0)</f>
        <v>0</v>
      </c>
      <c r="EW313" s="181">
        <f>IFERROR(VLOOKUP(I313,CEI_072018!$A$1:$U$489,9,FALSE),0)</f>
        <v>0</v>
      </c>
      <c r="EX313" s="181">
        <f>IFERROR(VLOOKUP(I313,CEI_082018!$A$1:$U$489,9,FALSE),0)</f>
        <v>0</v>
      </c>
      <c r="EY313" s="181">
        <f>IFERROR(VLOOKUP(I313,CEI_092018!$A$1:$U$489,9,FALSE),0)</f>
        <v>0</v>
      </c>
      <c r="EZ313" s="181"/>
      <c r="FA313" s="181"/>
      <c r="FB313" s="181"/>
      <c r="FC313" s="181">
        <f>IFERROR(VLOOKUP(I313,CEI_092018!$A$1:$U$489,12,FALSE),0)</f>
        <v>0</v>
      </c>
      <c r="FD313" s="181">
        <f t="shared" si="170"/>
        <v>0</v>
      </c>
      <c r="FE313" s="181">
        <f t="shared" si="171"/>
        <v>0</v>
      </c>
      <c r="FF313"/>
      <c r="FG313"/>
      <c r="FH313"/>
      <c r="FI313"/>
      <c r="FJ313"/>
      <c r="FK313"/>
      <c r="FL313"/>
      <c r="FM313"/>
      <c r="FN313"/>
      <c r="FO313"/>
      <c r="FP313"/>
      <c r="FQ313"/>
      <c r="FR313"/>
      <c r="FS313"/>
      <c r="FT313"/>
      <c r="FU313"/>
      <c r="FV313"/>
      <c r="FW313"/>
      <c r="FX313"/>
      <c r="FY313"/>
      <c r="FZ313"/>
      <c r="GA313"/>
      <c r="GB313"/>
      <c r="GC313"/>
    </row>
    <row r="314" spans="1:185" ht="12.75" customHeight="1" x14ac:dyDescent="0.25">
      <c r="A314" s="202"/>
      <c r="B314" s="22" t="s">
        <v>57</v>
      </c>
      <c r="C314" s="34" t="s">
        <v>45</v>
      </c>
      <c r="D314" s="22" t="s">
        <v>58</v>
      </c>
      <c r="E314" s="25" t="s">
        <v>484</v>
      </c>
      <c r="F314" s="25" t="s">
        <v>1923</v>
      </c>
      <c r="G314" s="25" t="s">
        <v>1924</v>
      </c>
      <c r="H314" s="22" t="s">
        <v>62</v>
      </c>
      <c r="I314" s="423" t="s">
        <v>2037</v>
      </c>
      <c r="J314" s="136" t="s">
        <v>2039</v>
      </c>
      <c r="K314" s="23" t="s">
        <v>1762</v>
      </c>
      <c r="L314" s="23"/>
      <c r="M314" s="23"/>
      <c r="N314" s="23"/>
      <c r="O314" s="2"/>
      <c r="P314" s="2"/>
      <c r="Q314" s="358"/>
      <c r="R314" s="2"/>
      <c r="S314" s="2">
        <v>90</v>
      </c>
      <c r="T314" s="116">
        <f t="shared" si="143"/>
        <v>90</v>
      </c>
      <c r="U314" s="324"/>
      <c r="V314" s="324"/>
      <c r="W314" s="324"/>
      <c r="X314" s="324"/>
      <c r="Y314" s="324"/>
      <c r="Z314" s="324"/>
      <c r="AA314" s="324"/>
      <c r="AB314" s="324"/>
      <c r="AC314" s="324"/>
      <c r="AD314" s="324"/>
      <c r="AE314" s="324"/>
      <c r="AF314" s="324"/>
      <c r="AG314" s="140">
        <f t="shared" si="150"/>
        <v>0</v>
      </c>
      <c r="AH314" s="324"/>
      <c r="AI314" s="324"/>
      <c r="AJ314" s="324"/>
      <c r="AK314" s="324"/>
      <c r="AL314" s="324"/>
      <c r="AM314" s="324"/>
      <c r="AN314" s="324"/>
      <c r="AO314" s="324"/>
      <c r="AP314" s="324"/>
      <c r="AQ314" s="324"/>
      <c r="AR314" s="324"/>
      <c r="AS314" s="324"/>
      <c r="AT314" s="140">
        <f t="shared" si="151"/>
        <v>0</v>
      </c>
      <c r="AU314" s="324"/>
      <c r="AV314" s="324"/>
      <c r="AW314" s="324"/>
      <c r="AX314" s="324"/>
      <c r="AY314" s="324"/>
      <c r="AZ314" s="324"/>
      <c r="BA314" s="324"/>
      <c r="BB314" s="324"/>
      <c r="BC314" s="324"/>
      <c r="BD314" s="324"/>
      <c r="BE314" s="324"/>
      <c r="BF314" s="324"/>
      <c r="BG314" s="140">
        <f t="shared" si="152"/>
        <v>0</v>
      </c>
      <c r="BH314" s="324"/>
      <c r="BI314" s="324"/>
      <c r="BJ314" s="324"/>
      <c r="BK314" s="324"/>
      <c r="BL314" s="324"/>
      <c r="BM314" s="324"/>
      <c r="BN314" s="324"/>
      <c r="BO314" s="324"/>
      <c r="BP314" s="324"/>
      <c r="BQ314" s="324"/>
      <c r="BR314" s="324"/>
      <c r="BS314" s="324"/>
      <c r="BT314" s="140">
        <f t="shared" si="153"/>
        <v>0</v>
      </c>
      <c r="BU314" s="114">
        <f t="shared" si="154"/>
        <v>90</v>
      </c>
      <c r="BV314" s="372">
        <v>1</v>
      </c>
      <c r="BW314" s="372">
        <v>1</v>
      </c>
      <c r="BX314" s="372">
        <v>-1</v>
      </c>
      <c r="BY314" s="372">
        <v>-1</v>
      </c>
      <c r="BZ314" s="436">
        <f>IFERROR((EX314/T314%),0)</f>
        <v>0</v>
      </c>
      <c r="CA314" s="428">
        <f>IFERROR((FD314/T314%),0)</f>
        <v>0</v>
      </c>
      <c r="CB314" s="7"/>
      <c r="CC314" s="3"/>
      <c r="CD314" s="3"/>
      <c r="CE314" s="3"/>
      <c r="CF314" s="3"/>
      <c r="CG314" s="3"/>
      <c r="CH314" s="3"/>
      <c r="CI314" s="3"/>
      <c r="CJ314" s="3"/>
      <c r="CK314" s="3"/>
      <c r="CL314" s="3"/>
      <c r="CM314" s="3"/>
      <c r="CN314" s="3"/>
      <c r="CO314" s="4"/>
      <c r="CP314" s="3"/>
      <c r="CQ314" s="3"/>
      <c r="CR314" s="3"/>
      <c r="CS314" s="3"/>
      <c r="CT314" s="3"/>
      <c r="CU314" s="3"/>
      <c r="CV314" s="3"/>
      <c r="CW314" s="3"/>
      <c r="CX314" s="3"/>
      <c r="CY314" s="3"/>
      <c r="CZ314" s="3"/>
      <c r="DA314" s="3"/>
      <c r="DB314" s="4"/>
      <c r="DC314" s="3"/>
      <c r="DD314" s="3"/>
      <c r="DE314" s="3"/>
      <c r="DF314" s="3"/>
      <c r="DG314" s="3"/>
      <c r="DH314" s="3"/>
      <c r="DI314" s="3"/>
      <c r="DJ314" s="3"/>
      <c r="DK314" s="3"/>
      <c r="DL314" s="3"/>
      <c r="DM314" s="3"/>
      <c r="DN314" s="3"/>
      <c r="DO314" s="4"/>
      <c r="DP314" s="3"/>
      <c r="DQ314" s="3"/>
      <c r="DR314" s="3"/>
      <c r="DS314" s="3"/>
      <c r="DT314" s="3"/>
      <c r="DU314" s="3"/>
      <c r="DV314" s="3"/>
      <c r="DW314" s="3"/>
      <c r="DX314" s="3"/>
      <c r="DY314" s="3"/>
      <c r="DZ314" s="3"/>
      <c r="EA314" s="3"/>
      <c r="EB314" s="4"/>
      <c r="EC314" s="3"/>
      <c r="ED314" s="3"/>
      <c r="EE314" s="3"/>
      <c r="EF314" s="3"/>
      <c r="EG314" s="3"/>
      <c r="EH314" s="3"/>
      <c r="EI314" s="3"/>
      <c r="EJ314" s="3"/>
      <c r="EK314" s="3"/>
      <c r="EL314" s="3"/>
      <c r="EM314" s="3"/>
      <c r="EN314" s="3"/>
      <c r="EO314" s="4"/>
      <c r="EP314" s="8"/>
      <c r="EQ314" s="181">
        <f>IFERROR(VLOOKUP(I314,CEI_012018!$A$1:$U$509,9,FALSE),0)</f>
        <v>0</v>
      </c>
      <c r="ER314" s="181">
        <f>IFERROR(VLOOKUP(I314,CEI_022018!$A$1:$U$509,9,FALSE),0)</f>
        <v>0</v>
      </c>
      <c r="ES314" s="181">
        <f>IFERROR(VLOOKUP(I314,CEI_032018!$A$1:$U$509,9,FALSE),0)</f>
        <v>0</v>
      </c>
      <c r="ET314" s="181">
        <f>IFERROR(VLOOKUP(I314,CEI_042018!$A$1:$U$491,9,FALSE),0)</f>
        <v>0</v>
      </c>
      <c r="EU314" s="181">
        <f>IFERROR(VLOOKUP(I314,CEI_052018!$A$1:$U$489,9,FALSE),0)</f>
        <v>0</v>
      </c>
      <c r="EV314" s="181">
        <f>IFERROR(VLOOKUP(I314,CEI_062018!$A$1:$U$489,9,FALSE),0)</f>
        <v>0</v>
      </c>
      <c r="EW314" s="181">
        <f>IFERROR(VLOOKUP(I314,CEI_072018!$A$1:$U$489,9,FALSE),0)</f>
        <v>0</v>
      </c>
      <c r="EX314" s="181">
        <f>IFERROR(VLOOKUP(I314,CEI_082018!$A$1:$U$489,9,FALSE),0)</f>
        <v>0</v>
      </c>
      <c r="EY314" s="181">
        <f>IFERROR(VLOOKUP(I314,CEI_092018!$A$1:$U$489,9,FALSE),0)</f>
        <v>0</v>
      </c>
      <c r="EZ314" s="181"/>
      <c r="FA314" s="181"/>
      <c r="FB314" s="181"/>
      <c r="FC314" s="181">
        <f>IFERROR(VLOOKUP(I314,CEI_092018!$A$1:$U$489,12,FALSE),0)</f>
        <v>0</v>
      </c>
      <c r="FD314" s="181">
        <f t="shared" si="170"/>
        <v>0</v>
      </c>
      <c r="FE314" s="181">
        <f t="shared" si="171"/>
        <v>90</v>
      </c>
      <c r="FF314"/>
      <c r="FG314"/>
      <c r="FH314"/>
      <c r="FI314"/>
      <c r="FJ314"/>
      <c r="FK314"/>
      <c r="FL314"/>
      <c r="FM314"/>
      <c r="FN314"/>
      <c r="FO314"/>
      <c r="FP314"/>
      <c r="FQ314"/>
      <c r="FR314"/>
      <c r="FS314"/>
      <c r="FT314"/>
      <c r="FU314"/>
      <c r="FV314"/>
      <c r="FW314"/>
      <c r="FX314"/>
      <c r="FY314"/>
      <c r="FZ314"/>
      <c r="GA314"/>
      <c r="GB314"/>
      <c r="GC314"/>
    </row>
    <row r="315" spans="1:185" ht="12.75" customHeight="1" x14ac:dyDescent="0.25">
      <c r="A315" s="202"/>
      <c r="B315" s="25" t="s">
        <v>57</v>
      </c>
      <c r="C315" s="34" t="s">
        <v>45</v>
      </c>
      <c r="D315" s="22" t="s">
        <v>586</v>
      </c>
      <c r="E315" s="25" t="s">
        <v>606</v>
      </c>
      <c r="F315" s="25" t="s">
        <v>586</v>
      </c>
      <c r="G315" s="25" t="s">
        <v>606</v>
      </c>
      <c r="H315" s="22" t="s">
        <v>56</v>
      </c>
      <c r="I315" s="423" t="s">
        <v>565</v>
      </c>
      <c r="J315" s="37"/>
      <c r="K315" s="23" t="s">
        <v>1048</v>
      </c>
      <c r="L315" s="23" t="s">
        <v>608</v>
      </c>
      <c r="M315" s="23" t="s">
        <v>609</v>
      </c>
      <c r="N315" s="382" t="s">
        <v>1768</v>
      </c>
      <c r="O315" s="2"/>
      <c r="P315" s="2"/>
      <c r="Q315" s="2"/>
      <c r="R315" s="2"/>
      <c r="S315" s="2"/>
      <c r="T315" s="116">
        <f t="shared" si="143"/>
        <v>0</v>
      </c>
      <c r="U315" s="324"/>
      <c r="V315" s="324"/>
      <c r="W315" s="324"/>
      <c r="X315" s="324"/>
      <c r="Y315" s="324"/>
      <c r="Z315" s="324"/>
      <c r="AA315" s="324"/>
      <c r="AB315" s="324"/>
      <c r="AC315" s="324"/>
      <c r="AD315" s="324">
        <v>82</v>
      </c>
      <c r="AE315" s="324"/>
      <c r="AF315" s="324"/>
      <c r="AG315" s="140">
        <f t="shared" si="150"/>
        <v>82</v>
      </c>
      <c r="AH315" s="324"/>
      <c r="AI315" s="324"/>
      <c r="AJ315" s="324"/>
      <c r="AK315" s="324"/>
      <c r="AL315" s="324"/>
      <c r="AM315" s="324"/>
      <c r="AN315" s="324"/>
      <c r="AO315" s="324"/>
      <c r="AP315" s="324"/>
      <c r="AQ315" s="324"/>
      <c r="AR315" s="324"/>
      <c r="AS315" s="324"/>
      <c r="AT315" s="140">
        <f t="shared" si="151"/>
        <v>0</v>
      </c>
      <c r="AU315" s="324"/>
      <c r="AV315" s="324"/>
      <c r="AW315" s="324"/>
      <c r="AX315" s="324"/>
      <c r="AY315" s="324"/>
      <c r="AZ315" s="324"/>
      <c r="BA315" s="324"/>
      <c r="BB315" s="324"/>
      <c r="BC315" s="324"/>
      <c r="BD315" s="324"/>
      <c r="BE315" s="324"/>
      <c r="BF315" s="324"/>
      <c r="BG315" s="140">
        <f t="shared" si="152"/>
        <v>0</v>
      </c>
      <c r="BH315" s="324"/>
      <c r="BI315" s="324"/>
      <c r="BJ315" s="324"/>
      <c r="BK315" s="324"/>
      <c r="BL315" s="324"/>
      <c r="BM315" s="324"/>
      <c r="BN315" s="324"/>
      <c r="BO315" s="324"/>
      <c r="BP315" s="324"/>
      <c r="BQ315" s="324"/>
      <c r="BR315" s="324"/>
      <c r="BS315" s="324"/>
      <c r="BT315" s="140">
        <f t="shared" si="153"/>
        <v>0</v>
      </c>
      <c r="BU315" s="114">
        <f t="shared" si="154"/>
        <v>82</v>
      </c>
      <c r="BV315" s="432"/>
      <c r="BW315" s="432"/>
      <c r="BX315" s="432"/>
      <c r="BY315" s="432"/>
      <c r="BZ315" s="433"/>
      <c r="CA315" s="434"/>
      <c r="CB315" s="7" t="s">
        <v>73</v>
      </c>
      <c r="CC315" s="3"/>
      <c r="CD315" s="3"/>
      <c r="CE315" s="3"/>
      <c r="CF315" s="3"/>
      <c r="CG315" s="3"/>
      <c r="CH315" s="3"/>
      <c r="CI315" s="3"/>
      <c r="CJ315" s="3"/>
      <c r="CK315" s="3"/>
      <c r="CL315" s="3">
        <v>1</v>
      </c>
      <c r="CM315" s="3"/>
      <c r="CN315" s="3"/>
      <c r="CO315" s="4">
        <f>SUM(CC315:CN315)</f>
        <v>1</v>
      </c>
      <c r="CP315" s="3"/>
      <c r="CQ315" s="3"/>
      <c r="CR315" s="3"/>
      <c r="CS315" s="3"/>
      <c r="CT315" s="3"/>
      <c r="CU315" s="3"/>
      <c r="CV315" s="3"/>
      <c r="CW315" s="3"/>
      <c r="CX315" s="3"/>
      <c r="CY315" s="3"/>
      <c r="CZ315" s="3"/>
      <c r="DA315" s="3"/>
      <c r="DB315" s="4">
        <f>SUM(CP315:DA315)</f>
        <v>0</v>
      </c>
      <c r="DC315" s="3"/>
      <c r="DD315" s="3"/>
      <c r="DE315" s="3"/>
      <c r="DF315" s="3"/>
      <c r="DG315" s="3"/>
      <c r="DH315" s="3"/>
      <c r="DI315" s="3"/>
      <c r="DJ315" s="3"/>
      <c r="DK315" s="3"/>
      <c r="DL315" s="3"/>
      <c r="DM315" s="3"/>
      <c r="DN315" s="3"/>
      <c r="DO315" s="4">
        <f>SUM(DC315:DN315)</f>
        <v>0</v>
      </c>
      <c r="DP315" s="3"/>
      <c r="DQ315" s="3"/>
      <c r="DR315" s="3"/>
      <c r="DS315" s="3"/>
      <c r="DT315" s="3"/>
      <c r="DU315" s="3"/>
      <c r="DV315" s="3"/>
      <c r="DW315" s="3"/>
      <c r="DX315" s="3"/>
      <c r="DY315" s="3"/>
      <c r="DZ315" s="3"/>
      <c r="EA315" s="3"/>
      <c r="EB315" s="4">
        <f>SUM(DP315:EA315)</f>
        <v>0</v>
      </c>
      <c r="EC315" s="3"/>
      <c r="ED315" s="3"/>
      <c r="EE315" s="3"/>
      <c r="EF315" s="3"/>
      <c r="EG315" s="3"/>
      <c r="EH315" s="3"/>
      <c r="EI315" s="3"/>
      <c r="EJ315" s="3"/>
      <c r="EK315" s="3"/>
      <c r="EL315" s="3"/>
      <c r="EM315" s="3"/>
      <c r="EN315" s="3"/>
      <c r="EO315" s="4">
        <f>SUM(EC315:EN315)</f>
        <v>0</v>
      </c>
      <c r="EP315" s="8">
        <f>SUM(EO315,EB315,DO315,DB315,CO315)</f>
        <v>1</v>
      </c>
      <c r="EQ315" s="181">
        <f>IFERROR(VLOOKUP(I315,CEI_012018!$A$1:$U$509,9,FALSE),0)</f>
        <v>0</v>
      </c>
      <c r="ER315" s="181">
        <f>IFERROR(VLOOKUP(I315,CEI_022018!$A$1:$U$509,9,FALSE),0)</f>
        <v>0</v>
      </c>
      <c r="ES315" s="181">
        <f>IFERROR(VLOOKUP(I315,CEI_032018!$A$1:$U$509,9,FALSE),0)</f>
        <v>0</v>
      </c>
      <c r="ET315" s="181">
        <f>IFERROR(VLOOKUP(I315,CEI_042018!$A$1:$U$491,9,FALSE),0)</f>
        <v>0</v>
      </c>
      <c r="EU315" s="181">
        <f>IFERROR(VLOOKUP(I315,CEI_052018!$A$1:$U$489,9,FALSE),0)</f>
        <v>0</v>
      </c>
      <c r="EV315" s="181">
        <f>IFERROR(VLOOKUP(I315,CEI_062018!$A$1:$U$489,9,FALSE),0)</f>
        <v>0</v>
      </c>
      <c r="EW315" s="181">
        <f>IFERROR(VLOOKUP(I315,CEI_072018!$A$1:$U$489,9,FALSE),0)</f>
        <v>0</v>
      </c>
      <c r="EX315" s="181">
        <f>IFERROR(VLOOKUP(I315,CEI_082018!$A$1:$U$489,9,FALSE),0)</f>
        <v>0</v>
      </c>
      <c r="EY315" s="181">
        <f>IFERROR(VLOOKUP(I315,CEI_092018!$A$1:$U$489,9,FALSE),0)</f>
        <v>0</v>
      </c>
      <c r="EZ315" s="181"/>
      <c r="FA315" s="181"/>
      <c r="FB315" s="181"/>
      <c r="FC315" s="181">
        <f>IFERROR(VLOOKUP(I315,CEI_092018!$A$1:$U$489,12,FALSE),0)</f>
        <v>0</v>
      </c>
      <c r="FD315" s="181">
        <f t="shared" si="170"/>
        <v>0</v>
      </c>
      <c r="FE315" s="181">
        <f t="shared" si="171"/>
        <v>0</v>
      </c>
      <c r="FF315"/>
      <c r="FG315"/>
      <c r="FH315"/>
      <c r="FI315"/>
      <c r="FJ315"/>
      <c r="FK315"/>
      <c r="FL315"/>
      <c r="FM315"/>
      <c r="FN315"/>
      <c r="FO315"/>
      <c r="FP315"/>
      <c r="FQ315"/>
      <c r="FR315"/>
      <c r="FS315"/>
      <c r="FT315"/>
      <c r="FU315"/>
      <c r="FV315"/>
      <c r="FW315"/>
      <c r="FX315"/>
      <c r="FY315"/>
      <c r="FZ315"/>
      <c r="GA315"/>
      <c r="GB315"/>
      <c r="GC315"/>
    </row>
    <row r="316" spans="1:185" ht="12.75" customHeight="1" x14ac:dyDescent="0.25">
      <c r="A316" s="202"/>
      <c r="B316" s="22" t="s">
        <v>406</v>
      </c>
      <c r="C316" s="34" t="s">
        <v>46</v>
      </c>
      <c r="D316" s="22" t="s">
        <v>1058</v>
      </c>
      <c r="E316" s="25" t="s">
        <v>1062</v>
      </c>
      <c r="F316" s="25" t="s">
        <v>1058</v>
      </c>
      <c r="G316" s="25" t="s">
        <v>1062</v>
      </c>
      <c r="H316" s="22" t="s">
        <v>56</v>
      </c>
      <c r="I316" s="483" t="s">
        <v>1482</v>
      </c>
      <c r="J316" s="255" t="s">
        <v>1483</v>
      </c>
      <c r="K316" s="253" t="s">
        <v>1720</v>
      </c>
      <c r="L316" s="23" t="s">
        <v>399</v>
      </c>
      <c r="M316" s="23" t="s">
        <v>59</v>
      </c>
      <c r="N316" s="23" t="s">
        <v>59</v>
      </c>
      <c r="O316" s="2">
        <v>0</v>
      </c>
      <c r="P316" s="2">
        <v>0</v>
      </c>
      <c r="Q316" s="2">
        <v>0</v>
      </c>
      <c r="R316" s="2">
        <v>0</v>
      </c>
      <c r="S316" s="2">
        <v>75</v>
      </c>
      <c r="T316" s="116">
        <f t="shared" si="143"/>
        <v>75</v>
      </c>
      <c r="U316" s="324">
        <v>0</v>
      </c>
      <c r="V316" s="324">
        <v>0</v>
      </c>
      <c r="W316" s="324">
        <v>0</v>
      </c>
      <c r="X316" s="324">
        <v>0</v>
      </c>
      <c r="Y316" s="324">
        <v>0</v>
      </c>
      <c r="Z316" s="324">
        <v>0</v>
      </c>
      <c r="AA316" s="324">
        <v>0</v>
      </c>
      <c r="AB316" s="324">
        <v>0</v>
      </c>
      <c r="AC316" s="324">
        <v>75</v>
      </c>
      <c r="AD316" s="324">
        <v>0</v>
      </c>
      <c r="AE316" s="324">
        <v>0</v>
      </c>
      <c r="AF316" s="324">
        <v>0</v>
      </c>
      <c r="AG316" s="140">
        <f t="shared" si="150"/>
        <v>75</v>
      </c>
      <c r="AH316" s="324">
        <v>0</v>
      </c>
      <c r="AI316" s="324">
        <v>0</v>
      </c>
      <c r="AJ316" s="324">
        <v>0</v>
      </c>
      <c r="AK316" s="324">
        <v>0</v>
      </c>
      <c r="AL316" s="324">
        <v>0</v>
      </c>
      <c r="AM316" s="324">
        <v>0</v>
      </c>
      <c r="AN316" s="324">
        <v>0</v>
      </c>
      <c r="AO316" s="324">
        <v>0</v>
      </c>
      <c r="AP316" s="324">
        <v>150</v>
      </c>
      <c r="AQ316" s="324">
        <v>0</v>
      </c>
      <c r="AR316" s="324">
        <v>0</v>
      </c>
      <c r="AS316" s="324">
        <v>0</v>
      </c>
      <c r="AT316" s="140">
        <f t="shared" si="151"/>
        <v>150</v>
      </c>
      <c r="AU316" s="324">
        <v>0</v>
      </c>
      <c r="AV316" s="324">
        <v>0</v>
      </c>
      <c r="AW316" s="324">
        <v>0</v>
      </c>
      <c r="AX316" s="324">
        <v>0</v>
      </c>
      <c r="AY316" s="324">
        <v>0</v>
      </c>
      <c r="AZ316" s="324">
        <v>0</v>
      </c>
      <c r="BA316" s="324">
        <v>0</v>
      </c>
      <c r="BB316" s="324">
        <v>0</v>
      </c>
      <c r="BC316" s="324">
        <v>150</v>
      </c>
      <c r="BD316" s="324">
        <v>0</v>
      </c>
      <c r="BE316" s="324">
        <v>0</v>
      </c>
      <c r="BF316" s="324">
        <v>0</v>
      </c>
      <c r="BG316" s="140">
        <f t="shared" si="152"/>
        <v>150</v>
      </c>
      <c r="BH316" s="324">
        <v>0</v>
      </c>
      <c r="BI316" s="324">
        <v>0</v>
      </c>
      <c r="BJ316" s="324">
        <v>0</v>
      </c>
      <c r="BK316" s="324">
        <v>0</v>
      </c>
      <c r="BL316" s="324">
        <v>0</v>
      </c>
      <c r="BM316" s="324">
        <v>0</v>
      </c>
      <c r="BN316" s="324">
        <v>0</v>
      </c>
      <c r="BO316" s="324">
        <v>0</v>
      </c>
      <c r="BP316" s="324">
        <v>0</v>
      </c>
      <c r="BQ316" s="324">
        <v>0</v>
      </c>
      <c r="BR316" s="324">
        <v>250</v>
      </c>
      <c r="BS316" s="324">
        <v>0</v>
      </c>
      <c r="BT316" s="140">
        <f t="shared" si="153"/>
        <v>250</v>
      </c>
      <c r="BU316" s="114">
        <f t="shared" si="154"/>
        <v>700</v>
      </c>
      <c r="BV316" s="372">
        <v>1</v>
      </c>
      <c r="BW316" s="372">
        <v>1</v>
      </c>
      <c r="BX316" s="372">
        <v>1</v>
      </c>
      <c r="BY316" s="372">
        <v>-1</v>
      </c>
      <c r="BZ316" s="436">
        <f t="shared" ref="BZ316:BZ318" si="172">IFERROR((EX316/T316%),0)</f>
        <v>0</v>
      </c>
      <c r="CA316" s="428">
        <f>IFERROR((FD316/T316%),0)</f>
        <v>62.997334798177086</v>
      </c>
      <c r="CB316" s="7" t="s">
        <v>1681</v>
      </c>
      <c r="CC316" s="3">
        <v>0</v>
      </c>
      <c r="CD316" s="3">
        <v>0</v>
      </c>
      <c r="CE316" s="3">
        <v>0</v>
      </c>
      <c r="CF316" s="3">
        <v>0</v>
      </c>
      <c r="CG316" s="3">
        <v>0</v>
      </c>
      <c r="CH316" s="3">
        <v>0</v>
      </c>
      <c r="CI316" s="3">
        <v>0</v>
      </c>
      <c r="CJ316" s="3">
        <v>0</v>
      </c>
      <c r="CK316" s="3">
        <v>0</v>
      </c>
      <c r="CL316" s="3">
        <v>0</v>
      </c>
      <c r="CM316" s="3">
        <v>0</v>
      </c>
      <c r="CN316" s="3">
        <v>11.538461538461538</v>
      </c>
      <c r="CO316" s="4">
        <f>SUM(CC316:CN316)</f>
        <v>11.538461538461538</v>
      </c>
      <c r="CP316" s="3">
        <v>0</v>
      </c>
      <c r="CQ316" s="3">
        <v>0</v>
      </c>
      <c r="CR316" s="3">
        <v>0</v>
      </c>
      <c r="CS316" s="3">
        <v>0</v>
      </c>
      <c r="CT316" s="3">
        <v>0</v>
      </c>
      <c r="CU316" s="3">
        <v>0</v>
      </c>
      <c r="CV316" s="3">
        <v>0</v>
      </c>
      <c r="CW316" s="3">
        <v>0</v>
      </c>
      <c r="CX316" s="3">
        <v>11.538461538461538</v>
      </c>
      <c r="CY316" s="3">
        <v>0</v>
      </c>
      <c r="CZ316" s="3">
        <v>0</v>
      </c>
      <c r="DA316" s="3">
        <v>0</v>
      </c>
      <c r="DB316" s="4">
        <f>SUM(CP316:DA316)</f>
        <v>11.538461538461538</v>
      </c>
      <c r="DC316" s="3">
        <v>0</v>
      </c>
      <c r="DD316" s="3">
        <v>0</v>
      </c>
      <c r="DE316" s="3">
        <v>0</v>
      </c>
      <c r="DF316" s="3">
        <v>0</v>
      </c>
      <c r="DG316" s="3">
        <v>0</v>
      </c>
      <c r="DH316" s="3">
        <v>0</v>
      </c>
      <c r="DI316" s="3">
        <v>0</v>
      </c>
      <c r="DJ316" s="3">
        <v>0</v>
      </c>
      <c r="DK316" s="3">
        <v>23.076923076923077</v>
      </c>
      <c r="DL316" s="3">
        <v>0</v>
      </c>
      <c r="DM316" s="3">
        <v>0</v>
      </c>
      <c r="DN316" s="3">
        <v>0</v>
      </c>
      <c r="DO316" s="4">
        <f>SUM(DC316:DN316)</f>
        <v>23.076923076923077</v>
      </c>
      <c r="DP316" s="3">
        <v>0</v>
      </c>
      <c r="DQ316" s="3">
        <v>0</v>
      </c>
      <c r="DR316" s="3">
        <v>0</v>
      </c>
      <c r="DS316" s="3">
        <v>0</v>
      </c>
      <c r="DT316" s="3">
        <v>0</v>
      </c>
      <c r="DU316" s="3">
        <v>0</v>
      </c>
      <c r="DV316" s="3">
        <v>0</v>
      </c>
      <c r="DW316" s="3">
        <v>0</v>
      </c>
      <c r="DX316" s="3">
        <v>23.076923076923077</v>
      </c>
      <c r="DY316" s="3">
        <v>0</v>
      </c>
      <c r="DZ316" s="3">
        <v>0</v>
      </c>
      <c r="EA316" s="3">
        <v>0</v>
      </c>
      <c r="EB316" s="4">
        <f>SUM(DP316:EA316)</f>
        <v>23.076923076923077</v>
      </c>
      <c r="EC316" s="3">
        <v>0</v>
      </c>
      <c r="ED316" s="3">
        <v>0</v>
      </c>
      <c r="EE316" s="3">
        <v>0</v>
      </c>
      <c r="EF316" s="3">
        <v>0</v>
      </c>
      <c r="EG316" s="3">
        <v>0</v>
      </c>
      <c r="EH316" s="3">
        <v>0</v>
      </c>
      <c r="EI316" s="3">
        <v>0</v>
      </c>
      <c r="EJ316" s="3">
        <v>0</v>
      </c>
      <c r="EK316" s="3">
        <v>0</v>
      </c>
      <c r="EL316" s="3">
        <v>0</v>
      </c>
      <c r="EM316" s="3">
        <v>38.46153846153846</v>
      </c>
      <c r="EN316" s="3">
        <v>0</v>
      </c>
      <c r="EO316" s="4">
        <f>SUM(EC316:EN316)</f>
        <v>38.46153846153846</v>
      </c>
      <c r="EP316" s="8">
        <f>SUM(EO316,EB316,DO316,DB316,CO316)</f>
        <v>107.69230769230768</v>
      </c>
      <c r="EQ316" s="181">
        <f>IFERROR(VLOOKUP(I316,CEI_012018!$A$1:$U$509,9,FALSE),0)</f>
        <v>0</v>
      </c>
      <c r="ER316" s="181">
        <f>IFERROR(VLOOKUP(I316,CEI_022018!$A$1:$U$509,9,FALSE),0)</f>
        <v>0</v>
      </c>
      <c r="ES316" s="181">
        <f>IFERROR(VLOOKUP(I316,CEI_032018!$A$1:$U$509,9,FALSE),0)</f>
        <v>0</v>
      </c>
      <c r="ET316" s="181">
        <f>IFERROR(VLOOKUP(I316,CEI_042018!$A$1:$U$491,9,FALSE),0)</f>
        <v>0</v>
      </c>
      <c r="EU316" s="181">
        <f>IFERROR(VLOOKUP(I316,CEI_052018!$A$1:$U$489,9,FALSE),0)</f>
        <v>0</v>
      </c>
      <c r="EV316" s="181">
        <f>IFERROR(VLOOKUP(I316,CEI_062018!$A$1:$U$489,9,FALSE),0)</f>
        <v>0</v>
      </c>
      <c r="EW316" s="181">
        <f>IFERROR(VLOOKUP(I316,CEI_072018!$A$1:$U$489,9,FALSE),0)</f>
        <v>0</v>
      </c>
      <c r="EX316" s="181">
        <f>IFERROR(VLOOKUP(I316,CEI_082018!$A$1:$U$489,9,FALSE),0)</f>
        <v>0</v>
      </c>
      <c r="EY316" s="181">
        <f>IFERROR(VLOOKUP(I316,CEI_092018!$A$1:$U$489,9,FALSE),0)</f>
        <v>0</v>
      </c>
      <c r="EZ316" s="181"/>
      <c r="FA316" s="181"/>
      <c r="FB316" s="181"/>
      <c r="FC316" s="181">
        <f>IFERROR(VLOOKUP(I316,CEI_092018!$A$1:$U$489,12,FALSE),0)</f>
        <v>47.248001098632812</v>
      </c>
      <c r="FD316" s="181">
        <f t="shared" si="170"/>
        <v>47.248001098632812</v>
      </c>
      <c r="FE316" s="181">
        <f t="shared" si="171"/>
        <v>27.751998901367188</v>
      </c>
      <c r="FF316"/>
      <c r="FG316"/>
      <c r="FH316"/>
      <c r="FI316"/>
      <c r="FJ316"/>
      <c r="FK316"/>
      <c r="FL316"/>
      <c r="FM316"/>
      <c r="FN316"/>
      <c r="FO316"/>
      <c r="FP316"/>
      <c r="FQ316"/>
      <c r="FR316"/>
      <c r="FS316"/>
      <c r="FT316"/>
      <c r="FU316"/>
      <c r="FV316"/>
      <c r="FW316"/>
      <c r="FX316"/>
      <c r="FY316"/>
      <c r="FZ316"/>
      <c r="GA316"/>
      <c r="GB316"/>
      <c r="GC316"/>
    </row>
    <row r="317" spans="1:185" ht="12.75" customHeight="1" x14ac:dyDescent="0.25">
      <c r="A317" s="202"/>
      <c r="B317" s="22" t="s">
        <v>406</v>
      </c>
      <c r="C317" s="34" t="s">
        <v>47</v>
      </c>
      <c r="D317" s="22" t="s">
        <v>1058</v>
      </c>
      <c r="E317" s="25" t="s">
        <v>1134</v>
      </c>
      <c r="F317" s="25" t="s">
        <v>1058</v>
      </c>
      <c r="G317" s="25" t="s">
        <v>1134</v>
      </c>
      <c r="H317" s="22" t="s">
        <v>56</v>
      </c>
      <c r="I317" s="423" t="s">
        <v>1802</v>
      </c>
      <c r="J317" s="37" t="s">
        <v>1803</v>
      </c>
      <c r="K317" s="23" t="s">
        <v>1713</v>
      </c>
      <c r="L317" s="23" t="s">
        <v>373</v>
      </c>
      <c r="M317" s="23" t="s">
        <v>59</v>
      </c>
      <c r="N317" s="23" t="s">
        <v>1870</v>
      </c>
      <c r="O317" s="2"/>
      <c r="P317" s="2">
        <v>0</v>
      </c>
      <c r="Q317" s="2">
        <v>0</v>
      </c>
      <c r="R317" s="2">
        <v>0</v>
      </c>
      <c r="S317" s="2">
        <v>15</v>
      </c>
      <c r="T317" s="116">
        <f t="shared" si="143"/>
        <v>15</v>
      </c>
      <c r="U317" s="324">
        <v>0</v>
      </c>
      <c r="V317" s="324">
        <v>0</v>
      </c>
      <c r="W317" s="324">
        <v>0</v>
      </c>
      <c r="X317" s="324">
        <v>0</v>
      </c>
      <c r="Y317" s="324">
        <v>0</v>
      </c>
      <c r="Z317" s="324">
        <v>0</v>
      </c>
      <c r="AA317" s="324">
        <v>0</v>
      </c>
      <c r="AB317" s="324">
        <v>15</v>
      </c>
      <c r="AC317" s="324">
        <v>0</v>
      </c>
      <c r="AD317" s="324">
        <v>0</v>
      </c>
      <c r="AE317" s="324">
        <v>0</v>
      </c>
      <c r="AF317" s="324">
        <v>0</v>
      </c>
      <c r="AG317" s="140">
        <f t="shared" si="150"/>
        <v>15</v>
      </c>
      <c r="AH317" s="324">
        <v>0</v>
      </c>
      <c r="AI317" s="324">
        <v>0</v>
      </c>
      <c r="AJ317" s="324">
        <v>0</v>
      </c>
      <c r="AK317" s="324">
        <v>0</v>
      </c>
      <c r="AL317" s="324">
        <v>0</v>
      </c>
      <c r="AM317" s="324">
        <v>0</v>
      </c>
      <c r="AN317" s="324">
        <v>0</v>
      </c>
      <c r="AO317" s="324">
        <v>15</v>
      </c>
      <c r="AP317" s="324">
        <v>0</v>
      </c>
      <c r="AQ317" s="324">
        <v>0</v>
      </c>
      <c r="AR317" s="324">
        <v>0</v>
      </c>
      <c r="AS317" s="324">
        <v>0</v>
      </c>
      <c r="AT317" s="140">
        <f t="shared" si="151"/>
        <v>15</v>
      </c>
      <c r="AU317" s="324">
        <v>0</v>
      </c>
      <c r="AV317" s="324">
        <v>0</v>
      </c>
      <c r="AW317" s="324">
        <v>0</v>
      </c>
      <c r="AX317" s="324">
        <v>0</v>
      </c>
      <c r="AY317" s="324">
        <v>0</v>
      </c>
      <c r="AZ317" s="324">
        <v>0</v>
      </c>
      <c r="BA317" s="324">
        <v>0</v>
      </c>
      <c r="BB317" s="324">
        <v>812</v>
      </c>
      <c r="BC317" s="324">
        <v>0</v>
      </c>
      <c r="BD317" s="324">
        <v>0</v>
      </c>
      <c r="BE317" s="324">
        <v>0</v>
      </c>
      <c r="BF317" s="324">
        <v>0</v>
      </c>
      <c r="BG317" s="140">
        <f t="shared" si="152"/>
        <v>812</v>
      </c>
      <c r="BH317" s="324">
        <v>0</v>
      </c>
      <c r="BI317" s="324">
        <v>0</v>
      </c>
      <c r="BJ317" s="324">
        <v>0</v>
      </c>
      <c r="BK317" s="324">
        <v>0</v>
      </c>
      <c r="BL317" s="324">
        <v>0</v>
      </c>
      <c r="BM317" s="324">
        <v>0</v>
      </c>
      <c r="BN317" s="324">
        <v>0</v>
      </c>
      <c r="BO317" s="324">
        <v>812</v>
      </c>
      <c r="BP317" s="324">
        <v>0</v>
      </c>
      <c r="BQ317" s="324">
        <v>0</v>
      </c>
      <c r="BR317" s="324">
        <v>0</v>
      </c>
      <c r="BS317" s="324">
        <v>0</v>
      </c>
      <c r="BT317" s="140">
        <f t="shared" si="153"/>
        <v>812</v>
      </c>
      <c r="BU317" s="114">
        <f t="shared" si="154"/>
        <v>1669</v>
      </c>
      <c r="BV317" s="372">
        <v>1</v>
      </c>
      <c r="BW317" s="372">
        <v>1</v>
      </c>
      <c r="BX317" s="372">
        <v>1</v>
      </c>
      <c r="BY317" s="372">
        <v>-1</v>
      </c>
      <c r="BZ317" s="436">
        <f t="shared" si="172"/>
        <v>0</v>
      </c>
      <c r="CA317" s="428">
        <f>IFERROR((FD317/T317%),0)</f>
        <v>98.153998057047531</v>
      </c>
      <c r="CB317" s="7" t="s">
        <v>1701</v>
      </c>
      <c r="CC317" s="3">
        <v>0</v>
      </c>
      <c r="CD317" s="3">
        <v>0</v>
      </c>
      <c r="CE317" s="3">
        <v>0</v>
      </c>
      <c r="CF317" s="3">
        <v>0</v>
      </c>
      <c r="CG317" s="3">
        <v>0</v>
      </c>
      <c r="CH317" s="3">
        <v>0</v>
      </c>
      <c r="CI317" s="3">
        <v>0</v>
      </c>
      <c r="CJ317" s="3">
        <v>1</v>
      </c>
      <c r="CK317" s="3">
        <v>0</v>
      </c>
      <c r="CL317" s="3">
        <v>0</v>
      </c>
      <c r="CM317" s="3">
        <v>0</v>
      </c>
      <c r="CN317" s="3">
        <v>0</v>
      </c>
      <c r="CO317" s="4">
        <f>SUM(CC317:CN317)</f>
        <v>1</v>
      </c>
      <c r="CP317" s="3">
        <v>0</v>
      </c>
      <c r="CQ317" s="3">
        <v>0</v>
      </c>
      <c r="CR317" s="3">
        <v>0</v>
      </c>
      <c r="CS317" s="3">
        <v>0</v>
      </c>
      <c r="CT317" s="3">
        <v>0</v>
      </c>
      <c r="CU317" s="3">
        <v>0</v>
      </c>
      <c r="CV317" s="3">
        <v>0</v>
      </c>
      <c r="CW317" s="3">
        <v>1</v>
      </c>
      <c r="CX317" s="3">
        <v>0</v>
      </c>
      <c r="CY317" s="3">
        <v>0</v>
      </c>
      <c r="CZ317" s="3">
        <v>0</v>
      </c>
      <c r="DA317" s="3">
        <v>0</v>
      </c>
      <c r="DB317" s="4">
        <f>SUM(CP317:DA317)</f>
        <v>1</v>
      </c>
      <c r="DC317" s="3">
        <v>0</v>
      </c>
      <c r="DD317" s="3">
        <v>0</v>
      </c>
      <c r="DE317" s="3">
        <v>0</v>
      </c>
      <c r="DF317" s="3">
        <v>0</v>
      </c>
      <c r="DG317" s="3">
        <v>0</v>
      </c>
      <c r="DH317" s="3">
        <v>0</v>
      </c>
      <c r="DI317" s="3">
        <v>0</v>
      </c>
      <c r="DJ317" s="3">
        <v>1</v>
      </c>
      <c r="DK317" s="3">
        <v>0</v>
      </c>
      <c r="DL317" s="3">
        <v>0</v>
      </c>
      <c r="DM317" s="3">
        <v>0</v>
      </c>
      <c r="DN317" s="3">
        <v>0</v>
      </c>
      <c r="DO317" s="4">
        <f>SUM(DC317:DN317)</f>
        <v>1</v>
      </c>
      <c r="DP317" s="3">
        <v>0</v>
      </c>
      <c r="DQ317" s="3">
        <v>0</v>
      </c>
      <c r="DR317" s="3">
        <v>0</v>
      </c>
      <c r="DS317" s="3">
        <v>0</v>
      </c>
      <c r="DT317" s="3">
        <v>0</v>
      </c>
      <c r="DU317" s="3">
        <v>0</v>
      </c>
      <c r="DV317" s="3">
        <v>0</v>
      </c>
      <c r="DW317" s="3">
        <v>1</v>
      </c>
      <c r="DX317" s="3">
        <v>0</v>
      </c>
      <c r="DY317" s="3">
        <v>0</v>
      </c>
      <c r="DZ317" s="3">
        <v>0</v>
      </c>
      <c r="EA317" s="3">
        <v>0</v>
      </c>
      <c r="EB317" s="4">
        <f>SUM(DP317:EA317)</f>
        <v>1</v>
      </c>
      <c r="EC317" s="3">
        <v>0</v>
      </c>
      <c r="ED317" s="3">
        <v>0</v>
      </c>
      <c r="EE317" s="3">
        <v>0</v>
      </c>
      <c r="EF317" s="3">
        <v>0</v>
      </c>
      <c r="EG317" s="3">
        <v>0</v>
      </c>
      <c r="EH317" s="3">
        <v>0</v>
      </c>
      <c r="EI317" s="3">
        <v>0</v>
      </c>
      <c r="EJ317" s="3">
        <v>1</v>
      </c>
      <c r="EK317" s="3">
        <v>0</v>
      </c>
      <c r="EL317" s="3">
        <v>0</v>
      </c>
      <c r="EM317" s="3">
        <v>0</v>
      </c>
      <c r="EN317" s="3">
        <v>0</v>
      </c>
      <c r="EO317" s="4">
        <f>SUM(EC317:EN317)</f>
        <v>1</v>
      </c>
      <c r="EP317" s="8">
        <f>SUM(EO317,EB317,DO317,DB317,CO317)</f>
        <v>5</v>
      </c>
      <c r="EQ317" s="181">
        <f>IFERROR(VLOOKUP(I317,CEI_012018!$A$1:$U$509,9,FALSE),0)</f>
        <v>0</v>
      </c>
      <c r="ER317" s="181">
        <f>IFERROR(VLOOKUP(I317,CEI_022018!$A$1:$U$509,9,FALSE),0)</f>
        <v>0</v>
      </c>
      <c r="ES317" s="181">
        <f>IFERROR(VLOOKUP(I317,CEI_032018!$A$1:$U$509,9,FALSE),0)</f>
        <v>0</v>
      </c>
      <c r="ET317" s="181">
        <f>IFERROR(VLOOKUP(I317,CEI_042018!$A$1:$U$491,9,FALSE),0)</f>
        <v>0</v>
      </c>
      <c r="EU317" s="181">
        <f>IFERROR(VLOOKUP(I317,CEI_052018!$A$1:$U$489,9,FALSE),0)</f>
        <v>0</v>
      </c>
      <c r="EV317" s="181">
        <f>IFERROR(VLOOKUP(I317,CEI_062018!$A$1:$U$489,9,FALSE),0)</f>
        <v>0</v>
      </c>
      <c r="EW317" s="181">
        <f>IFERROR(VLOOKUP(I317,CEI_072018!$A$1:$U$489,9,FALSE),0)</f>
        <v>0</v>
      </c>
      <c r="EX317" s="181">
        <f>IFERROR(VLOOKUP(I317,CEI_082018!$A$1:$U$489,9,FALSE),0)</f>
        <v>0</v>
      </c>
      <c r="EY317" s="181">
        <f>IFERROR(VLOOKUP(I317,CEI_092018!$A$1:$U$489,9,FALSE),0)</f>
        <v>0</v>
      </c>
      <c r="EZ317" s="181"/>
      <c r="FA317" s="181"/>
      <c r="FB317" s="181"/>
      <c r="FC317" s="181">
        <f>IFERROR(VLOOKUP(I317,CEI_092018!$A$1:$U$489,12,FALSE),0)</f>
        <v>14.723099708557129</v>
      </c>
      <c r="FD317" s="181">
        <f t="shared" si="170"/>
        <v>14.723099708557129</v>
      </c>
      <c r="FE317" s="181">
        <f t="shared" si="171"/>
        <v>0.27690029144287109</v>
      </c>
      <c r="FF317"/>
      <c r="FG317"/>
      <c r="FH317"/>
      <c r="FI317"/>
      <c r="FJ317"/>
      <c r="FK317"/>
      <c r="FL317"/>
      <c r="FM317"/>
      <c r="FN317"/>
      <c r="FO317"/>
      <c r="FP317"/>
      <c r="FQ317"/>
      <c r="FR317"/>
      <c r="FS317"/>
      <c r="FT317"/>
      <c r="FU317"/>
      <c r="FV317"/>
      <c r="FW317"/>
      <c r="FX317"/>
      <c r="FY317"/>
      <c r="FZ317"/>
      <c r="GA317"/>
      <c r="GB317"/>
      <c r="GC317"/>
    </row>
    <row r="318" spans="1:185" ht="12.75" customHeight="1" x14ac:dyDescent="0.25">
      <c r="A318" s="437"/>
      <c r="B318" s="22" t="s">
        <v>406</v>
      </c>
      <c r="C318" s="34" t="s">
        <v>47</v>
      </c>
      <c r="D318" s="22" t="s">
        <v>1059</v>
      </c>
      <c r="E318" s="25" t="s">
        <v>1063</v>
      </c>
      <c r="F318" s="25" t="s">
        <v>1059</v>
      </c>
      <c r="G318" s="25" t="s">
        <v>1063</v>
      </c>
      <c r="H318" s="22" t="s">
        <v>56</v>
      </c>
      <c r="I318" s="423" t="s">
        <v>801</v>
      </c>
      <c r="J318" s="37" t="s">
        <v>1406</v>
      </c>
      <c r="K318" s="23" t="s">
        <v>802</v>
      </c>
      <c r="L318" s="23" t="s">
        <v>803</v>
      </c>
      <c r="M318" s="23" t="s">
        <v>804</v>
      </c>
      <c r="N318" s="23" t="s">
        <v>1871</v>
      </c>
      <c r="O318" s="2">
        <v>7.6050000190734863</v>
      </c>
      <c r="P318" s="2">
        <v>0</v>
      </c>
      <c r="Q318" s="2">
        <v>0</v>
      </c>
      <c r="R318" s="2">
        <v>0</v>
      </c>
      <c r="S318" s="2">
        <v>212.39499998092671</v>
      </c>
      <c r="T318" s="116">
        <f t="shared" si="143"/>
        <v>220.0000000000002</v>
      </c>
      <c r="U318" s="324">
        <v>0</v>
      </c>
      <c r="V318" s="324">
        <v>0</v>
      </c>
      <c r="W318" s="324">
        <v>0</v>
      </c>
      <c r="X318" s="324">
        <v>0</v>
      </c>
      <c r="Y318" s="324">
        <v>0</v>
      </c>
      <c r="Z318" s="324">
        <v>0</v>
      </c>
      <c r="AA318" s="324">
        <v>0</v>
      </c>
      <c r="AB318" s="324">
        <v>0</v>
      </c>
      <c r="AC318" s="324">
        <v>0</v>
      </c>
      <c r="AD318" s="324">
        <v>0</v>
      </c>
      <c r="AE318" s="324">
        <v>0</v>
      </c>
      <c r="AF318" s="324">
        <v>0</v>
      </c>
      <c r="AG318" s="140">
        <f t="shared" si="150"/>
        <v>0</v>
      </c>
      <c r="AH318" s="324">
        <v>0</v>
      </c>
      <c r="AI318" s="324">
        <v>0</v>
      </c>
      <c r="AJ318" s="324">
        <v>0</v>
      </c>
      <c r="AK318" s="324">
        <v>0</v>
      </c>
      <c r="AL318" s="324">
        <v>0</v>
      </c>
      <c r="AM318" s="324">
        <v>0</v>
      </c>
      <c r="AN318" s="324">
        <v>0</v>
      </c>
      <c r="AO318" s="324">
        <v>0</v>
      </c>
      <c r="AP318" s="324">
        <v>0</v>
      </c>
      <c r="AQ318" s="324">
        <v>0</v>
      </c>
      <c r="AR318" s="324">
        <v>0</v>
      </c>
      <c r="AS318" s="324">
        <v>0</v>
      </c>
      <c r="AT318" s="140">
        <f t="shared" ref="AT318" si="173">SUM(AH318:AS318)</f>
        <v>0</v>
      </c>
      <c r="AU318" s="324">
        <v>0</v>
      </c>
      <c r="AV318" s="324">
        <v>0</v>
      </c>
      <c r="AW318" s="324">
        <v>0</v>
      </c>
      <c r="AX318" s="324">
        <v>0</v>
      </c>
      <c r="AY318" s="324">
        <v>0</v>
      </c>
      <c r="AZ318" s="324">
        <v>0</v>
      </c>
      <c r="BA318" s="324">
        <v>0</v>
      </c>
      <c r="BB318" s="324">
        <v>0</v>
      </c>
      <c r="BC318" s="324">
        <v>0</v>
      </c>
      <c r="BD318" s="324">
        <v>0</v>
      </c>
      <c r="BE318" s="324">
        <v>0</v>
      </c>
      <c r="BF318" s="324">
        <v>0</v>
      </c>
      <c r="BG318" s="140">
        <f t="shared" ref="BG318" si="174">SUM(AU318:BF318)</f>
        <v>0</v>
      </c>
      <c r="BH318" s="324">
        <v>0</v>
      </c>
      <c r="BI318" s="324">
        <v>0</v>
      </c>
      <c r="BJ318" s="324">
        <v>0</v>
      </c>
      <c r="BK318" s="324">
        <v>0</v>
      </c>
      <c r="BL318" s="324">
        <v>0</v>
      </c>
      <c r="BM318" s="324">
        <v>0</v>
      </c>
      <c r="BN318" s="324">
        <v>0</v>
      </c>
      <c r="BO318" s="324">
        <v>0</v>
      </c>
      <c r="BP318" s="324">
        <v>0</v>
      </c>
      <c r="BQ318" s="324">
        <v>0</v>
      </c>
      <c r="BR318" s="324">
        <v>0</v>
      </c>
      <c r="BS318" s="324">
        <v>0</v>
      </c>
      <c r="BT318" s="140">
        <f t="shared" si="153"/>
        <v>0</v>
      </c>
      <c r="BU318" s="114">
        <f t="shared" si="154"/>
        <v>220.0000000000002</v>
      </c>
      <c r="BV318" s="372">
        <v>1</v>
      </c>
      <c r="BW318" s="372">
        <v>1</v>
      </c>
      <c r="BX318" s="372">
        <v>1</v>
      </c>
      <c r="BY318" s="372">
        <v>1</v>
      </c>
      <c r="BZ318" s="436">
        <f t="shared" si="172"/>
        <v>3.4568181904879451</v>
      </c>
      <c r="CA318" s="428">
        <f>IFERROR((FD318/T318%),0)</f>
        <v>3.4568181904879451</v>
      </c>
      <c r="CB318" s="7" t="s">
        <v>1699</v>
      </c>
      <c r="CC318" s="3">
        <v>0</v>
      </c>
      <c r="CD318" s="3">
        <v>0</v>
      </c>
      <c r="CE318" s="3">
        <v>0</v>
      </c>
      <c r="CF318" s="3">
        <v>0</v>
      </c>
      <c r="CG318" s="3">
        <v>0</v>
      </c>
      <c r="CH318" s="3">
        <v>0</v>
      </c>
      <c r="CI318" s="3">
        <v>1</v>
      </c>
      <c r="CJ318" s="3">
        <v>0</v>
      </c>
      <c r="CK318" s="3">
        <v>0</v>
      </c>
      <c r="CL318" s="3">
        <v>0</v>
      </c>
      <c r="CM318" s="3">
        <v>0</v>
      </c>
      <c r="CN318" s="3">
        <v>0</v>
      </c>
      <c r="CO318" s="4">
        <f>SUM(CC318:CN318)</f>
        <v>1</v>
      </c>
      <c r="CP318" s="3">
        <v>0</v>
      </c>
      <c r="CQ318" s="3">
        <v>0</v>
      </c>
      <c r="CR318" s="3">
        <v>0</v>
      </c>
      <c r="CS318" s="3">
        <v>0</v>
      </c>
      <c r="CT318" s="3">
        <v>0</v>
      </c>
      <c r="CU318" s="3">
        <v>0</v>
      </c>
      <c r="CV318" s="3">
        <v>0</v>
      </c>
      <c r="CW318" s="3">
        <v>0</v>
      </c>
      <c r="CX318" s="3">
        <v>0</v>
      </c>
      <c r="CY318" s="3">
        <v>0</v>
      </c>
      <c r="CZ318" s="3">
        <v>0</v>
      </c>
      <c r="DA318" s="3">
        <v>0</v>
      </c>
      <c r="DB318" s="4">
        <f>SUM(CP318:DA318)</f>
        <v>0</v>
      </c>
      <c r="DC318" s="3">
        <v>0</v>
      </c>
      <c r="DD318" s="3">
        <v>0</v>
      </c>
      <c r="DE318" s="3">
        <v>0</v>
      </c>
      <c r="DF318" s="3">
        <v>0</v>
      </c>
      <c r="DG318" s="3">
        <v>0</v>
      </c>
      <c r="DH318" s="3">
        <v>0</v>
      </c>
      <c r="DI318" s="3">
        <v>0</v>
      </c>
      <c r="DJ318" s="3">
        <v>0</v>
      </c>
      <c r="DK318" s="3">
        <v>0</v>
      </c>
      <c r="DL318" s="3">
        <v>0</v>
      </c>
      <c r="DM318" s="3">
        <v>0</v>
      </c>
      <c r="DN318" s="3">
        <v>0</v>
      </c>
      <c r="DO318" s="4">
        <f>SUM(DC318:DN318)</f>
        <v>0</v>
      </c>
      <c r="DP318" s="3">
        <v>0</v>
      </c>
      <c r="DQ318" s="3">
        <v>0</v>
      </c>
      <c r="DR318" s="3">
        <v>0</v>
      </c>
      <c r="DS318" s="3">
        <v>0</v>
      </c>
      <c r="DT318" s="3">
        <v>0</v>
      </c>
      <c r="DU318" s="3">
        <v>0</v>
      </c>
      <c r="DV318" s="3">
        <v>0</v>
      </c>
      <c r="DW318" s="3">
        <v>0</v>
      </c>
      <c r="DX318" s="3">
        <v>0</v>
      </c>
      <c r="DY318" s="3">
        <v>0</v>
      </c>
      <c r="DZ318" s="3">
        <v>0</v>
      </c>
      <c r="EA318" s="3">
        <v>0</v>
      </c>
      <c r="EB318" s="4">
        <f>SUM(DP318:EA318)</f>
        <v>0</v>
      </c>
      <c r="EC318" s="3">
        <v>0</v>
      </c>
      <c r="ED318" s="3">
        <v>0</v>
      </c>
      <c r="EE318" s="3">
        <v>0</v>
      </c>
      <c r="EF318" s="3">
        <v>0</v>
      </c>
      <c r="EG318" s="3">
        <v>0</v>
      </c>
      <c r="EH318" s="3">
        <v>0</v>
      </c>
      <c r="EI318" s="3">
        <v>0</v>
      </c>
      <c r="EJ318" s="3">
        <v>0</v>
      </c>
      <c r="EK318" s="3">
        <v>0</v>
      </c>
      <c r="EL318" s="3">
        <v>0</v>
      </c>
      <c r="EM318" s="3">
        <v>0</v>
      </c>
      <c r="EN318" s="3">
        <v>0</v>
      </c>
      <c r="EO318" s="4">
        <f>SUM(EC318:EN318)</f>
        <v>0</v>
      </c>
      <c r="EP318" s="8">
        <f>SUM(EO318,EB318,DO318,DB318,CO318)</f>
        <v>1</v>
      </c>
      <c r="EQ318" s="181">
        <f>IFERROR(VLOOKUP(I318,CEI_012018!$A$1:$U$509,9,FALSE),0)</f>
        <v>-660.04498291015625</v>
      </c>
      <c r="ER318" s="181">
        <f>IFERROR(VLOOKUP(I318,CEI_022018!$A$1:$U$509,9,FALSE),0)</f>
        <v>-660.04498291015625</v>
      </c>
      <c r="ES318" s="181">
        <f>IFERROR(VLOOKUP(I318,CEI_032018!$A$1:$U$509,9,FALSE),0)</f>
        <v>7.60504150390625</v>
      </c>
      <c r="ET318" s="181">
        <f>IFERROR(VLOOKUP(I318,CEI_042018!$A$1:$U$491,9,FALSE),0)</f>
        <v>7.60504150390625</v>
      </c>
      <c r="EU318" s="181">
        <f>IFERROR(VLOOKUP(I318,CEI_052018!$A$1:$U$489,9,FALSE),0)</f>
        <v>7.60504150390625</v>
      </c>
      <c r="EV318" s="181">
        <f>IFERROR(VLOOKUP(I318,CEI_062018!$A$1:$U$489,9,FALSE),0)</f>
        <v>7.60504150390625</v>
      </c>
      <c r="EW318" s="181">
        <f>IFERROR(VLOOKUP(I318,CEI_072018!$A$1:$U$489,9,FALSE),0)</f>
        <v>7.6050000190734863</v>
      </c>
      <c r="EX318" s="181">
        <f>IFERROR(VLOOKUP(I318,CEI_082018!$A$1:$U$489,9,FALSE),0)</f>
        <v>7.6050000190734863</v>
      </c>
      <c r="EY318" s="181">
        <f>IFERROR(VLOOKUP(I318,CEI_092018!$A$1:$U$489,9,FALSE),0)</f>
        <v>7.6050000190734863</v>
      </c>
      <c r="EZ318" s="181"/>
      <c r="FA318" s="181"/>
      <c r="FB318" s="181"/>
      <c r="FC318" s="181">
        <f>IFERROR(VLOOKUP(I318,CEI_092018!$A$1:$U$489,12,FALSE),0)</f>
        <v>0</v>
      </c>
      <c r="FD318" s="181">
        <f t="shared" si="170"/>
        <v>7.6050000190734863</v>
      </c>
      <c r="FE318" s="181">
        <f t="shared" si="171"/>
        <v>212.39499998092671</v>
      </c>
      <c r="FF318"/>
      <c r="FG318"/>
      <c r="FH318"/>
      <c r="FI318"/>
      <c r="FJ318"/>
      <c r="FK318"/>
      <c r="FL318"/>
      <c r="FM318"/>
      <c r="FN318"/>
      <c r="FO318"/>
      <c r="FP318"/>
      <c r="FQ318"/>
      <c r="FR318"/>
      <c r="FS318"/>
      <c r="FT318"/>
      <c r="FU318"/>
      <c r="FV318"/>
      <c r="FW318"/>
      <c r="FX318"/>
      <c r="FY318"/>
      <c r="FZ318"/>
      <c r="GA318"/>
      <c r="GB318"/>
      <c r="GC318"/>
    </row>
    <row r="319" spans="1:185" x14ac:dyDescent="0.25">
      <c r="B319" s="442"/>
      <c r="C319" s="442"/>
      <c r="D319" s="442"/>
      <c r="E319" s="442"/>
      <c r="F319" s="442"/>
      <c r="G319" s="442"/>
      <c r="H319" s="442"/>
      <c r="I319" s="442"/>
      <c r="J319" s="442"/>
      <c r="K319" s="443"/>
      <c r="L319" s="443"/>
      <c r="M319" s="443"/>
      <c r="N319" s="443"/>
      <c r="O319" s="442">
        <f t="shared" ref="O319:AT319" si="175">SUBTOTAL(9,O7:O318)</f>
        <v>15094.605648353696</v>
      </c>
      <c r="P319" s="442">
        <f t="shared" si="175"/>
        <v>8641.0129398490135</v>
      </c>
      <c r="Q319" s="442">
        <f t="shared" si="175"/>
        <v>8548.6302700350952</v>
      </c>
      <c r="R319" s="442">
        <f t="shared" si="175"/>
        <v>5206.3675925854495</v>
      </c>
      <c r="S319" s="494">
        <f t="shared" si="175"/>
        <v>37603.608113200418</v>
      </c>
      <c r="T319" s="442">
        <f t="shared" si="175"/>
        <v>75094.224564023665</v>
      </c>
      <c r="U319" s="442">
        <f t="shared" si="175"/>
        <v>4451.4619400000001</v>
      </c>
      <c r="V319" s="442">
        <f t="shared" si="175"/>
        <v>4168.3770199999999</v>
      </c>
      <c r="W319" s="442">
        <f t="shared" si="175"/>
        <v>8871.8784414285728</v>
      </c>
      <c r="X319" s="442">
        <f t="shared" si="175"/>
        <v>21851.283700000004</v>
      </c>
      <c r="Y319" s="442">
        <f t="shared" si="175"/>
        <v>4545.6624374999992</v>
      </c>
      <c r="Z319" s="442">
        <f t="shared" si="175"/>
        <v>8409.2280475000007</v>
      </c>
      <c r="AA319" s="442">
        <f t="shared" si="175"/>
        <v>13075.897598390116</v>
      </c>
      <c r="AB319" s="442">
        <f t="shared" si="175"/>
        <v>6994.6917570578007</v>
      </c>
      <c r="AC319" s="442">
        <f t="shared" si="175"/>
        <v>8117.3870474999994</v>
      </c>
      <c r="AD319" s="442">
        <f t="shared" si="175"/>
        <v>4165.3350225193408</v>
      </c>
      <c r="AE319" s="442">
        <f t="shared" si="175"/>
        <v>3979.5220475000006</v>
      </c>
      <c r="AF319" s="442">
        <f t="shared" si="175"/>
        <v>7661.1017875238413</v>
      </c>
      <c r="AG319" s="442">
        <f t="shared" si="175"/>
        <v>96291.826846919663</v>
      </c>
      <c r="AH319" s="442">
        <f t="shared" si="175"/>
        <v>6025.5153474999988</v>
      </c>
      <c r="AI319" s="442">
        <f t="shared" si="175"/>
        <v>7518.5253475</v>
      </c>
      <c r="AJ319" s="442">
        <f t="shared" si="175"/>
        <v>8674.3955174999992</v>
      </c>
      <c r="AK319" s="442">
        <f t="shared" si="175"/>
        <v>3462.4098474999996</v>
      </c>
      <c r="AL319" s="442">
        <f t="shared" si="175"/>
        <v>3542.0598474999997</v>
      </c>
      <c r="AM319" s="442">
        <f t="shared" si="175"/>
        <v>3414.4548474999997</v>
      </c>
      <c r="AN319" s="442">
        <f t="shared" si="175"/>
        <v>6660.2341874761569</v>
      </c>
      <c r="AO319" s="442">
        <f t="shared" si="175"/>
        <v>4428.6813475000008</v>
      </c>
      <c r="AP319" s="442">
        <f t="shared" si="175"/>
        <v>7286.5923475</v>
      </c>
      <c r="AQ319" s="442">
        <f t="shared" si="175"/>
        <v>6630.3723474999997</v>
      </c>
      <c r="AR319" s="442">
        <f t="shared" si="175"/>
        <v>7729.1498416610002</v>
      </c>
      <c r="AS319" s="442">
        <f t="shared" si="175"/>
        <v>5038.8002299583459</v>
      </c>
      <c r="AT319" s="442">
        <f t="shared" si="175"/>
        <v>70411.191056595504</v>
      </c>
      <c r="AU319" s="442">
        <f t="shared" ref="AU319:BZ319" si="176">SUBTOTAL(9,AU7:AU318)</f>
        <v>2256.056</v>
      </c>
      <c r="AV319" s="442">
        <f t="shared" si="176"/>
        <v>2741.0659999999998</v>
      </c>
      <c r="AW319" s="442">
        <f t="shared" si="176"/>
        <v>4348.1959999999999</v>
      </c>
      <c r="AX319" s="442">
        <f t="shared" si="176"/>
        <v>1356.038</v>
      </c>
      <c r="AY319" s="442">
        <f t="shared" si="176"/>
        <v>7331.5380000000005</v>
      </c>
      <c r="AZ319" s="442">
        <f t="shared" si="176"/>
        <v>9724.1303481794766</v>
      </c>
      <c r="BA319" s="442">
        <f t="shared" si="176"/>
        <v>2493.5</v>
      </c>
      <c r="BB319" s="442">
        <f t="shared" si="176"/>
        <v>7645.5</v>
      </c>
      <c r="BC319" s="442">
        <f t="shared" si="176"/>
        <v>4641.5</v>
      </c>
      <c r="BD319" s="442">
        <f t="shared" si="176"/>
        <v>6617.5</v>
      </c>
      <c r="BE319" s="442">
        <f t="shared" si="176"/>
        <v>6538.7690000000011</v>
      </c>
      <c r="BF319" s="442">
        <f t="shared" si="176"/>
        <v>4712.5</v>
      </c>
      <c r="BG319" s="442">
        <f t="shared" si="176"/>
        <v>60406.293348179475</v>
      </c>
      <c r="BH319" s="442">
        <f t="shared" si="176"/>
        <v>1217.5</v>
      </c>
      <c r="BI319" s="442">
        <f t="shared" si="176"/>
        <v>2097.5</v>
      </c>
      <c r="BJ319" s="442">
        <f t="shared" si="176"/>
        <v>1554.5</v>
      </c>
      <c r="BK319" s="442">
        <f t="shared" si="176"/>
        <v>1472.5</v>
      </c>
      <c r="BL319" s="442">
        <f t="shared" si="176"/>
        <v>4686.5</v>
      </c>
      <c r="BM319" s="442">
        <f t="shared" si="176"/>
        <v>2720.5</v>
      </c>
      <c r="BN319" s="442">
        <f t="shared" si="176"/>
        <v>1935.5</v>
      </c>
      <c r="BO319" s="442">
        <f t="shared" si="176"/>
        <v>10108.54031913777</v>
      </c>
      <c r="BP319" s="442">
        <f t="shared" si="176"/>
        <v>11975.124356804889</v>
      </c>
      <c r="BQ319" s="442">
        <f t="shared" si="176"/>
        <v>3557.5</v>
      </c>
      <c r="BR319" s="442">
        <f t="shared" si="176"/>
        <v>5170.2280000000001</v>
      </c>
      <c r="BS319" s="442">
        <f t="shared" si="176"/>
        <v>8026.2081583300005</v>
      </c>
      <c r="BT319" s="442">
        <f t="shared" si="176"/>
        <v>54522.100834272664</v>
      </c>
      <c r="BU319" s="492">
        <f t="shared" si="176"/>
        <v>356725.63664999086</v>
      </c>
      <c r="BV319" s="442">
        <f t="shared" si="176"/>
        <v>78</v>
      </c>
      <c r="BW319" s="442">
        <f t="shared" si="176"/>
        <v>75</v>
      </c>
      <c r="BX319" s="442">
        <f t="shared" si="176"/>
        <v>52</v>
      </c>
      <c r="BY319" s="442">
        <f t="shared" si="176"/>
        <v>2</v>
      </c>
      <c r="BZ319" s="442">
        <f t="shared" si="176"/>
        <v>3084.6043010357453</v>
      </c>
      <c r="CA319" s="442">
        <f t="shared" ref="CA319:DF319" si="177">SUBTOTAL(9,CA7:CA318)</f>
        <v>11206.497291201691</v>
      </c>
      <c r="CB319" s="442">
        <f t="shared" si="177"/>
        <v>0</v>
      </c>
      <c r="CC319" s="442">
        <f t="shared" si="177"/>
        <v>46.005306451612903</v>
      </c>
      <c r="CD319" s="442">
        <f t="shared" si="177"/>
        <v>1446.8445416467357</v>
      </c>
      <c r="CE319" s="442">
        <f t="shared" si="177"/>
        <v>1677.6066738048123</v>
      </c>
      <c r="CF319" s="442">
        <f t="shared" si="177"/>
        <v>1673.6289064679443</v>
      </c>
      <c r="CG319" s="442">
        <f t="shared" si="177"/>
        <v>1398.9779497059553</v>
      </c>
      <c r="CH319" s="442">
        <f t="shared" si="177"/>
        <v>1544.7380699432495</v>
      </c>
      <c r="CI319" s="442">
        <f t="shared" si="177"/>
        <v>1506.8183088687886</v>
      </c>
      <c r="CJ319" s="442">
        <f t="shared" si="177"/>
        <v>2722.7200944323617</v>
      </c>
      <c r="CK319" s="442">
        <f t="shared" si="177"/>
        <v>8573.3094479310203</v>
      </c>
      <c r="CL319" s="442">
        <f t="shared" si="177"/>
        <v>8426.8365505895526</v>
      </c>
      <c r="CM319" s="442">
        <f t="shared" si="177"/>
        <v>8577.0706383920497</v>
      </c>
      <c r="CN319" s="442">
        <f t="shared" si="177"/>
        <v>10699.507598459148</v>
      </c>
      <c r="CO319" s="442">
        <f t="shared" si="177"/>
        <v>48294.064086693237</v>
      </c>
      <c r="CP319" s="442">
        <f t="shared" si="177"/>
        <v>8892.1266077462551</v>
      </c>
      <c r="CQ319" s="442">
        <f t="shared" si="177"/>
        <v>1649.8322484425369</v>
      </c>
      <c r="CR319" s="442">
        <f t="shared" si="177"/>
        <v>2277.0913532410559</v>
      </c>
      <c r="CS319" s="442">
        <f t="shared" si="177"/>
        <v>8155.4519677818871</v>
      </c>
      <c r="CT319" s="442">
        <f t="shared" si="177"/>
        <v>1800.6552924677633</v>
      </c>
      <c r="CU319" s="442">
        <f t="shared" si="177"/>
        <v>2276.61567539013</v>
      </c>
      <c r="CV319" s="442">
        <f t="shared" si="177"/>
        <v>8271.9120989783041</v>
      </c>
      <c r="CW319" s="442">
        <f t="shared" si="177"/>
        <v>8341.7532911840663</v>
      </c>
      <c r="CX319" s="442">
        <f t="shared" si="177"/>
        <v>8633.0809267605182</v>
      </c>
      <c r="CY319" s="442">
        <f t="shared" si="177"/>
        <v>7817.1924608227046</v>
      </c>
      <c r="CZ319" s="442">
        <f t="shared" si="177"/>
        <v>8094.530743153714</v>
      </c>
      <c r="DA319" s="442">
        <f t="shared" si="177"/>
        <v>11287.853504148132</v>
      </c>
      <c r="DB319" s="442">
        <f t="shared" si="177"/>
        <v>77535.096170117075</v>
      </c>
      <c r="DC319" s="442">
        <f t="shared" si="177"/>
        <v>956.44234402957682</v>
      </c>
      <c r="DD319" s="442">
        <f t="shared" si="177"/>
        <v>1483.7773898730059</v>
      </c>
      <c r="DE319" s="442">
        <f t="shared" si="177"/>
        <v>1478.415743519377</v>
      </c>
      <c r="DF319" s="442">
        <f t="shared" si="177"/>
        <v>1919.5804581129009</v>
      </c>
      <c r="DG319" s="442">
        <f t="shared" ref="DG319:EL319" si="178">SUBTOTAL(9,DG7:DG318)</f>
        <v>1589.0524211353836</v>
      </c>
      <c r="DH319" s="442">
        <f t="shared" si="178"/>
        <v>1885.1422878934025</v>
      </c>
      <c r="DI319" s="442">
        <f t="shared" si="178"/>
        <v>7853.402402999006</v>
      </c>
      <c r="DJ319" s="442">
        <f t="shared" si="178"/>
        <v>8145.4210657043168</v>
      </c>
      <c r="DK319" s="442">
        <f t="shared" si="178"/>
        <v>8011.4943485579333</v>
      </c>
      <c r="DL319" s="442">
        <f t="shared" si="178"/>
        <v>7810.8269089078394</v>
      </c>
      <c r="DM319" s="442">
        <f t="shared" si="178"/>
        <v>8657.5830191811056</v>
      </c>
      <c r="DN319" s="442">
        <f t="shared" si="178"/>
        <v>9241.0596324642465</v>
      </c>
      <c r="DO319" s="442">
        <f t="shared" si="178"/>
        <v>59032.198022378099</v>
      </c>
      <c r="DP319" s="442">
        <f t="shared" si="178"/>
        <v>1255.5865569440693</v>
      </c>
      <c r="DQ319" s="442">
        <f t="shared" si="178"/>
        <v>1252.5853678443643</v>
      </c>
      <c r="DR319" s="442">
        <f t="shared" si="178"/>
        <v>2097.2857681868177</v>
      </c>
      <c r="DS319" s="442">
        <f t="shared" si="178"/>
        <v>1334.5965622693161</v>
      </c>
      <c r="DT319" s="442">
        <f t="shared" si="178"/>
        <v>1532.797195987808</v>
      </c>
      <c r="DU319" s="442">
        <f t="shared" si="178"/>
        <v>1984.5770195074253</v>
      </c>
      <c r="DV319" s="442">
        <f t="shared" si="178"/>
        <v>8053.7623489742618</v>
      </c>
      <c r="DW319" s="442">
        <f t="shared" si="178"/>
        <v>8040.5411593115687</v>
      </c>
      <c r="DX319" s="442">
        <f t="shared" si="178"/>
        <v>7863.5779701569572</v>
      </c>
      <c r="DY319" s="442">
        <f t="shared" si="178"/>
        <v>7986.2017689786953</v>
      </c>
      <c r="DZ319" s="442">
        <f t="shared" si="178"/>
        <v>7894.3130940210094</v>
      </c>
      <c r="EA319" s="442">
        <f t="shared" si="178"/>
        <v>8541.282530933222</v>
      </c>
      <c r="EB319" s="442">
        <f t="shared" si="178"/>
        <v>57837.107343115516</v>
      </c>
      <c r="EC319" s="442">
        <f t="shared" si="178"/>
        <v>826.25933041981591</v>
      </c>
      <c r="ED319" s="442">
        <f t="shared" si="178"/>
        <v>970.11439297739571</v>
      </c>
      <c r="EE319" s="442">
        <f t="shared" si="178"/>
        <v>1445.3039635579514</v>
      </c>
      <c r="EF319" s="442">
        <f t="shared" si="178"/>
        <v>1641.0118738336866</v>
      </c>
      <c r="EG319" s="442">
        <f t="shared" si="178"/>
        <v>1297.1383887605846</v>
      </c>
      <c r="EH319" s="442">
        <f t="shared" si="178"/>
        <v>1788.479675841694</v>
      </c>
      <c r="EI319" s="442">
        <f t="shared" si="178"/>
        <v>7412.4082006190301</v>
      </c>
      <c r="EJ319" s="442">
        <f t="shared" si="178"/>
        <v>8865.0107156390004</v>
      </c>
      <c r="EK319" s="442">
        <f t="shared" si="178"/>
        <v>7718.289891653335</v>
      </c>
      <c r="EL319" s="442">
        <f t="shared" si="178"/>
        <v>7681.1653916533351</v>
      </c>
      <c r="EM319" s="442">
        <f t="shared" ref="EM319:FE319" si="179">SUBTOTAL(9,EM7:EM318)</f>
        <v>8098.7182430355842</v>
      </c>
      <c r="EN319" s="442">
        <f t="shared" si="179"/>
        <v>8845.1234137470765</v>
      </c>
      <c r="EO319" s="442">
        <f t="shared" si="179"/>
        <v>56589.023481738499</v>
      </c>
      <c r="EP319" s="442">
        <f t="shared" si="179"/>
        <v>299287.48910404247</v>
      </c>
      <c r="EQ319" s="442">
        <f t="shared" si="179"/>
        <v>-241.37960529327393</v>
      </c>
      <c r="ER319" s="442">
        <f t="shared" si="179"/>
        <v>1029.5718336105347</v>
      </c>
      <c r="ES319" s="442">
        <f t="shared" si="179"/>
        <v>4490.717737197876</v>
      </c>
      <c r="ET319" s="442">
        <f t="shared" si="179"/>
        <v>7126.1538742780685</v>
      </c>
      <c r="EU319" s="442">
        <f t="shared" si="179"/>
        <v>9232.7012758255005</v>
      </c>
      <c r="EV319" s="442">
        <f t="shared" si="179"/>
        <v>10801.140584349632</v>
      </c>
      <c r="EW319" s="442">
        <f t="shared" si="179"/>
        <v>13438.201662898064</v>
      </c>
      <c r="EX319" s="442">
        <f t="shared" si="179"/>
        <v>15094.605648353696</v>
      </c>
      <c r="EY319" s="442">
        <f t="shared" si="179"/>
        <v>15202.927638351917</v>
      </c>
      <c r="EZ319" s="442">
        <f t="shared" si="179"/>
        <v>0</v>
      </c>
      <c r="FA319" s="442">
        <f t="shared" si="179"/>
        <v>0</v>
      </c>
      <c r="FB319" s="442">
        <f t="shared" si="179"/>
        <v>0</v>
      </c>
      <c r="FC319" s="442">
        <f t="shared" si="179"/>
        <v>30123.272681761067</v>
      </c>
      <c r="FD319" s="442">
        <f t="shared" si="179"/>
        <v>43561.474344659131</v>
      </c>
      <c r="FE319" s="442">
        <f t="shared" si="179"/>
        <v>31382.750219364534</v>
      </c>
    </row>
    <row r="320" spans="1:185" x14ac:dyDescent="0.25">
      <c r="T320" s="419"/>
      <c r="BZ320"/>
      <c r="CA320"/>
    </row>
    <row r="321" spans="16:154" x14ac:dyDescent="0.25">
      <c r="P321" s="203"/>
      <c r="Q321" s="203"/>
      <c r="R321" s="203"/>
      <c r="S321" s="203"/>
      <c r="AA321" s="203">
        <f>2015-45</f>
        <v>1970</v>
      </c>
      <c r="BU321" s="490">
        <v>356725.63664999104</v>
      </c>
      <c r="EX321" s="203"/>
    </row>
    <row r="322" spans="16:154" x14ac:dyDescent="0.25">
      <c r="S322" s="1">
        <v>40</v>
      </c>
      <c r="BE322" s="203">
        <v>3.3572299583465792</v>
      </c>
      <c r="EQ322" s="447"/>
      <c r="ER322" s="447"/>
      <c r="ES322" s="447"/>
      <c r="ET322" s="447"/>
      <c r="EU322" s="447"/>
      <c r="EV322" s="447"/>
      <c r="EW322" s="447"/>
      <c r="EX322" s="447"/>
    </row>
    <row r="323" spans="16:154" x14ac:dyDescent="0.25">
      <c r="P323" s="95"/>
      <c r="Q323" s="95"/>
      <c r="S323" s="95">
        <f>S13-S322</f>
        <v>0</v>
      </c>
      <c r="T323" s="446"/>
      <c r="BV323" s="115"/>
      <c r="EQ323" s="203">
        <f>EQ319</f>
        <v>-241.37960529327393</v>
      </c>
      <c r="ER323" s="203">
        <f t="shared" ref="ER323:EX323" si="180">ER319-EQ319</f>
        <v>1270.9514389038086</v>
      </c>
      <c r="ES323" s="203">
        <f t="shared" si="180"/>
        <v>3461.1459035873413</v>
      </c>
      <c r="ET323" s="203">
        <f t="shared" si="180"/>
        <v>2635.4361370801926</v>
      </c>
      <c r="EU323" s="203">
        <f t="shared" si="180"/>
        <v>2106.5474015474319</v>
      </c>
      <c r="EV323" s="203">
        <f t="shared" si="180"/>
        <v>1568.4393085241318</v>
      </c>
      <c r="EW323" s="203">
        <f t="shared" si="180"/>
        <v>2637.0610785484314</v>
      </c>
      <c r="EX323" s="203">
        <f t="shared" si="180"/>
        <v>1656.4039854556322</v>
      </c>
    </row>
    <row r="324" spans="16:154" x14ac:dyDescent="0.25">
      <c r="EW324" s="203"/>
    </row>
    <row r="325" spans="16:154" x14ac:dyDescent="0.25">
      <c r="BU325" s="489"/>
    </row>
    <row r="326" spans="16:154" x14ac:dyDescent="0.25">
      <c r="EW326" s="203"/>
    </row>
  </sheetData>
  <autoFilter ref="B6:FE318"/>
  <sortState ref="B7:FG335">
    <sortCondition ref="B7:B335" customList="Geração,Transmissão,Distribuição,Holding"/>
    <sortCondition ref="C7:C335"/>
    <sortCondition ref="K7:K335"/>
  </sortState>
  <dataConsolidate/>
  <mergeCells count="12">
    <mergeCell ref="O5:T5"/>
    <mergeCell ref="EC5:EO5"/>
    <mergeCell ref="CB4:EP4"/>
    <mergeCell ref="CC5:CO5"/>
    <mergeCell ref="CP5:DB5"/>
    <mergeCell ref="DC5:DO5"/>
    <mergeCell ref="DP5:EB5"/>
    <mergeCell ref="O4:BU4"/>
    <mergeCell ref="AH5:AT5"/>
    <mergeCell ref="AU5:BG5"/>
    <mergeCell ref="BH5:BT5"/>
    <mergeCell ref="BV4:CA4"/>
  </mergeCells>
  <conditionalFormatting sqref="CA85:CA86 CA83 BZ88:CA120 BZ8:CA82 BZ122:CA318">
    <cfRule type="dataBar" priority="31">
      <dataBar>
        <cfvo type="num" val="0"/>
        <cfvo type="num" val="100"/>
        <color rgb="FF0000FF"/>
      </dataBar>
      <extLst>
        <ext xmlns:x14="http://schemas.microsoft.com/office/spreadsheetml/2009/9/main" uri="{B025F937-C7B1-47D3-B67F-A62EFF666E3E}">
          <x14:id>{0B1B327A-732D-4403-9AE3-D498B64C26FB}</x14:id>
        </ext>
      </extLst>
    </cfRule>
  </conditionalFormatting>
  <conditionalFormatting sqref="BZ2:CA2">
    <cfRule type="iconSet" priority="29">
      <iconSet iconSet="5Rating">
        <cfvo type="percent" val="0"/>
        <cfvo type="percent" val="20"/>
        <cfvo type="percent" val="40"/>
        <cfvo type="percent" val="60"/>
        <cfvo type="percent" val="80"/>
      </iconSet>
    </cfRule>
  </conditionalFormatting>
  <conditionalFormatting sqref="BV136">
    <cfRule type="iconSet" priority="16">
      <iconSet iconSet="3Symbols" showValue="0">
        <cfvo type="percent" val="0"/>
        <cfvo type="num" val="0"/>
        <cfvo type="num" val="1"/>
      </iconSet>
    </cfRule>
  </conditionalFormatting>
  <conditionalFormatting sqref="BV10:BY10">
    <cfRule type="iconSet" priority="13">
      <iconSet iconSet="3Symbols" showValue="0">
        <cfvo type="percent" val="0"/>
        <cfvo type="num" val="0"/>
        <cfvo type="num" val="1"/>
      </iconSet>
    </cfRule>
  </conditionalFormatting>
  <conditionalFormatting sqref="BZ7:CA7">
    <cfRule type="dataBar" priority="8">
      <dataBar>
        <cfvo type="num" val="0"/>
        <cfvo type="num" val="100"/>
        <color rgb="FF0000FF"/>
      </dataBar>
      <extLst>
        <ext xmlns:x14="http://schemas.microsoft.com/office/spreadsheetml/2009/9/main" uri="{B025F937-C7B1-47D3-B67F-A62EFF666E3E}">
          <x14:id>{72C3A3D5-CC6F-4724-AF5A-FC68B703F59A}</x14:id>
        </ext>
      </extLst>
    </cfRule>
  </conditionalFormatting>
  <conditionalFormatting sqref="BV7:BY7">
    <cfRule type="iconSet" priority="9">
      <iconSet iconSet="3Symbols" showValue="0">
        <cfvo type="percent" val="0"/>
        <cfvo type="num" val="0"/>
        <cfvo type="num" val="1"/>
      </iconSet>
    </cfRule>
  </conditionalFormatting>
  <conditionalFormatting sqref="CA84">
    <cfRule type="dataBar" priority="6">
      <dataBar>
        <cfvo type="num" val="0"/>
        <cfvo type="num" val="100"/>
        <color rgb="FF0000FF"/>
      </dataBar>
      <extLst>
        <ext xmlns:x14="http://schemas.microsoft.com/office/spreadsheetml/2009/9/main" uri="{B025F937-C7B1-47D3-B67F-A62EFF666E3E}">
          <x14:id>{28DA98FC-1866-4E55-AB9A-6A6D782E76C7}</x14:id>
        </ext>
      </extLst>
    </cfRule>
  </conditionalFormatting>
  <conditionalFormatting sqref="BV84:BY84">
    <cfRule type="iconSet" priority="7">
      <iconSet iconSet="3Symbols" showValue="0">
        <cfvo type="percent" val="0"/>
        <cfvo type="num" val="0"/>
        <cfvo type="num" val="1"/>
      </iconSet>
    </cfRule>
  </conditionalFormatting>
  <conditionalFormatting sqref="BZ87:CA87">
    <cfRule type="dataBar" priority="4">
      <dataBar>
        <cfvo type="num" val="0"/>
        <cfvo type="num" val="100"/>
        <color rgb="FF0000FF"/>
      </dataBar>
      <extLst>
        <ext xmlns:x14="http://schemas.microsoft.com/office/spreadsheetml/2009/9/main" uri="{B025F937-C7B1-47D3-B67F-A62EFF666E3E}">
          <x14:id>{BE85F429-5AEF-4B04-A15E-0E18A18C4B2A}</x14:id>
        </ext>
      </extLst>
    </cfRule>
  </conditionalFormatting>
  <conditionalFormatting sqref="BV87:BY87">
    <cfRule type="iconSet" priority="5">
      <iconSet iconSet="3Symbols" showValue="0">
        <cfvo type="percent" val="0"/>
        <cfvo type="num" val="0"/>
        <cfvo type="num" val="1"/>
      </iconSet>
    </cfRule>
  </conditionalFormatting>
  <conditionalFormatting sqref="BV139:BY318 BV137:BY137 BV8:BY9 BW136:BY136 BV11:BY83 BV85:BY86 BV88:BY120 BV122:BY135">
    <cfRule type="iconSet" priority="76">
      <iconSet iconSet="3Symbols" showValue="0">
        <cfvo type="percent" val="0"/>
        <cfvo type="num" val="0"/>
        <cfvo type="num" val="1"/>
      </iconSet>
    </cfRule>
  </conditionalFormatting>
  <conditionalFormatting sqref="BZ83:BZ86">
    <cfRule type="dataBar" priority="3">
      <dataBar>
        <cfvo type="num" val="0"/>
        <cfvo type="num" val="100"/>
        <color rgb="FF0000FF"/>
      </dataBar>
      <extLst>
        <ext xmlns:x14="http://schemas.microsoft.com/office/spreadsheetml/2009/9/main" uri="{B025F937-C7B1-47D3-B67F-A62EFF666E3E}">
          <x14:id>{1CE02FF0-A976-43B3-9624-1657D56600BA}</x14:id>
        </ext>
      </extLst>
    </cfRule>
  </conditionalFormatting>
  <conditionalFormatting sqref="BZ121:CA121">
    <cfRule type="dataBar" priority="1">
      <dataBar>
        <cfvo type="num" val="0"/>
        <cfvo type="num" val="100"/>
        <color rgb="FF0000FF"/>
      </dataBar>
      <extLst>
        <ext xmlns:x14="http://schemas.microsoft.com/office/spreadsheetml/2009/9/main" uri="{B025F937-C7B1-47D3-B67F-A62EFF666E3E}">
          <x14:id>{B227F5A8-6976-49E5-9EE9-97E26CE4D334}</x14:id>
        </ext>
      </extLst>
    </cfRule>
  </conditionalFormatting>
  <conditionalFormatting sqref="BV121:BY121">
    <cfRule type="iconSet" priority="2">
      <iconSet iconSet="3Symbols" showValue="0">
        <cfvo type="percent" val="0"/>
        <cfvo type="num" val="0"/>
        <cfvo type="num" val="1"/>
      </iconSet>
    </cfRule>
  </conditionalFormatting>
  <conditionalFormatting sqref="BV138:BY138">
    <cfRule type="iconSet" priority="79">
      <iconSet iconSet="3Symbols" showValue="0">
        <cfvo type="percent" val="0"/>
        <cfvo type="num" val="0"/>
        <cfvo type="num" val="1"/>
      </iconSet>
    </cfRule>
  </conditionalFormatting>
  <dataValidations count="1">
    <dataValidation type="list" allowBlank="1" showInputMessage="1" showErrorMessage="1" sqref="B7:B318">
      <formula1>"Geração,Transmissão,Distribuição,Holding"</formula1>
    </dataValidation>
  </dataValidations>
  <pageMargins left="0.51181102362204722" right="0.51181102362204722" top="0.59055118110236227" bottom="0.59055118110236227" header="0.31496062992125984" footer="0.31496062992125984"/>
  <pageSetup paperSize="8" scale="32" fitToHeight="2" orientation="landscape" r:id="rId1"/>
  <legacyDrawing r:id="rId2"/>
  <extLst>
    <ext xmlns:x14="http://schemas.microsoft.com/office/spreadsheetml/2009/9/main" uri="{78C0D931-6437-407d-A8EE-F0AAD7539E65}">
      <x14:conditionalFormattings>
        <x14:conditionalFormatting xmlns:xm="http://schemas.microsoft.com/office/excel/2006/main">
          <x14:cfRule type="dataBar" id="{0B1B327A-732D-4403-9AE3-D498B64C26FB}">
            <x14:dataBar minLength="0" maxLength="100">
              <x14:cfvo type="num">
                <xm:f>0</xm:f>
              </x14:cfvo>
              <x14:cfvo type="num">
                <xm:f>100</xm:f>
              </x14:cfvo>
              <x14:negativeFillColor rgb="FFFF0000"/>
              <x14:axisColor rgb="FF000000"/>
            </x14:dataBar>
          </x14:cfRule>
          <xm:sqref>CA85:CA86 CA83 BZ88:CA120 BZ8:CA82 BZ122:CA318</xm:sqref>
        </x14:conditionalFormatting>
        <x14:conditionalFormatting xmlns:xm="http://schemas.microsoft.com/office/excel/2006/main">
          <x14:cfRule type="dataBar" id="{72C3A3D5-CC6F-4724-AF5A-FC68B703F59A}">
            <x14:dataBar minLength="0" maxLength="100">
              <x14:cfvo type="num">
                <xm:f>0</xm:f>
              </x14:cfvo>
              <x14:cfvo type="num">
                <xm:f>100</xm:f>
              </x14:cfvo>
              <x14:negativeFillColor rgb="FFFF0000"/>
              <x14:axisColor rgb="FF000000"/>
            </x14:dataBar>
          </x14:cfRule>
          <xm:sqref>BZ7:CA7</xm:sqref>
        </x14:conditionalFormatting>
        <x14:conditionalFormatting xmlns:xm="http://schemas.microsoft.com/office/excel/2006/main">
          <x14:cfRule type="dataBar" id="{28DA98FC-1866-4E55-AB9A-6A6D782E76C7}">
            <x14:dataBar minLength="0" maxLength="100">
              <x14:cfvo type="num">
                <xm:f>0</xm:f>
              </x14:cfvo>
              <x14:cfvo type="num">
                <xm:f>100</xm:f>
              </x14:cfvo>
              <x14:negativeFillColor rgb="FFFF0000"/>
              <x14:axisColor rgb="FF000000"/>
            </x14:dataBar>
          </x14:cfRule>
          <xm:sqref>CA84</xm:sqref>
        </x14:conditionalFormatting>
        <x14:conditionalFormatting xmlns:xm="http://schemas.microsoft.com/office/excel/2006/main">
          <x14:cfRule type="dataBar" id="{BE85F429-5AEF-4B04-A15E-0E18A18C4B2A}">
            <x14:dataBar minLength="0" maxLength="100">
              <x14:cfvo type="num">
                <xm:f>0</xm:f>
              </x14:cfvo>
              <x14:cfvo type="num">
                <xm:f>100</xm:f>
              </x14:cfvo>
              <x14:negativeFillColor rgb="FFFF0000"/>
              <x14:axisColor rgb="FF000000"/>
            </x14:dataBar>
          </x14:cfRule>
          <xm:sqref>BZ87:CA87</xm:sqref>
        </x14:conditionalFormatting>
        <x14:conditionalFormatting xmlns:xm="http://schemas.microsoft.com/office/excel/2006/main">
          <x14:cfRule type="dataBar" id="{1CE02FF0-A976-43B3-9624-1657D56600BA}">
            <x14:dataBar minLength="0" maxLength="100">
              <x14:cfvo type="num">
                <xm:f>0</xm:f>
              </x14:cfvo>
              <x14:cfvo type="num">
                <xm:f>100</xm:f>
              </x14:cfvo>
              <x14:negativeFillColor rgb="FFFF0000"/>
              <x14:axisColor rgb="FF000000"/>
            </x14:dataBar>
          </x14:cfRule>
          <xm:sqref>BZ83:BZ86</xm:sqref>
        </x14:conditionalFormatting>
        <x14:conditionalFormatting xmlns:xm="http://schemas.microsoft.com/office/excel/2006/main">
          <x14:cfRule type="dataBar" id="{B227F5A8-6976-49E5-9EE9-97E26CE4D334}">
            <x14:dataBar minLength="0" maxLength="100">
              <x14:cfvo type="num">
                <xm:f>0</xm:f>
              </x14:cfvo>
              <x14:cfvo type="num">
                <xm:f>100</xm:f>
              </x14:cfvo>
              <x14:negativeFillColor rgb="FFFF0000"/>
              <x14:axisColor rgb="FF000000"/>
            </x14:dataBar>
          </x14:cfRule>
          <xm:sqref>BZ121:CA121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98E0"/>
    <pageSetUpPr fitToPage="1"/>
  </sheetPr>
  <dimension ref="A1:BF341"/>
  <sheetViews>
    <sheetView showGridLines="0" zoomScale="85" zoomScaleNormal="85" workbookViewId="0">
      <pane xSplit="9" ySplit="6" topLeftCell="AV243" activePane="bottomRight" state="frozen"/>
      <selection pane="topRight" activeCell="J1" sqref="J1"/>
      <selection pane="bottomLeft" activeCell="A7" sqref="A7"/>
      <selection pane="bottomRight" activeCell="BA274" sqref="BA274"/>
    </sheetView>
  </sheetViews>
  <sheetFormatPr defaultRowHeight="15" outlineLevelCol="1" x14ac:dyDescent="0.25"/>
  <cols>
    <col min="1" max="1" width="2.140625" style="24" customWidth="1"/>
    <col min="2" max="2" width="4.28515625" style="1" customWidth="1"/>
    <col min="3" max="3" width="8.42578125" style="1" customWidth="1"/>
    <col min="4" max="4" width="5.42578125" style="1" customWidth="1"/>
    <col min="5" max="5" width="5.140625" style="1" customWidth="1"/>
    <col min="6" max="6" width="13.85546875" style="1" customWidth="1"/>
    <col min="7" max="7" width="8.28515625" style="1" customWidth="1"/>
    <col min="8" max="8" width="14.42578125" style="1" customWidth="1"/>
    <col min="9" max="9" width="45.7109375" style="35" customWidth="1"/>
    <col min="10" max="10" width="3.42578125" style="35" hidden="1" customWidth="1"/>
    <col min="11" max="11" width="2.7109375" style="35" hidden="1" customWidth="1"/>
    <col min="12" max="12" width="18.28515625" style="35" hidden="1" customWidth="1"/>
    <col min="13" max="13" width="10.140625" style="1" customWidth="1" outlineLevel="1"/>
    <col min="14" max="19" width="9" style="1" customWidth="1" outlineLevel="1"/>
    <col min="20" max="20" width="10.28515625" style="1" customWidth="1" outlineLevel="1"/>
    <col min="21" max="21" width="10" style="111" customWidth="1"/>
    <col min="22" max="33" width="10" style="203" customWidth="1" outlineLevel="1"/>
    <col min="34" max="34" width="10" style="203" customWidth="1"/>
    <col min="35" max="58" width="9.140625" style="394"/>
  </cols>
  <sheetData>
    <row r="1" spans="1:58" s="1" customFormat="1" ht="7.5" customHeight="1" x14ac:dyDescent="0.2">
      <c r="A1" s="24" t="s">
        <v>52</v>
      </c>
      <c r="I1" s="35">
        <v>1</v>
      </c>
      <c r="J1" s="35">
        <v>2</v>
      </c>
      <c r="K1" s="35">
        <v>4</v>
      </c>
      <c r="L1" s="35"/>
      <c r="M1" s="35">
        <v>12</v>
      </c>
      <c r="N1" s="35">
        <v>13</v>
      </c>
      <c r="O1" s="35">
        <v>14</v>
      </c>
      <c r="P1" s="35">
        <v>15</v>
      </c>
      <c r="Q1" s="35">
        <v>16</v>
      </c>
      <c r="R1" s="35">
        <v>17</v>
      </c>
      <c r="S1" s="35">
        <v>18</v>
      </c>
      <c r="T1" s="35">
        <v>19</v>
      </c>
      <c r="U1" s="110">
        <v>20</v>
      </c>
      <c r="V1" s="319">
        <v>21</v>
      </c>
      <c r="W1" s="319">
        <v>22</v>
      </c>
      <c r="X1" s="319">
        <v>23</v>
      </c>
      <c r="Y1" s="319">
        <v>24</v>
      </c>
      <c r="Z1" s="319">
        <v>25</v>
      </c>
      <c r="AA1" s="319">
        <v>26</v>
      </c>
      <c r="AB1" s="319">
        <v>27</v>
      </c>
      <c r="AC1" s="319">
        <v>28</v>
      </c>
      <c r="AD1" s="319">
        <v>29</v>
      </c>
      <c r="AE1" s="319">
        <v>30</v>
      </c>
      <c r="AF1" s="319">
        <v>31</v>
      </c>
      <c r="AG1" s="319">
        <v>32</v>
      </c>
      <c r="AH1" s="319">
        <v>33</v>
      </c>
      <c r="AI1" s="24"/>
      <c r="AJ1" s="24"/>
      <c r="AK1" s="24"/>
      <c r="AL1" s="24"/>
      <c r="AM1" s="24"/>
      <c r="AN1" s="24"/>
      <c r="AO1" s="24"/>
      <c r="AP1" s="24"/>
      <c r="AQ1" s="24"/>
      <c r="AR1" s="24"/>
      <c r="AS1" s="24"/>
      <c r="AT1" s="24"/>
      <c r="AU1" s="24"/>
      <c r="AV1" s="24"/>
      <c r="AW1" s="24"/>
      <c r="AX1" s="24"/>
      <c r="AY1" s="24"/>
      <c r="AZ1" s="24"/>
      <c r="BA1" s="24"/>
      <c r="BB1" s="24"/>
      <c r="BC1" s="24"/>
      <c r="BD1" s="24"/>
      <c r="BE1" s="24"/>
      <c r="BF1" s="24"/>
    </row>
    <row r="2" spans="1:58" s="1" customFormat="1" ht="20.25" x14ac:dyDescent="0.3">
      <c r="A2" s="24"/>
      <c r="B2" s="79" t="s">
        <v>26</v>
      </c>
      <c r="C2" s="24"/>
      <c r="I2" s="35"/>
      <c r="J2" s="35"/>
      <c r="K2" s="35"/>
      <c r="L2" s="35"/>
      <c r="U2" s="111"/>
      <c r="V2" s="203"/>
      <c r="W2" s="203"/>
      <c r="X2" s="203"/>
      <c r="Y2" s="203"/>
      <c r="Z2" s="203"/>
      <c r="AA2" s="203"/>
      <c r="AB2" s="203"/>
      <c r="AC2" s="203"/>
      <c r="AD2" s="203"/>
      <c r="AE2" s="203"/>
      <c r="AF2" s="203"/>
      <c r="AG2" s="203"/>
      <c r="AH2" s="203"/>
      <c r="AI2" s="24"/>
      <c r="AJ2" s="24"/>
      <c r="AK2" s="24"/>
      <c r="AL2" s="24"/>
      <c r="AM2" s="24"/>
      <c r="AN2" s="24"/>
      <c r="AO2" s="24"/>
      <c r="AP2" s="24"/>
      <c r="AQ2" s="24"/>
      <c r="AR2" s="24"/>
      <c r="AS2" s="24"/>
      <c r="AT2" s="24"/>
      <c r="AU2" s="24"/>
      <c r="AV2" s="24"/>
      <c r="AW2" s="24"/>
      <c r="AX2" s="24"/>
      <c r="AY2" s="24"/>
      <c r="AZ2" s="24"/>
      <c r="BA2" s="24"/>
      <c r="BB2" s="24"/>
      <c r="BC2" s="24"/>
      <c r="BD2" s="24"/>
      <c r="BE2" s="24"/>
      <c r="BF2" s="24"/>
    </row>
    <row r="3" spans="1:58" s="1" customFormat="1" ht="3" customHeight="1" thickBot="1" x14ac:dyDescent="0.25">
      <c r="A3" s="24"/>
      <c r="I3" s="35"/>
      <c r="J3" s="35"/>
      <c r="K3" s="35"/>
      <c r="L3" s="35"/>
      <c r="U3" s="111"/>
      <c r="V3" s="203"/>
      <c r="W3" s="203"/>
      <c r="X3" s="203"/>
      <c r="Y3" s="203"/>
      <c r="Z3" s="203"/>
      <c r="AA3" s="203"/>
      <c r="AB3" s="203"/>
      <c r="AC3" s="203"/>
      <c r="AD3" s="203"/>
      <c r="AE3" s="203"/>
      <c r="AF3" s="203"/>
      <c r="AG3" s="203"/>
      <c r="AH3" s="203"/>
      <c r="AI3" s="24"/>
      <c r="AJ3" s="24"/>
      <c r="AK3" s="24"/>
      <c r="AL3" s="24"/>
      <c r="AM3" s="24"/>
      <c r="AN3" s="24"/>
      <c r="AO3" s="24"/>
      <c r="AP3" s="24"/>
      <c r="AQ3" s="24"/>
      <c r="AR3" s="24"/>
      <c r="AS3" s="24"/>
      <c r="AT3" s="24"/>
      <c r="AU3" s="24"/>
      <c r="AV3" s="24"/>
      <c r="AW3" s="24"/>
      <c r="AX3" s="24"/>
      <c r="AY3" s="24"/>
      <c r="AZ3" s="24"/>
      <c r="BA3" s="24"/>
      <c r="BB3" s="24"/>
      <c r="BC3" s="24"/>
      <c r="BD3" s="24"/>
      <c r="BE3" s="24"/>
      <c r="BF3" s="24"/>
    </row>
    <row r="4" spans="1:58" s="1" customFormat="1" ht="18.75" customHeight="1" thickBot="1" x14ac:dyDescent="0.25">
      <c r="A4" s="24"/>
      <c r="B4" s="6" t="s">
        <v>569</v>
      </c>
      <c r="I4" s="35"/>
      <c r="J4" s="35"/>
      <c r="K4" s="35"/>
      <c r="L4" s="35"/>
      <c r="M4" s="511"/>
      <c r="N4" s="511"/>
      <c r="O4" s="511"/>
      <c r="P4" s="511"/>
      <c r="Q4" s="511"/>
      <c r="R4" s="511"/>
      <c r="S4" s="511"/>
      <c r="T4" s="511"/>
      <c r="U4" s="512"/>
      <c r="V4" s="511"/>
      <c r="W4" s="511"/>
      <c r="X4" s="511"/>
      <c r="Y4" s="511"/>
      <c r="Z4" s="511"/>
      <c r="AA4" s="511"/>
      <c r="AB4" s="511"/>
      <c r="AC4" s="511"/>
      <c r="AD4" s="511"/>
      <c r="AE4" s="511"/>
      <c r="AF4" s="511"/>
      <c r="AG4" s="511"/>
      <c r="AH4" s="513"/>
      <c r="AI4" s="24"/>
      <c r="AJ4" s="24"/>
      <c r="AK4" s="24"/>
      <c r="AL4" s="24"/>
      <c r="AM4" s="24"/>
      <c r="AN4" s="24"/>
      <c r="AO4" s="24"/>
      <c r="AP4" s="24"/>
      <c r="AQ4" s="24"/>
      <c r="AR4" s="24"/>
      <c r="AS4" s="24"/>
      <c r="AT4" s="24"/>
      <c r="AU4" s="24"/>
      <c r="AV4" s="24"/>
      <c r="AW4" s="24"/>
      <c r="AX4" s="24"/>
      <c r="AY4" s="24"/>
      <c r="AZ4" s="24"/>
      <c r="BA4" s="24"/>
      <c r="BB4" s="24"/>
      <c r="BC4" s="24"/>
      <c r="BD4" s="24"/>
      <c r="BE4" s="24"/>
      <c r="BF4" s="24"/>
    </row>
    <row r="5" spans="1:58" s="10" customFormat="1" ht="21.75" hidden="1" customHeight="1" x14ac:dyDescent="0.25">
      <c r="A5" s="201"/>
      <c r="B5" s="26"/>
      <c r="C5" s="26"/>
      <c r="D5" s="26"/>
      <c r="E5" s="26"/>
      <c r="F5" s="26"/>
      <c r="G5" s="26"/>
      <c r="H5" s="26"/>
      <c r="I5" s="26"/>
      <c r="J5" s="26"/>
      <c r="K5" s="30"/>
      <c r="L5" s="32"/>
      <c r="M5" s="501"/>
      <c r="N5" s="501"/>
      <c r="O5" s="501"/>
      <c r="P5" s="501"/>
      <c r="Q5" s="501"/>
      <c r="R5" s="501"/>
      <c r="S5" s="501"/>
      <c r="T5" s="501"/>
      <c r="U5" s="502"/>
      <c r="V5" s="409">
        <v>2019</v>
      </c>
      <c r="W5" s="410"/>
      <c r="X5" s="410"/>
      <c r="Y5" s="410"/>
      <c r="Z5" s="410"/>
      <c r="AA5" s="410"/>
      <c r="AB5" s="410"/>
      <c r="AC5" s="410"/>
      <c r="AD5" s="410"/>
      <c r="AE5" s="410"/>
      <c r="AF5" s="410"/>
      <c r="AG5" s="410"/>
      <c r="AH5" s="410">
        <v>2019</v>
      </c>
      <c r="AI5" s="201"/>
      <c r="AJ5" s="201"/>
      <c r="AK5" s="201"/>
      <c r="AL5" s="201"/>
      <c r="AM5" s="201"/>
      <c r="AN5" s="201"/>
      <c r="AO5" s="201"/>
      <c r="AP5" s="201"/>
      <c r="AQ5" s="201"/>
      <c r="AR5" s="201"/>
      <c r="AS5" s="201"/>
      <c r="AT5" s="201"/>
      <c r="AU5" s="201"/>
      <c r="AV5" s="201"/>
      <c r="AW5" s="201"/>
      <c r="AX5" s="201"/>
      <c r="AY5" s="201"/>
      <c r="AZ5" s="201"/>
      <c r="BA5" s="201"/>
      <c r="BB5" s="201"/>
      <c r="BC5" s="201"/>
      <c r="BD5" s="201"/>
      <c r="BE5" s="201"/>
      <c r="BF5" s="201"/>
    </row>
    <row r="6" spans="1:58" s="35" customFormat="1" ht="26.25" customHeight="1" x14ac:dyDescent="0.2">
      <c r="A6" s="314"/>
      <c r="B6" s="27" t="s">
        <v>0</v>
      </c>
      <c r="C6" s="27" t="s">
        <v>1</v>
      </c>
      <c r="D6" s="31" t="s">
        <v>16</v>
      </c>
      <c r="E6" s="31" t="s">
        <v>17</v>
      </c>
      <c r="F6" s="31" t="s">
        <v>53</v>
      </c>
      <c r="G6" s="31" t="s">
        <v>562</v>
      </c>
      <c r="H6" s="31" t="s">
        <v>1155</v>
      </c>
      <c r="I6" s="27" t="s">
        <v>20</v>
      </c>
      <c r="J6" s="27" t="s">
        <v>2</v>
      </c>
      <c r="K6" s="32" t="s">
        <v>24</v>
      </c>
      <c r="L6" s="337" t="s">
        <v>1731</v>
      </c>
      <c r="M6" s="315">
        <v>43221</v>
      </c>
      <c r="N6" s="315">
        <v>43252</v>
      </c>
      <c r="O6" s="315">
        <v>43282</v>
      </c>
      <c r="P6" s="315">
        <v>43313</v>
      </c>
      <c r="Q6" s="315">
        <v>43344</v>
      </c>
      <c r="R6" s="315">
        <v>43374</v>
      </c>
      <c r="S6" s="315">
        <v>43405</v>
      </c>
      <c r="T6" s="315">
        <v>43435</v>
      </c>
      <c r="U6" s="322" t="s">
        <v>451</v>
      </c>
      <c r="V6" s="315">
        <v>43466</v>
      </c>
      <c r="W6" s="315">
        <v>43497</v>
      </c>
      <c r="X6" s="315">
        <v>43525</v>
      </c>
      <c r="Y6" s="315">
        <v>43556</v>
      </c>
      <c r="Z6" s="315">
        <v>43586</v>
      </c>
      <c r="AA6" s="315">
        <v>43617</v>
      </c>
      <c r="AB6" s="315">
        <v>43647</v>
      </c>
      <c r="AC6" s="315">
        <v>43678</v>
      </c>
      <c r="AD6" s="315">
        <v>43709</v>
      </c>
      <c r="AE6" s="315">
        <v>43739</v>
      </c>
      <c r="AF6" s="315">
        <v>43770</v>
      </c>
      <c r="AG6" s="315">
        <v>43800</v>
      </c>
      <c r="AH6" s="323" t="s">
        <v>452</v>
      </c>
      <c r="AI6" s="314"/>
      <c r="AJ6" s="314"/>
      <c r="AK6" s="314"/>
      <c r="AL6" s="314"/>
      <c r="AM6" s="314"/>
      <c r="AN6" s="314"/>
      <c r="AO6" s="314"/>
      <c r="AP6" s="314"/>
      <c r="AQ6" s="314"/>
      <c r="AR6" s="314"/>
      <c r="AS6" s="314"/>
      <c r="AT6" s="314"/>
      <c r="AU6" s="314"/>
      <c r="AV6" s="314"/>
      <c r="AW6" s="314"/>
      <c r="AX6" s="314"/>
      <c r="AY6" s="314"/>
      <c r="AZ6" s="314"/>
      <c r="BA6" s="314"/>
      <c r="BB6" s="314"/>
      <c r="BC6" s="314"/>
      <c r="BD6" s="314"/>
      <c r="BE6" s="314"/>
      <c r="BF6" s="314"/>
    </row>
    <row r="7" spans="1:58" ht="12.95" customHeight="1" x14ac:dyDescent="0.25">
      <c r="A7" s="202"/>
      <c r="B7" s="22" t="s">
        <v>54</v>
      </c>
      <c r="C7" s="34" t="s">
        <v>29</v>
      </c>
      <c r="D7" s="22" t="s">
        <v>1677</v>
      </c>
      <c r="E7" s="22" t="s">
        <v>65</v>
      </c>
      <c r="F7" s="25" t="s">
        <v>158</v>
      </c>
      <c r="G7" s="373" t="s">
        <v>565</v>
      </c>
      <c r="H7" s="37"/>
      <c r="I7" s="23" t="s">
        <v>677</v>
      </c>
      <c r="J7" s="23" t="s">
        <v>164</v>
      </c>
      <c r="K7" s="23" t="s">
        <v>165</v>
      </c>
      <c r="L7" s="23"/>
      <c r="M7" s="2">
        <v>0</v>
      </c>
      <c r="N7" s="2"/>
      <c r="O7" s="2"/>
      <c r="P7" s="2"/>
      <c r="Q7" s="2"/>
      <c r="R7" s="2"/>
      <c r="S7" s="2"/>
      <c r="T7" s="2"/>
      <c r="U7" s="116">
        <f>SUM(M7:T7)</f>
        <v>0</v>
      </c>
      <c r="V7" s="324">
        <v>0</v>
      </c>
      <c r="W7" s="324">
        <v>0</v>
      </c>
      <c r="X7" s="324">
        <v>0</v>
      </c>
      <c r="Y7" s="324">
        <v>0</v>
      </c>
      <c r="Z7" s="324">
        <v>0</v>
      </c>
      <c r="AA7" s="324">
        <v>0</v>
      </c>
      <c r="AB7" s="324">
        <v>0</v>
      </c>
      <c r="AC7" s="324">
        <v>0</v>
      </c>
      <c r="AD7" s="324">
        <v>0</v>
      </c>
      <c r="AE7" s="324">
        <v>0</v>
      </c>
      <c r="AF7" s="324">
        <v>0</v>
      </c>
      <c r="AG7" s="324">
        <v>0</v>
      </c>
      <c r="AH7" s="140">
        <f>SUM(V7:AG7)</f>
        <v>0</v>
      </c>
    </row>
    <row r="8" spans="1:58" ht="12.95" customHeight="1" x14ac:dyDescent="0.25">
      <c r="A8" s="202"/>
      <c r="B8" s="22" t="s">
        <v>54</v>
      </c>
      <c r="C8" s="34" t="s">
        <v>29</v>
      </c>
      <c r="D8" s="22" t="s">
        <v>1634</v>
      </c>
      <c r="E8" s="22" t="s">
        <v>65</v>
      </c>
      <c r="F8" s="22" t="s">
        <v>1635</v>
      </c>
      <c r="G8" s="373" t="s">
        <v>1636</v>
      </c>
      <c r="H8" s="37" t="s">
        <v>1637</v>
      </c>
      <c r="I8" s="23" t="s">
        <v>1638</v>
      </c>
      <c r="J8" s="23" t="s">
        <v>112</v>
      </c>
      <c r="K8" s="23" t="s">
        <v>113</v>
      </c>
      <c r="L8" s="23"/>
      <c r="M8" s="2">
        <v>0</v>
      </c>
      <c r="N8" s="2">
        <v>0</v>
      </c>
      <c r="O8" s="2">
        <v>0</v>
      </c>
      <c r="P8" s="2">
        <v>0</v>
      </c>
      <c r="Q8" s="2">
        <v>0</v>
      </c>
      <c r="R8" s="2"/>
      <c r="S8" s="2">
        <v>0</v>
      </c>
      <c r="T8" s="2">
        <v>51.4</v>
      </c>
      <c r="U8" s="116">
        <f t="shared" ref="U8:U71" si="0">SUM(M8:T8)</f>
        <v>51.4</v>
      </c>
      <c r="V8" s="324">
        <v>0</v>
      </c>
      <c r="W8" s="324">
        <v>0</v>
      </c>
      <c r="X8" s="324">
        <v>0</v>
      </c>
      <c r="Y8" s="324">
        <v>0</v>
      </c>
      <c r="Z8" s="324">
        <v>0</v>
      </c>
      <c r="AA8" s="324">
        <v>0</v>
      </c>
      <c r="AB8" s="324">
        <v>0</v>
      </c>
      <c r="AC8" s="324"/>
      <c r="AD8" s="324">
        <v>0</v>
      </c>
      <c r="AE8" s="324">
        <v>0</v>
      </c>
      <c r="AF8" s="324">
        <v>0</v>
      </c>
      <c r="AG8" s="324">
        <v>0</v>
      </c>
      <c r="AH8" s="140">
        <f t="shared" ref="AH8:AH71" si="1">SUM(V8:AG8)</f>
        <v>0</v>
      </c>
    </row>
    <row r="9" spans="1:58" ht="12.75" customHeight="1" x14ac:dyDescent="0.25">
      <c r="A9" s="202"/>
      <c r="B9" s="22" t="s">
        <v>54</v>
      </c>
      <c r="C9" s="34" t="s">
        <v>29</v>
      </c>
      <c r="D9" s="22" t="s">
        <v>58</v>
      </c>
      <c r="E9" s="22" t="s">
        <v>56</v>
      </c>
      <c r="F9" s="25" t="s">
        <v>292</v>
      </c>
      <c r="G9" s="373" t="s">
        <v>565</v>
      </c>
      <c r="H9" s="37"/>
      <c r="I9" s="23" t="s">
        <v>1527</v>
      </c>
      <c r="J9" s="23" t="s">
        <v>1528</v>
      </c>
      <c r="K9" s="23" t="s">
        <v>1529</v>
      </c>
      <c r="L9" s="23"/>
      <c r="M9" s="2">
        <v>0</v>
      </c>
      <c r="N9" s="2"/>
      <c r="O9" s="2"/>
      <c r="P9" s="2"/>
      <c r="Q9" s="2"/>
      <c r="R9" s="2"/>
      <c r="S9" s="2"/>
      <c r="T9" s="2"/>
      <c r="U9" s="116">
        <f t="shared" si="0"/>
        <v>0</v>
      </c>
      <c r="V9" s="324"/>
      <c r="W9" s="324"/>
      <c r="X9" s="324"/>
      <c r="Y9" s="324"/>
      <c r="Z9" s="324"/>
      <c r="AA9" s="324"/>
      <c r="AB9" s="324"/>
      <c r="AC9" s="324">
        <v>55</v>
      </c>
      <c r="AD9" s="324"/>
      <c r="AE9" s="324"/>
      <c r="AF9" s="324"/>
      <c r="AG9" s="324"/>
      <c r="AH9" s="140">
        <f t="shared" si="1"/>
        <v>55</v>
      </c>
    </row>
    <row r="10" spans="1:58" ht="12.95" customHeight="1" x14ac:dyDescent="0.25">
      <c r="A10" s="202"/>
      <c r="B10" s="22" t="s">
        <v>54</v>
      </c>
      <c r="C10" s="34" t="s">
        <v>29</v>
      </c>
      <c r="D10" s="22" t="s">
        <v>58</v>
      </c>
      <c r="E10" s="22" t="s">
        <v>56</v>
      </c>
      <c r="F10" s="25" t="s">
        <v>292</v>
      </c>
      <c r="G10" s="373" t="s">
        <v>1530</v>
      </c>
      <c r="H10" s="37" t="s">
        <v>1531</v>
      </c>
      <c r="I10" s="393" t="s">
        <v>1540</v>
      </c>
      <c r="J10" s="23" t="s">
        <v>1528</v>
      </c>
      <c r="K10" s="23" t="s">
        <v>1529</v>
      </c>
      <c r="L10" s="23"/>
      <c r="M10" s="2">
        <v>0</v>
      </c>
      <c r="N10" s="2">
        <v>1.6000000238418579</v>
      </c>
      <c r="O10" s="2"/>
      <c r="P10" s="2">
        <v>128</v>
      </c>
      <c r="Q10" s="2"/>
      <c r="R10" s="2"/>
      <c r="S10" s="2"/>
      <c r="T10" s="2">
        <v>3.4541600000011385</v>
      </c>
      <c r="U10" s="116">
        <f t="shared" si="0"/>
        <v>133.054160023843</v>
      </c>
      <c r="V10" s="324"/>
      <c r="W10" s="324"/>
      <c r="X10" s="324"/>
      <c r="Y10" s="324"/>
      <c r="Z10" s="324"/>
      <c r="AA10" s="324"/>
      <c r="AB10" s="324"/>
      <c r="AC10" s="324"/>
      <c r="AD10" s="324"/>
      <c r="AE10" s="324"/>
      <c r="AF10" s="324"/>
      <c r="AG10" s="324"/>
      <c r="AH10" s="140">
        <f t="shared" si="1"/>
        <v>0</v>
      </c>
    </row>
    <row r="11" spans="1:58" ht="12.95" customHeight="1" x14ac:dyDescent="0.25">
      <c r="A11" s="202"/>
      <c r="B11" s="22" t="s">
        <v>54</v>
      </c>
      <c r="C11" s="34" t="s">
        <v>29</v>
      </c>
      <c r="D11" s="22" t="s">
        <v>58</v>
      </c>
      <c r="E11" s="22" t="s">
        <v>56</v>
      </c>
      <c r="F11" s="25" t="s">
        <v>292</v>
      </c>
      <c r="G11" s="373" t="s">
        <v>565</v>
      </c>
      <c r="H11" s="37"/>
      <c r="I11" s="23" t="s">
        <v>678</v>
      </c>
      <c r="J11" s="23" t="s">
        <v>469</v>
      </c>
      <c r="K11" s="23" t="s">
        <v>470</v>
      </c>
      <c r="L11" s="23"/>
      <c r="M11" s="2">
        <v>0</v>
      </c>
      <c r="N11" s="2"/>
      <c r="O11" s="2"/>
      <c r="P11" s="2"/>
      <c r="Q11" s="2"/>
      <c r="R11" s="2"/>
      <c r="S11" s="2"/>
      <c r="T11" s="2">
        <v>94</v>
      </c>
      <c r="U11" s="116">
        <f t="shared" si="0"/>
        <v>94</v>
      </c>
      <c r="V11" s="324"/>
      <c r="W11" s="324"/>
      <c r="X11" s="324"/>
      <c r="Y11" s="324"/>
      <c r="Z11" s="324"/>
      <c r="AA11" s="324"/>
      <c r="AB11" s="324"/>
      <c r="AC11" s="324"/>
      <c r="AD11" s="324"/>
      <c r="AE11" s="324"/>
      <c r="AF11" s="324"/>
      <c r="AG11" s="324"/>
      <c r="AH11" s="140">
        <f t="shared" si="1"/>
        <v>0</v>
      </c>
    </row>
    <row r="12" spans="1:58" ht="12.95" customHeight="1" x14ac:dyDescent="0.25">
      <c r="A12" s="202"/>
      <c r="B12" s="22" t="s">
        <v>54</v>
      </c>
      <c r="C12" s="34" t="s">
        <v>29</v>
      </c>
      <c r="D12" s="22" t="s">
        <v>58</v>
      </c>
      <c r="E12" s="22" t="s">
        <v>56</v>
      </c>
      <c r="F12" s="25" t="s">
        <v>1034</v>
      </c>
      <c r="G12" s="373" t="s">
        <v>565</v>
      </c>
      <c r="H12" s="37"/>
      <c r="I12" s="23" t="s">
        <v>1081</v>
      </c>
      <c r="J12" s="23" t="s">
        <v>882</v>
      </c>
      <c r="K12" s="23" t="s">
        <v>450</v>
      </c>
      <c r="L12" s="23"/>
      <c r="M12" s="2">
        <v>0</v>
      </c>
      <c r="N12" s="2"/>
      <c r="O12" s="2"/>
      <c r="P12" s="2"/>
      <c r="Q12" s="2"/>
      <c r="R12" s="2"/>
      <c r="S12" s="2"/>
      <c r="T12" s="2"/>
      <c r="U12" s="116">
        <f t="shared" si="0"/>
        <v>0</v>
      </c>
      <c r="V12" s="324"/>
      <c r="W12" s="324"/>
      <c r="X12" s="324"/>
      <c r="Y12" s="324"/>
      <c r="Z12" s="324"/>
      <c r="AA12" s="324"/>
      <c r="AB12" s="324"/>
      <c r="AC12" s="324"/>
      <c r="AD12" s="324"/>
      <c r="AE12" s="324"/>
      <c r="AF12" s="324"/>
      <c r="AG12" s="324"/>
      <c r="AH12" s="140">
        <f t="shared" si="1"/>
        <v>0</v>
      </c>
    </row>
    <row r="13" spans="1:58" ht="12.95" customHeight="1" x14ac:dyDescent="0.25">
      <c r="A13" s="202"/>
      <c r="B13" s="22" t="s">
        <v>54</v>
      </c>
      <c r="C13" s="34" t="s">
        <v>29</v>
      </c>
      <c r="D13" s="22" t="s">
        <v>58</v>
      </c>
      <c r="E13" s="22" t="s">
        <v>56</v>
      </c>
      <c r="F13" s="25" t="s">
        <v>292</v>
      </c>
      <c r="G13" s="373" t="s">
        <v>565</v>
      </c>
      <c r="H13" s="37"/>
      <c r="I13" s="23" t="s">
        <v>300</v>
      </c>
      <c r="J13" s="23" t="s">
        <v>645</v>
      </c>
      <c r="K13" s="23" t="s">
        <v>646</v>
      </c>
      <c r="L13" s="23" t="s">
        <v>1769</v>
      </c>
      <c r="M13" s="2">
        <v>0</v>
      </c>
      <c r="N13" s="2"/>
      <c r="O13" s="2"/>
      <c r="P13" s="2"/>
      <c r="Q13" s="2"/>
      <c r="R13" s="2"/>
      <c r="S13" s="2"/>
      <c r="T13" s="2">
        <v>60</v>
      </c>
      <c r="U13" s="116">
        <f t="shared" si="0"/>
        <v>60</v>
      </c>
      <c r="V13" s="324"/>
      <c r="W13" s="324"/>
      <c r="X13" s="324"/>
      <c r="Y13" s="324"/>
      <c r="Z13" s="324"/>
      <c r="AA13" s="324"/>
      <c r="AB13" s="324"/>
      <c r="AC13" s="324"/>
      <c r="AD13" s="324">
        <v>140</v>
      </c>
      <c r="AE13" s="324"/>
      <c r="AF13" s="324"/>
      <c r="AG13" s="324"/>
      <c r="AH13" s="140">
        <f t="shared" si="1"/>
        <v>140</v>
      </c>
    </row>
    <row r="14" spans="1:58" ht="12.95" customHeight="1" x14ac:dyDescent="0.25">
      <c r="A14" s="202"/>
      <c r="B14" s="22" t="s">
        <v>54</v>
      </c>
      <c r="C14" s="34" t="s">
        <v>29</v>
      </c>
      <c r="D14" s="22" t="s">
        <v>58</v>
      </c>
      <c r="E14" s="22" t="s">
        <v>56</v>
      </c>
      <c r="F14" s="25" t="s">
        <v>292</v>
      </c>
      <c r="G14" s="373" t="s">
        <v>565</v>
      </c>
      <c r="H14" s="37"/>
      <c r="I14" s="23" t="s">
        <v>479</v>
      </c>
      <c r="J14" s="23" t="s">
        <v>480</v>
      </c>
      <c r="K14" s="23" t="s">
        <v>481</v>
      </c>
      <c r="L14" s="23" t="s">
        <v>1770</v>
      </c>
      <c r="M14" s="2">
        <v>0</v>
      </c>
      <c r="N14" s="2"/>
      <c r="O14" s="2"/>
      <c r="P14" s="2"/>
      <c r="Q14" s="2"/>
      <c r="R14" s="2"/>
      <c r="S14" s="2">
        <v>62</v>
      </c>
      <c r="T14" s="2"/>
      <c r="U14" s="116">
        <f t="shared" si="0"/>
        <v>62</v>
      </c>
      <c r="V14" s="324"/>
      <c r="W14" s="324"/>
      <c r="X14" s="324"/>
      <c r="Y14" s="324"/>
      <c r="Z14" s="324">
        <v>21</v>
      </c>
      <c r="AA14" s="324"/>
      <c r="AB14" s="324"/>
      <c r="AC14" s="324"/>
      <c r="AD14" s="324"/>
      <c r="AE14" s="324">
        <v>44</v>
      </c>
      <c r="AF14" s="324"/>
      <c r="AG14" s="324"/>
      <c r="AH14" s="140">
        <f t="shared" si="1"/>
        <v>65</v>
      </c>
    </row>
    <row r="15" spans="1:58" ht="12.95" customHeight="1" x14ac:dyDescent="0.25">
      <c r="A15" s="202"/>
      <c r="B15" s="22" t="s">
        <v>54</v>
      </c>
      <c r="C15" s="34" t="s">
        <v>29</v>
      </c>
      <c r="D15" s="22" t="s">
        <v>1677</v>
      </c>
      <c r="E15" s="22" t="s">
        <v>65</v>
      </c>
      <c r="F15" s="25" t="s">
        <v>158</v>
      </c>
      <c r="G15" s="373" t="s">
        <v>565</v>
      </c>
      <c r="H15" s="37"/>
      <c r="I15" s="23" t="s">
        <v>167</v>
      </c>
      <c r="J15" s="23" t="s">
        <v>168</v>
      </c>
      <c r="K15" s="23" t="s">
        <v>166</v>
      </c>
      <c r="L15" s="23"/>
      <c r="M15" s="2">
        <v>0</v>
      </c>
      <c r="N15" s="2"/>
      <c r="O15" s="2"/>
      <c r="P15" s="2"/>
      <c r="Q15" s="2"/>
      <c r="R15" s="2"/>
      <c r="S15" s="2"/>
      <c r="T15" s="2"/>
      <c r="U15" s="116">
        <f t="shared" si="0"/>
        <v>0</v>
      </c>
      <c r="V15" s="324">
        <v>0</v>
      </c>
      <c r="W15" s="324">
        <v>0</v>
      </c>
      <c r="X15" s="324">
        <v>0</v>
      </c>
      <c r="Y15" s="324">
        <v>0</v>
      </c>
      <c r="Z15" s="324">
        <v>0</v>
      </c>
      <c r="AA15" s="324">
        <v>0</v>
      </c>
      <c r="AB15" s="324">
        <v>0</v>
      </c>
      <c r="AC15" s="324">
        <v>0</v>
      </c>
      <c r="AD15" s="324">
        <v>0</v>
      </c>
      <c r="AE15" s="324">
        <v>0</v>
      </c>
      <c r="AF15" s="324">
        <v>0</v>
      </c>
      <c r="AG15" s="324"/>
      <c r="AH15" s="140">
        <f t="shared" si="1"/>
        <v>0</v>
      </c>
    </row>
    <row r="16" spans="1:58" ht="12.95" customHeight="1" x14ac:dyDescent="0.25">
      <c r="A16" s="202"/>
      <c r="B16" s="22" t="s">
        <v>54</v>
      </c>
      <c r="C16" s="34" t="s">
        <v>29</v>
      </c>
      <c r="D16" s="22" t="s">
        <v>55</v>
      </c>
      <c r="E16" s="22" t="s">
        <v>56</v>
      </c>
      <c r="F16" s="25" t="s">
        <v>613</v>
      </c>
      <c r="G16" s="373" t="s">
        <v>565</v>
      </c>
      <c r="H16" s="37"/>
      <c r="I16" s="23" t="s">
        <v>614</v>
      </c>
      <c r="J16" s="23" t="s">
        <v>82</v>
      </c>
      <c r="K16" s="23" t="s">
        <v>615</v>
      </c>
      <c r="L16" s="23" t="s">
        <v>1755</v>
      </c>
      <c r="M16" s="2">
        <v>0</v>
      </c>
      <c r="N16" s="2"/>
      <c r="O16" s="2"/>
      <c r="P16" s="2"/>
      <c r="Q16" s="2"/>
      <c r="R16" s="2"/>
      <c r="S16" s="2"/>
      <c r="T16" s="2">
        <v>50</v>
      </c>
      <c r="U16" s="116">
        <f t="shared" si="0"/>
        <v>50</v>
      </c>
      <c r="V16" s="324"/>
      <c r="W16" s="324"/>
      <c r="X16" s="324"/>
      <c r="Y16" s="324"/>
      <c r="Z16" s="324"/>
      <c r="AA16" s="324"/>
      <c r="AB16" s="324">
        <v>94.416799999999995</v>
      </c>
      <c r="AC16" s="324"/>
      <c r="AD16" s="324"/>
      <c r="AE16" s="324"/>
      <c r="AF16" s="324"/>
      <c r="AG16" s="324">
        <v>158.5</v>
      </c>
      <c r="AH16" s="140">
        <f t="shared" si="1"/>
        <v>252.91679999999999</v>
      </c>
    </row>
    <row r="17" spans="1:34" ht="12.95" customHeight="1" x14ac:dyDescent="0.25">
      <c r="A17" s="202"/>
      <c r="B17" s="22" t="s">
        <v>54</v>
      </c>
      <c r="C17" s="34" t="s">
        <v>29</v>
      </c>
      <c r="D17" s="22" t="s">
        <v>58</v>
      </c>
      <c r="E17" s="22" t="s">
        <v>56</v>
      </c>
      <c r="F17" s="25" t="s">
        <v>1040</v>
      </c>
      <c r="G17" s="373" t="s">
        <v>565</v>
      </c>
      <c r="H17" s="37"/>
      <c r="I17" s="23" t="s">
        <v>850</v>
      </c>
      <c r="J17" s="23" t="s">
        <v>851</v>
      </c>
      <c r="K17" s="23" t="s">
        <v>852</v>
      </c>
      <c r="L17" s="23"/>
      <c r="M17" s="2">
        <v>0</v>
      </c>
      <c r="N17" s="2"/>
      <c r="O17" s="2"/>
      <c r="P17" s="2"/>
      <c r="Q17" s="2"/>
      <c r="R17" s="2"/>
      <c r="S17" s="2"/>
      <c r="T17" s="2"/>
      <c r="U17" s="116">
        <f t="shared" si="0"/>
        <v>0</v>
      </c>
      <c r="V17" s="324"/>
      <c r="W17" s="324"/>
      <c r="X17" s="324"/>
      <c r="Y17" s="324"/>
      <c r="Z17" s="324"/>
      <c r="AA17" s="324"/>
      <c r="AB17" s="324"/>
      <c r="AC17" s="324"/>
      <c r="AD17" s="324"/>
      <c r="AE17" s="324"/>
      <c r="AF17" s="324"/>
      <c r="AG17" s="324"/>
      <c r="AH17" s="140">
        <f t="shared" si="1"/>
        <v>0</v>
      </c>
    </row>
    <row r="18" spans="1:34" ht="12.95" customHeight="1" x14ac:dyDescent="0.25">
      <c r="A18" s="202"/>
      <c r="B18" s="22" t="s">
        <v>54</v>
      </c>
      <c r="C18" s="34" t="s">
        <v>30</v>
      </c>
      <c r="D18" s="22" t="s">
        <v>318</v>
      </c>
      <c r="E18" s="22" t="s">
        <v>56</v>
      </c>
      <c r="F18" s="25" t="s">
        <v>1061</v>
      </c>
      <c r="G18" s="373" t="s">
        <v>565</v>
      </c>
      <c r="H18" s="37" t="s">
        <v>59</v>
      </c>
      <c r="I18" s="23" t="s">
        <v>750</v>
      </c>
      <c r="J18" s="23" t="s">
        <v>748</v>
      </c>
      <c r="K18" s="23" t="s">
        <v>749</v>
      </c>
      <c r="L18" s="23"/>
      <c r="M18" s="2">
        <v>0</v>
      </c>
      <c r="N18" s="2">
        <v>0</v>
      </c>
      <c r="O18" s="2">
        <v>0</v>
      </c>
      <c r="P18" s="2">
        <v>0</v>
      </c>
      <c r="Q18" s="2"/>
      <c r="R18" s="2">
        <v>29.25</v>
      </c>
      <c r="S18" s="2">
        <v>0</v>
      </c>
      <c r="T18" s="2">
        <v>0</v>
      </c>
      <c r="U18" s="116">
        <f t="shared" si="0"/>
        <v>29.25</v>
      </c>
      <c r="V18" s="324">
        <v>0</v>
      </c>
      <c r="W18" s="324">
        <v>0</v>
      </c>
      <c r="X18" s="324">
        <v>0</v>
      </c>
      <c r="Y18" s="324">
        <v>0</v>
      </c>
      <c r="Z18" s="324">
        <v>0</v>
      </c>
      <c r="AA18" s="324">
        <v>0</v>
      </c>
      <c r="AB18" s="324">
        <v>0</v>
      </c>
      <c r="AC18" s="324">
        <v>0</v>
      </c>
      <c r="AD18" s="324">
        <v>0</v>
      </c>
      <c r="AE18" s="324">
        <v>0</v>
      </c>
      <c r="AF18" s="324">
        <v>0</v>
      </c>
      <c r="AG18" s="324">
        <v>16</v>
      </c>
      <c r="AH18" s="140">
        <f t="shared" si="1"/>
        <v>16</v>
      </c>
    </row>
    <row r="19" spans="1:34" ht="12.95" customHeight="1" x14ac:dyDescent="0.25">
      <c r="A19" s="202"/>
      <c r="B19" s="22" t="s">
        <v>54</v>
      </c>
      <c r="C19" s="34" t="s">
        <v>31</v>
      </c>
      <c r="D19" s="22" t="s">
        <v>1058</v>
      </c>
      <c r="E19" s="22" t="s">
        <v>65</v>
      </c>
      <c r="F19" s="25" t="s">
        <v>1062</v>
      </c>
      <c r="G19" s="373" t="s">
        <v>1468</v>
      </c>
      <c r="H19" s="37" t="s">
        <v>1470</v>
      </c>
      <c r="I19" s="23" t="s">
        <v>1607</v>
      </c>
      <c r="J19" s="23" t="s">
        <v>1029</v>
      </c>
      <c r="K19" s="23" t="s">
        <v>59</v>
      </c>
      <c r="L19" s="23"/>
      <c r="M19" s="2">
        <v>0</v>
      </c>
      <c r="N19" s="2">
        <v>0</v>
      </c>
      <c r="O19" s="2">
        <v>58.6</v>
      </c>
      <c r="P19" s="2">
        <v>0</v>
      </c>
      <c r="Q19" s="2">
        <v>0</v>
      </c>
      <c r="R19" s="2">
        <v>0</v>
      </c>
      <c r="S19" s="2">
        <v>0</v>
      </c>
      <c r="T19" s="2">
        <v>0</v>
      </c>
      <c r="U19" s="116">
        <f t="shared" si="0"/>
        <v>58.6</v>
      </c>
      <c r="V19" s="324">
        <v>0</v>
      </c>
      <c r="W19" s="324">
        <v>0</v>
      </c>
      <c r="X19" s="324">
        <v>0</v>
      </c>
      <c r="Y19" s="324">
        <v>0</v>
      </c>
      <c r="Z19" s="324">
        <v>0</v>
      </c>
      <c r="AA19" s="324">
        <v>0</v>
      </c>
      <c r="AB19" s="324">
        <v>0</v>
      </c>
      <c r="AC19" s="324">
        <v>0</v>
      </c>
      <c r="AD19" s="324">
        <v>0</v>
      </c>
      <c r="AE19" s="324">
        <v>0</v>
      </c>
      <c r="AF19" s="324">
        <v>0</v>
      </c>
      <c r="AG19" s="324">
        <v>0</v>
      </c>
      <c r="AH19" s="140">
        <f t="shared" si="1"/>
        <v>0</v>
      </c>
    </row>
    <row r="20" spans="1:34" ht="12.95" customHeight="1" x14ac:dyDescent="0.25">
      <c r="A20" s="202"/>
      <c r="B20" s="22" t="s">
        <v>54</v>
      </c>
      <c r="C20" s="34" t="s">
        <v>31</v>
      </c>
      <c r="D20" s="22" t="s">
        <v>1058</v>
      </c>
      <c r="E20" s="22" t="s">
        <v>56</v>
      </c>
      <c r="F20" s="25" t="s">
        <v>1062</v>
      </c>
      <c r="G20" s="373" t="s">
        <v>565</v>
      </c>
      <c r="H20" s="37" t="s">
        <v>59</v>
      </c>
      <c r="I20" s="23" t="s">
        <v>1718</v>
      </c>
      <c r="J20" s="23" t="s">
        <v>399</v>
      </c>
      <c r="K20" s="23" t="s">
        <v>59</v>
      </c>
      <c r="L20" s="23"/>
      <c r="M20" s="2">
        <v>0</v>
      </c>
      <c r="N20" s="2">
        <v>0</v>
      </c>
      <c r="O20" s="2">
        <v>0</v>
      </c>
      <c r="P20" s="2">
        <v>0</v>
      </c>
      <c r="Q20" s="2">
        <v>0</v>
      </c>
      <c r="R20" s="2">
        <v>0</v>
      </c>
      <c r="S20" s="2">
        <v>0</v>
      </c>
      <c r="T20" s="2">
        <v>0</v>
      </c>
      <c r="U20" s="116">
        <f t="shared" si="0"/>
        <v>0</v>
      </c>
      <c r="V20" s="324">
        <v>0</v>
      </c>
      <c r="W20" s="324">
        <v>0</v>
      </c>
      <c r="X20" s="324">
        <v>351.9</v>
      </c>
      <c r="Y20" s="324">
        <v>0</v>
      </c>
      <c r="Z20" s="324">
        <v>0</v>
      </c>
      <c r="AA20" s="324">
        <v>0</v>
      </c>
      <c r="AB20" s="324">
        <v>0</v>
      </c>
      <c r="AC20" s="324">
        <v>0</v>
      </c>
      <c r="AD20" s="324">
        <v>0</v>
      </c>
      <c r="AE20" s="324">
        <v>0</v>
      </c>
      <c r="AF20" s="324">
        <v>0</v>
      </c>
      <c r="AG20" s="324">
        <v>0</v>
      </c>
      <c r="AH20" s="140">
        <f t="shared" si="1"/>
        <v>351.9</v>
      </c>
    </row>
    <row r="21" spans="1:34" ht="12.95" customHeight="1" x14ac:dyDescent="0.25">
      <c r="A21" s="202"/>
      <c r="B21" s="22" t="s">
        <v>54</v>
      </c>
      <c r="C21" s="34" t="s">
        <v>32</v>
      </c>
      <c r="D21" s="22" t="s">
        <v>1059</v>
      </c>
      <c r="E21" s="22" t="s">
        <v>65</v>
      </c>
      <c r="F21" s="25" t="s">
        <v>1063</v>
      </c>
      <c r="G21" s="373" t="s">
        <v>565</v>
      </c>
      <c r="H21" s="37" t="s">
        <v>59</v>
      </c>
      <c r="I21" s="23" t="s">
        <v>845</v>
      </c>
      <c r="J21" s="23"/>
      <c r="K21" s="23"/>
      <c r="L21" s="23"/>
      <c r="M21" s="2">
        <v>0</v>
      </c>
      <c r="N21" s="2">
        <v>0</v>
      </c>
      <c r="O21" s="2"/>
      <c r="P21" s="2">
        <v>0</v>
      </c>
      <c r="Q21" s="2">
        <v>0</v>
      </c>
      <c r="R21" s="2">
        <v>420</v>
      </c>
      <c r="S21" s="2">
        <v>0</v>
      </c>
      <c r="T21" s="2">
        <v>0</v>
      </c>
      <c r="U21" s="116">
        <f t="shared" si="0"/>
        <v>420</v>
      </c>
      <c r="V21" s="324">
        <v>0</v>
      </c>
      <c r="W21" s="324">
        <v>0</v>
      </c>
      <c r="X21" s="324">
        <v>0</v>
      </c>
      <c r="Y21" s="324">
        <v>0</v>
      </c>
      <c r="Z21" s="324">
        <v>0</v>
      </c>
      <c r="AA21" s="324"/>
      <c r="AB21" s="324">
        <v>0</v>
      </c>
      <c r="AC21" s="324">
        <v>0</v>
      </c>
      <c r="AD21" s="324">
        <v>0</v>
      </c>
      <c r="AE21" s="324">
        <v>0</v>
      </c>
      <c r="AF21" s="324">
        <v>0</v>
      </c>
      <c r="AG21" s="324">
        <v>0</v>
      </c>
      <c r="AH21" s="140">
        <f t="shared" si="1"/>
        <v>0</v>
      </c>
    </row>
    <row r="22" spans="1:34" ht="12.95" customHeight="1" x14ac:dyDescent="0.25">
      <c r="A22" s="202"/>
      <c r="B22" s="22" t="s">
        <v>54</v>
      </c>
      <c r="C22" s="34" t="s">
        <v>32</v>
      </c>
      <c r="D22" s="22" t="s">
        <v>1058</v>
      </c>
      <c r="E22" s="22" t="s">
        <v>65</v>
      </c>
      <c r="F22" s="25" t="s">
        <v>1062</v>
      </c>
      <c r="G22" s="373" t="s">
        <v>1474</v>
      </c>
      <c r="H22" s="37" t="s">
        <v>1476</v>
      </c>
      <c r="I22" s="23" t="s">
        <v>1572</v>
      </c>
      <c r="J22" s="23" t="s">
        <v>135</v>
      </c>
      <c r="K22" s="23" t="s">
        <v>136</v>
      </c>
      <c r="L22" s="23"/>
      <c r="M22" s="2">
        <v>0</v>
      </c>
      <c r="N22" s="2">
        <v>0</v>
      </c>
      <c r="O22" s="2">
        <v>0</v>
      </c>
      <c r="P22" s="2">
        <v>32.383310000000002</v>
      </c>
      <c r="Q22" s="2">
        <v>0</v>
      </c>
      <c r="R22" s="2">
        <v>0</v>
      </c>
      <c r="S22" s="2">
        <v>0</v>
      </c>
      <c r="T22" s="2">
        <v>0</v>
      </c>
      <c r="U22" s="116">
        <f t="shared" si="0"/>
        <v>32.383310000000002</v>
      </c>
      <c r="V22" s="324">
        <v>0</v>
      </c>
      <c r="W22" s="324">
        <v>0</v>
      </c>
      <c r="X22" s="324">
        <v>0</v>
      </c>
      <c r="Y22" s="324">
        <v>0</v>
      </c>
      <c r="Z22" s="324">
        <v>0</v>
      </c>
      <c r="AA22" s="324">
        <v>0</v>
      </c>
      <c r="AB22" s="324">
        <v>0</v>
      </c>
      <c r="AC22" s="324">
        <v>0</v>
      </c>
      <c r="AD22" s="324">
        <v>0</v>
      </c>
      <c r="AE22" s="324">
        <v>0</v>
      </c>
      <c r="AF22" s="324">
        <v>0</v>
      </c>
      <c r="AG22" s="324">
        <v>0</v>
      </c>
      <c r="AH22" s="140">
        <f t="shared" si="1"/>
        <v>0</v>
      </c>
    </row>
    <row r="23" spans="1:34" ht="12.95" customHeight="1" x14ac:dyDescent="0.25">
      <c r="A23" s="202"/>
      <c r="B23" s="22" t="s">
        <v>54</v>
      </c>
      <c r="C23" s="34" t="s">
        <v>32</v>
      </c>
      <c r="D23" s="22" t="s">
        <v>1059</v>
      </c>
      <c r="E23" s="22" t="s">
        <v>56</v>
      </c>
      <c r="F23" s="25" t="s">
        <v>1063</v>
      </c>
      <c r="G23" s="373" t="s">
        <v>1639</v>
      </c>
      <c r="H23" s="37" t="s">
        <v>1640</v>
      </c>
      <c r="I23" s="23" t="s">
        <v>1031</v>
      </c>
      <c r="J23" s="23" t="s">
        <v>1706</v>
      </c>
      <c r="K23" s="23" t="s">
        <v>1707</v>
      </c>
      <c r="L23" s="23"/>
      <c r="M23" s="2">
        <v>0</v>
      </c>
      <c r="N23" s="2">
        <v>0</v>
      </c>
      <c r="O23" s="2">
        <v>0</v>
      </c>
      <c r="P23" s="2">
        <v>318</v>
      </c>
      <c r="Q23" s="2">
        <v>0</v>
      </c>
      <c r="R23" s="2">
        <v>0</v>
      </c>
      <c r="S23" s="2">
        <v>0</v>
      </c>
      <c r="T23" s="2">
        <v>0</v>
      </c>
      <c r="U23" s="116">
        <f t="shared" si="0"/>
        <v>318</v>
      </c>
      <c r="V23" s="324">
        <v>0</v>
      </c>
      <c r="W23" s="324">
        <v>188</v>
      </c>
      <c r="X23" s="324">
        <v>0</v>
      </c>
      <c r="Y23" s="324">
        <v>0</v>
      </c>
      <c r="Z23" s="324">
        <v>0</v>
      </c>
      <c r="AA23" s="324">
        <v>0</v>
      </c>
      <c r="AB23" s="324">
        <v>0</v>
      </c>
      <c r="AC23" s="324">
        <v>0</v>
      </c>
      <c r="AD23" s="324">
        <v>0</v>
      </c>
      <c r="AE23" s="324">
        <v>0</v>
      </c>
      <c r="AF23" s="324">
        <v>0</v>
      </c>
      <c r="AG23" s="324">
        <v>0</v>
      </c>
      <c r="AH23" s="140">
        <f t="shared" si="1"/>
        <v>188</v>
      </c>
    </row>
    <row r="24" spans="1:34" ht="12.95" customHeight="1" x14ac:dyDescent="0.25">
      <c r="A24" s="202"/>
      <c r="B24" s="22" t="s">
        <v>54</v>
      </c>
      <c r="C24" s="34" t="s">
        <v>32</v>
      </c>
      <c r="D24" s="22" t="s">
        <v>1058</v>
      </c>
      <c r="E24" s="22" t="s">
        <v>65</v>
      </c>
      <c r="F24" s="25" t="s">
        <v>1062</v>
      </c>
      <c r="G24" s="373" t="s">
        <v>565</v>
      </c>
      <c r="H24" s="37" t="s">
        <v>59</v>
      </c>
      <c r="I24" s="23" t="s">
        <v>198</v>
      </c>
      <c r="J24" s="23" t="s">
        <v>199</v>
      </c>
      <c r="K24" s="23" t="s">
        <v>200</v>
      </c>
      <c r="L24" s="23"/>
      <c r="M24" s="2">
        <v>0</v>
      </c>
      <c r="N24" s="2">
        <v>0</v>
      </c>
      <c r="O24" s="2">
        <v>69</v>
      </c>
      <c r="P24" s="2">
        <v>0</v>
      </c>
      <c r="Q24" s="2">
        <v>0</v>
      </c>
      <c r="R24" s="2">
        <v>0</v>
      </c>
      <c r="S24" s="2">
        <v>0</v>
      </c>
      <c r="T24" s="2">
        <v>0</v>
      </c>
      <c r="U24" s="116">
        <f t="shared" si="0"/>
        <v>69</v>
      </c>
      <c r="V24" s="324">
        <v>0</v>
      </c>
      <c r="W24" s="324">
        <v>44</v>
      </c>
      <c r="X24" s="324">
        <v>0</v>
      </c>
      <c r="Y24" s="324">
        <v>0</v>
      </c>
      <c r="Z24" s="324">
        <v>0</v>
      </c>
      <c r="AA24" s="324">
        <v>0</v>
      </c>
      <c r="AB24" s="324">
        <v>0</v>
      </c>
      <c r="AC24" s="324">
        <v>0</v>
      </c>
      <c r="AD24" s="324">
        <v>0</v>
      </c>
      <c r="AE24" s="324">
        <v>0</v>
      </c>
      <c r="AF24" s="324">
        <v>0</v>
      </c>
      <c r="AG24" s="324">
        <v>0</v>
      </c>
      <c r="AH24" s="140">
        <f t="shared" si="1"/>
        <v>44</v>
      </c>
    </row>
    <row r="25" spans="1:34" ht="12.95" customHeight="1" x14ac:dyDescent="0.25">
      <c r="A25" s="202"/>
      <c r="B25" s="22" t="s">
        <v>54</v>
      </c>
      <c r="C25" s="34" t="s">
        <v>32</v>
      </c>
      <c r="D25" s="22" t="s">
        <v>1058</v>
      </c>
      <c r="E25" s="22" t="s">
        <v>56</v>
      </c>
      <c r="F25" s="25" t="s">
        <v>1062</v>
      </c>
      <c r="G25" s="373" t="s">
        <v>565</v>
      </c>
      <c r="H25" s="37" t="s">
        <v>59</v>
      </c>
      <c r="I25" s="23" t="s">
        <v>1030</v>
      </c>
      <c r="J25" s="23" t="s">
        <v>400</v>
      </c>
      <c r="K25" s="23" t="s">
        <v>59</v>
      </c>
      <c r="L25" s="23"/>
      <c r="M25" s="2">
        <v>0</v>
      </c>
      <c r="N25" s="2">
        <v>0</v>
      </c>
      <c r="O25" s="2">
        <v>0</v>
      </c>
      <c r="P25" s="2">
        <v>0</v>
      </c>
      <c r="Q25" s="2">
        <v>0</v>
      </c>
      <c r="R25" s="2">
        <v>0</v>
      </c>
      <c r="S25" s="2">
        <v>0</v>
      </c>
      <c r="T25" s="2">
        <v>0</v>
      </c>
      <c r="U25" s="116">
        <f t="shared" si="0"/>
        <v>0</v>
      </c>
      <c r="V25" s="324">
        <v>0</v>
      </c>
      <c r="W25" s="324">
        <v>0</v>
      </c>
      <c r="X25" s="324">
        <v>0</v>
      </c>
      <c r="Y25" s="324">
        <v>0</v>
      </c>
      <c r="Z25" s="324">
        <v>0</v>
      </c>
      <c r="AA25" s="324">
        <v>0</v>
      </c>
      <c r="AB25" s="324">
        <v>0</v>
      </c>
      <c r="AC25" s="324">
        <v>0</v>
      </c>
      <c r="AD25" s="324">
        <v>96</v>
      </c>
      <c r="AE25" s="324">
        <v>0</v>
      </c>
      <c r="AF25" s="324">
        <v>0</v>
      </c>
      <c r="AG25" s="324">
        <v>0</v>
      </c>
      <c r="AH25" s="140">
        <f t="shared" si="1"/>
        <v>96</v>
      </c>
    </row>
    <row r="26" spans="1:34" ht="12.95" customHeight="1" x14ac:dyDescent="0.25">
      <c r="A26" s="202"/>
      <c r="B26" s="22" t="s">
        <v>54</v>
      </c>
      <c r="C26" s="34" t="s">
        <v>32</v>
      </c>
      <c r="D26" s="22" t="s">
        <v>1059</v>
      </c>
      <c r="E26" s="22" t="s">
        <v>65</v>
      </c>
      <c r="F26" s="25" t="s">
        <v>1063</v>
      </c>
      <c r="G26" s="373" t="s">
        <v>565</v>
      </c>
      <c r="H26" s="37" t="s">
        <v>59</v>
      </c>
      <c r="I26" s="23" t="s">
        <v>1087</v>
      </c>
      <c r="J26" s="23"/>
      <c r="K26" s="23"/>
      <c r="L26" s="23"/>
      <c r="M26" s="2">
        <v>0</v>
      </c>
      <c r="N26" s="2">
        <v>0</v>
      </c>
      <c r="O26" s="2">
        <v>0</v>
      </c>
      <c r="P26" s="2">
        <v>0</v>
      </c>
      <c r="Q26" s="2">
        <v>0</v>
      </c>
      <c r="R26" s="2">
        <v>0</v>
      </c>
      <c r="S26" s="2">
        <v>0</v>
      </c>
      <c r="T26" s="2">
        <v>0</v>
      </c>
      <c r="U26" s="116">
        <f t="shared" si="0"/>
        <v>0</v>
      </c>
      <c r="V26" s="324">
        <v>0</v>
      </c>
      <c r="W26" s="324">
        <v>0</v>
      </c>
      <c r="X26" s="324">
        <v>0</v>
      </c>
      <c r="Y26" s="324">
        <v>0</v>
      </c>
      <c r="Z26" s="324">
        <v>0</v>
      </c>
      <c r="AA26" s="324">
        <v>0</v>
      </c>
      <c r="AB26" s="324">
        <v>0</v>
      </c>
      <c r="AC26" s="324">
        <v>0</v>
      </c>
      <c r="AD26" s="324">
        <v>0</v>
      </c>
      <c r="AE26" s="324">
        <v>0</v>
      </c>
      <c r="AF26" s="324">
        <v>0</v>
      </c>
      <c r="AG26" s="324">
        <v>0</v>
      </c>
      <c r="AH26" s="140">
        <f t="shared" si="1"/>
        <v>0</v>
      </c>
    </row>
    <row r="27" spans="1:34" ht="12.95" customHeight="1" x14ac:dyDescent="0.25">
      <c r="A27" s="202"/>
      <c r="B27" s="22" t="s">
        <v>54</v>
      </c>
      <c r="C27" s="34" t="s">
        <v>32</v>
      </c>
      <c r="D27" s="22" t="s">
        <v>1060</v>
      </c>
      <c r="E27" s="22" t="s">
        <v>56</v>
      </c>
      <c r="F27" s="25" t="s">
        <v>1064</v>
      </c>
      <c r="G27" s="373" t="s">
        <v>565</v>
      </c>
      <c r="H27" s="37" t="s">
        <v>59</v>
      </c>
      <c r="I27" s="23" t="s">
        <v>1724</v>
      </c>
      <c r="J27" s="23" t="s">
        <v>708</v>
      </c>
      <c r="K27" s="23" t="s">
        <v>59</v>
      </c>
      <c r="L27" s="23"/>
      <c r="M27" s="2">
        <v>0</v>
      </c>
      <c r="N27" s="2">
        <v>0</v>
      </c>
      <c r="O27" s="2">
        <v>0</v>
      </c>
      <c r="P27" s="2">
        <v>0</v>
      </c>
      <c r="Q27" s="2">
        <v>0</v>
      </c>
      <c r="R27" s="2">
        <v>0</v>
      </c>
      <c r="S27" s="2">
        <v>0</v>
      </c>
      <c r="T27" s="2">
        <v>0</v>
      </c>
      <c r="U27" s="116">
        <f t="shared" si="0"/>
        <v>0</v>
      </c>
      <c r="V27" s="324">
        <v>0</v>
      </c>
      <c r="W27" s="324">
        <v>0</v>
      </c>
      <c r="X27" s="324">
        <v>0</v>
      </c>
      <c r="Y27" s="324">
        <v>0</v>
      </c>
      <c r="Z27" s="324">
        <v>0</v>
      </c>
      <c r="AA27" s="324">
        <v>0</v>
      </c>
      <c r="AB27" s="324">
        <v>150</v>
      </c>
      <c r="AC27" s="324">
        <v>0</v>
      </c>
      <c r="AD27" s="324">
        <v>0</v>
      </c>
      <c r="AE27" s="324">
        <v>0</v>
      </c>
      <c r="AF27" s="324">
        <v>0</v>
      </c>
      <c r="AG27" s="324">
        <v>0</v>
      </c>
      <c r="AH27" s="140">
        <f t="shared" si="1"/>
        <v>150</v>
      </c>
    </row>
    <row r="28" spans="1:34" ht="12.95" customHeight="1" x14ac:dyDescent="0.25">
      <c r="A28" s="202"/>
      <c r="B28" s="22" t="s">
        <v>54</v>
      </c>
      <c r="C28" s="34" t="s">
        <v>32</v>
      </c>
      <c r="D28" s="22" t="s">
        <v>1059</v>
      </c>
      <c r="E28" s="22" t="s">
        <v>65</v>
      </c>
      <c r="F28" s="25" t="s">
        <v>1063</v>
      </c>
      <c r="G28" s="373" t="s">
        <v>1213</v>
      </c>
      <c r="H28" s="37" t="s">
        <v>1214</v>
      </c>
      <c r="I28" s="23" t="s">
        <v>910</v>
      </c>
      <c r="J28" s="23" t="s">
        <v>911</v>
      </c>
      <c r="K28" s="23" t="s">
        <v>1032</v>
      </c>
      <c r="L28" s="23"/>
      <c r="M28" s="2">
        <v>0</v>
      </c>
      <c r="N28" s="2">
        <v>0</v>
      </c>
      <c r="O28" s="2">
        <v>0</v>
      </c>
      <c r="P28" s="2">
        <v>16</v>
      </c>
      <c r="Q28" s="2">
        <v>16</v>
      </c>
      <c r="R28" s="2">
        <v>20</v>
      </c>
      <c r="S28" s="2">
        <v>20</v>
      </c>
      <c r="T28" s="2">
        <v>43.198999999999998</v>
      </c>
      <c r="U28" s="116">
        <f t="shared" si="0"/>
        <v>115.199</v>
      </c>
      <c r="V28" s="324">
        <v>0</v>
      </c>
      <c r="W28" s="324">
        <v>0</v>
      </c>
      <c r="X28" s="324">
        <v>0</v>
      </c>
      <c r="Y28" s="324">
        <v>0</v>
      </c>
      <c r="Z28" s="324">
        <v>0</v>
      </c>
      <c r="AA28" s="324">
        <v>0</v>
      </c>
      <c r="AB28" s="324">
        <v>0</v>
      </c>
      <c r="AC28" s="324">
        <v>0</v>
      </c>
      <c r="AD28" s="324">
        <v>0</v>
      </c>
      <c r="AE28" s="324">
        <v>0</v>
      </c>
      <c r="AF28" s="324">
        <v>0</v>
      </c>
      <c r="AG28" s="324">
        <v>0</v>
      </c>
      <c r="AH28" s="140">
        <f t="shared" si="1"/>
        <v>0</v>
      </c>
    </row>
    <row r="29" spans="1:34" ht="12.95" customHeight="1" x14ac:dyDescent="0.25">
      <c r="A29" s="202"/>
      <c r="B29" s="22" t="s">
        <v>54</v>
      </c>
      <c r="C29" s="34" t="s">
        <v>32</v>
      </c>
      <c r="D29" s="22" t="s">
        <v>1058</v>
      </c>
      <c r="E29" s="22" t="s">
        <v>65</v>
      </c>
      <c r="F29" s="25" t="s">
        <v>1062</v>
      </c>
      <c r="G29" s="373" t="s">
        <v>1471</v>
      </c>
      <c r="H29" s="37" t="s">
        <v>1473</v>
      </c>
      <c r="I29" s="23" t="s">
        <v>909</v>
      </c>
      <c r="J29" s="23" t="s">
        <v>1608</v>
      </c>
      <c r="K29" s="23" t="s">
        <v>1610</v>
      </c>
      <c r="L29" s="23"/>
      <c r="M29" s="2">
        <v>0</v>
      </c>
      <c r="N29" s="2">
        <v>0</v>
      </c>
      <c r="O29" s="2">
        <v>0</v>
      </c>
      <c r="P29" s="2">
        <v>0</v>
      </c>
      <c r="Q29" s="2">
        <v>27.390999999999998</v>
      </c>
      <c r="R29" s="2">
        <v>0</v>
      </c>
      <c r="S29" s="2">
        <v>0</v>
      </c>
      <c r="T29" s="2">
        <v>0</v>
      </c>
      <c r="U29" s="116">
        <f t="shared" si="0"/>
        <v>27.390999999999998</v>
      </c>
      <c r="V29" s="324">
        <v>0</v>
      </c>
      <c r="W29" s="324">
        <v>0</v>
      </c>
      <c r="X29" s="324">
        <v>0</v>
      </c>
      <c r="Y29" s="324">
        <v>0</v>
      </c>
      <c r="Z29" s="324">
        <v>0</v>
      </c>
      <c r="AA29" s="324">
        <v>0</v>
      </c>
      <c r="AB29" s="324">
        <v>0</v>
      </c>
      <c r="AC29" s="324">
        <v>0</v>
      </c>
      <c r="AD29" s="324">
        <v>0</v>
      </c>
      <c r="AE29" s="324">
        <v>0</v>
      </c>
      <c r="AF29" s="324">
        <v>0</v>
      </c>
      <c r="AG29" s="324">
        <v>0</v>
      </c>
      <c r="AH29" s="140">
        <f t="shared" si="1"/>
        <v>0</v>
      </c>
    </row>
    <row r="30" spans="1:34" ht="12.95" customHeight="1" x14ac:dyDescent="0.25">
      <c r="A30" s="202"/>
      <c r="B30" s="22" t="s">
        <v>54</v>
      </c>
      <c r="C30" s="34" t="s">
        <v>32</v>
      </c>
      <c r="D30" s="22" t="s">
        <v>1059</v>
      </c>
      <c r="E30" s="22" t="s">
        <v>56</v>
      </c>
      <c r="F30" s="25" t="s">
        <v>1063</v>
      </c>
      <c r="G30" s="373" t="s">
        <v>1117</v>
      </c>
      <c r="H30" s="37" t="s">
        <v>1211</v>
      </c>
      <c r="I30" s="23" t="s">
        <v>1716</v>
      </c>
      <c r="J30" s="23" t="s">
        <v>402</v>
      </c>
      <c r="K30" s="23" t="s">
        <v>799</v>
      </c>
      <c r="L30" s="23"/>
      <c r="M30" s="2">
        <v>119.11103057861328</v>
      </c>
      <c r="N30" s="2">
        <v>0</v>
      </c>
      <c r="O30" s="2">
        <v>0</v>
      </c>
      <c r="P30" s="2">
        <v>0</v>
      </c>
      <c r="Q30" s="2">
        <v>0</v>
      </c>
      <c r="R30" s="2">
        <v>0</v>
      </c>
      <c r="S30" s="2">
        <v>0</v>
      </c>
      <c r="T30" s="2"/>
      <c r="U30" s="116">
        <f t="shared" si="0"/>
        <v>119.11103057861328</v>
      </c>
      <c r="V30" s="324">
        <v>0</v>
      </c>
      <c r="W30" s="324">
        <v>125</v>
      </c>
      <c r="X30" s="324">
        <v>0</v>
      </c>
      <c r="Y30" s="324">
        <v>0</v>
      </c>
      <c r="Z30" s="324">
        <v>0</v>
      </c>
      <c r="AA30" s="324">
        <v>0</v>
      </c>
      <c r="AB30" s="324">
        <v>0</v>
      </c>
      <c r="AC30" s="324">
        <v>0</v>
      </c>
      <c r="AD30" s="324">
        <v>0</v>
      </c>
      <c r="AE30" s="324">
        <v>0</v>
      </c>
      <c r="AF30" s="324">
        <v>0</v>
      </c>
      <c r="AG30" s="324">
        <v>0</v>
      </c>
      <c r="AH30" s="140">
        <f t="shared" si="1"/>
        <v>125</v>
      </c>
    </row>
    <row r="31" spans="1:34" ht="12.95" customHeight="1" x14ac:dyDescent="0.25">
      <c r="A31" s="202"/>
      <c r="B31" s="22" t="s">
        <v>54</v>
      </c>
      <c r="C31" s="34" t="s">
        <v>32</v>
      </c>
      <c r="D31" s="22" t="s">
        <v>1059</v>
      </c>
      <c r="E31" s="22" t="s">
        <v>56</v>
      </c>
      <c r="F31" s="25" t="s">
        <v>1063</v>
      </c>
      <c r="G31" s="373" t="s">
        <v>565</v>
      </c>
      <c r="H31" s="37" t="s">
        <v>59</v>
      </c>
      <c r="I31" s="23" t="s">
        <v>1714</v>
      </c>
      <c r="J31" s="23" t="s">
        <v>385</v>
      </c>
      <c r="K31" s="23" t="s">
        <v>386</v>
      </c>
      <c r="L31" s="23"/>
      <c r="M31" s="2">
        <v>0</v>
      </c>
      <c r="N31" s="2">
        <v>0</v>
      </c>
      <c r="O31" s="2">
        <v>0</v>
      </c>
      <c r="P31" s="2">
        <v>0</v>
      </c>
      <c r="Q31" s="2">
        <v>0</v>
      </c>
      <c r="R31" s="2">
        <v>0</v>
      </c>
      <c r="S31" s="2">
        <v>0</v>
      </c>
      <c r="T31" s="2">
        <v>0</v>
      </c>
      <c r="U31" s="116">
        <f t="shared" si="0"/>
        <v>0</v>
      </c>
      <c r="V31" s="324">
        <v>0</v>
      </c>
      <c r="W31" s="324">
        <v>0</v>
      </c>
      <c r="X31" s="324">
        <v>0</v>
      </c>
      <c r="Y31" s="324">
        <v>0</v>
      </c>
      <c r="Z31" s="324">
        <v>0</v>
      </c>
      <c r="AA31" s="324">
        <v>0</v>
      </c>
      <c r="AB31" s="324">
        <v>0</v>
      </c>
      <c r="AC31" s="324">
        <v>0</v>
      </c>
      <c r="AD31" s="324">
        <v>0</v>
      </c>
      <c r="AE31" s="324">
        <v>0</v>
      </c>
      <c r="AF31" s="324">
        <v>0</v>
      </c>
      <c r="AG31" s="324">
        <v>0</v>
      </c>
      <c r="AH31" s="140">
        <f t="shared" si="1"/>
        <v>0</v>
      </c>
    </row>
    <row r="32" spans="1:34" ht="12.95" customHeight="1" x14ac:dyDescent="0.25">
      <c r="A32" s="202"/>
      <c r="B32" s="22" t="s">
        <v>54</v>
      </c>
      <c r="C32" s="34" t="s">
        <v>32</v>
      </c>
      <c r="D32" s="22" t="s">
        <v>1058</v>
      </c>
      <c r="E32" s="22" t="s">
        <v>56</v>
      </c>
      <c r="F32" s="25" t="s">
        <v>1134</v>
      </c>
      <c r="G32" s="373" t="s">
        <v>565</v>
      </c>
      <c r="H32" s="37" t="s">
        <v>59</v>
      </c>
      <c r="I32" s="23" t="s">
        <v>1712</v>
      </c>
      <c r="J32" s="121" t="s">
        <v>401</v>
      </c>
      <c r="K32" s="121" t="s">
        <v>59</v>
      </c>
      <c r="L32" s="121"/>
      <c r="M32" s="2">
        <v>0</v>
      </c>
      <c r="N32" s="2">
        <v>0</v>
      </c>
      <c r="O32" s="2">
        <v>0</v>
      </c>
      <c r="P32" s="2">
        <v>22</v>
      </c>
      <c r="Q32" s="2">
        <v>0</v>
      </c>
      <c r="R32" s="2">
        <v>0</v>
      </c>
      <c r="S32" s="2">
        <v>0</v>
      </c>
      <c r="T32" s="2">
        <v>0</v>
      </c>
      <c r="U32" s="116">
        <f t="shared" si="0"/>
        <v>22</v>
      </c>
      <c r="V32" s="324">
        <v>0</v>
      </c>
      <c r="W32" s="324">
        <v>0</v>
      </c>
      <c r="X32" s="324">
        <v>0</v>
      </c>
      <c r="Y32" s="324">
        <v>0</v>
      </c>
      <c r="Z32" s="324">
        <v>0</v>
      </c>
      <c r="AA32" s="324">
        <v>0</v>
      </c>
      <c r="AB32" s="324">
        <v>0</v>
      </c>
      <c r="AC32" s="324">
        <v>22</v>
      </c>
      <c r="AD32" s="324">
        <v>0</v>
      </c>
      <c r="AE32" s="324">
        <v>0</v>
      </c>
      <c r="AF32" s="324">
        <v>0</v>
      </c>
      <c r="AG32" s="324">
        <v>0</v>
      </c>
      <c r="AH32" s="140">
        <f t="shared" si="1"/>
        <v>22</v>
      </c>
    </row>
    <row r="33" spans="1:34" ht="12.95" customHeight="1" x14ac:dyDescent="0.25">
      <c r="A33" s="202"/>
      <c r="B33" s="22" t="s">
        <v>54</v>
      </c>
      <c r="C33" s="34" t="s">
        <v>32</v>
      </c>
      <c r="D33" s="22" t="s">
        <v>1059</v>
      </c>
      <c r="E33" s="22" t="s">
        <v>65</v>
      </c>
      <c r="F33" s="25" t="s">
        <v>1063</v>
      </c>
      <c r="G33" s="373" t="s">
        <v>565</v>
      </c>
      <c r="H33" s="37" t="s">
        <v>59</v>
      </c>
      <c r="I33" s="23" t="s">
        <v>1107</v>
      </c>
      <c r="J33" s="23" t="s">
        <v>1108</v>
      </c>
      <c r="K33" s="23" t="s">
        <v>1109</v>
      </c>
      <c r="L33" s="23"/>
      <c r="M33" s="2">
        <v>0</v>
      </c>
      <c r="N33" s="2">
        <v>0</v>
      </c>
      <c r="O33" s="2">
        <v>0</v>
      </c>
      <c r="P33" s="2">
        <v>0</v>
      </c>
      <c r="Q33" s="2">
        <v>0</v>
      </c>
      <c r="R33" s="2">
        <v>0</v>
      </c>
      <c r="S33" s="2">
        <v>0</v>
      </c>
      <c r="T33" s="2">
        <v>0</v>
      </c>
      <c r="U33" s="116">
        <f t="shared" si="0"/>
        <v>0</v>
      </c>
      <c r="V33" s="324">
        <v>0</v>
      </c>
      <c r="W33" s="324">
        <v>0</v>
      </c>
      <c r="X33" s="324">
        <v>0</v>
      </c>
      <c r="Y33" s="324">
        <v>0</v>
      </c>
      <c r="Z33" s="324">
        <v>0</v>
      </c>
      <c r="AA33" s="324">
        <v>0</v>
      </c>
      <c r="AB33" s="324">
        <v>0</v>
      </c>
      <c r="AC33" s="324">
        <v>0</v>
      </c>
      <c r="AD33" s="324">
        <v>0</v>
      </c>
      <c r="AE33" s="324">
        <v>0</v>
      </c>
      <c r="AF33" s="324">
        <v>0</v>
      </c>
      <c r="AG33" s="324">
        <v>0</v>
      </c>
      <c r="AH33" s="140">
        <f t="shared" si="1"/>
        <v>0</v>
      </c>
    </row>
    <row r="34" spans="1:34" ht="12.95" customHeight="1" x14ac:dyDescent="0.25">
      <c r="A34" s="202"/>
      <c r="B34" s="22" t="s">
        <v>54</v>
      </c>
      <c r="C34" s="34" t="s">
        <v>32</v>
      </c>
      <c r="D34" s="22" t="s">
        <v>1059</v>
      </c>
      <c r="E34" s="22" t="s">
        <v>56</v>
      </c>
      <c r="F34" s="25" t="s">
        <v>1063</v>
      </c>
      <c r="G34" s="373" t="s">
        <v>565</v>
      </c>
      <c r="H34" s="37" t="s">
        <v>59</v>
      </c>
      <c r="I34" s="23" t="s">
        <v>1110</v>
      </c>
      <c r="J34" s="23" t="s">
        <v>1111</v>
      </c>
      <c r="K34" s="23" t="s">
        <v>1112</v>
      </c>
      <c r="L34" s="23"/>
      <c r="M34" s="2">
        <v>0</v>
      </c>
      <c r="N34" s="2">
        <v>0</v>
      </c>
      <c r="O34" s="2">
        <v>0</v>
      </c>
      <c r="P34" s="2">
        <v>0</v>
      </c>
      <c r="Q34" s="2">
        <v>0</v>
      </c>
      <c r="R34" s="2">
        <v>0</v>
      </c>
      <c r="S34" s="2">
        <v>0</v>
      </c>
      <c r="T34" s="2">
        <v>0</v>
      </c>
      <c r="U34" s="116">
        <f t="shared" si="0"/>
        <v>0</v>
      </c>
      <c r="V34" s="324">
        <v>0</v>
      </c>
      <c r="W34" s="324">
        <v>0</v>
      </c>
      <c r="X34" s="324">
        <v>0</v>
      </c>
      <c r="Y34" s="324">
        <v>0</v>
      </c>
      <c r="Z34" s="324">
        <v>0</v>
      </c>
      <c r="AA34" s="324">
        <v>0</v>
      </c>
      <c r="AB34" s="324">
        <v>0</v>
      </c>
      <c r="AC34" s="324">
        <v>0</v>
      </c>
      <c r="AD34" s="324">
        <v>0</v>
      </c>
      <c r="AE34" s="324">
        <v>0</v>
      </c>
      <c r="AF34" s="324">
        <v>0</v>
      </c>
      <c r="AG34" s="324">
        <v>0</v>
      </c>
      <c r="AH34" s="140">
        <f t="shared" si="1"/>
        <v>0</v>
      </c>
    </row>
    <row r="35" spans="1:34" ht="12.95" customHeight="1" x14ac:dyDescent="0.25">
      <c r="A35" s="202"/>
      <c r="B35" s="22" t="s">
        <v>54</v>
      </c>
      <c r="C35" s="34" t="s">
        <v>32</v>
      </c>
      <c r="D35" s="22" t="s">
        <v>1059</v>
      </c>
      <c r="E35" s="22" t="s">
        <v>56</v>
      </c>
      <c r="F35" s="25" t="s">
        <v>1063</v>
      </c>
      <c r="G35" s="373" t="s">
        <v>800</v>
      </c>
      <c r="H35" s="37" t="s">
        <v>1212</v>
      </c>
      <c r="I35" s="23" t="s">
        <v>403</v>
      </c>
      <c r="J35" s="23" t="s">
        <v>404</v>
      </c>
      <c r="K35" s="23" t="s">
        <v>405</v>
      </c>
      <c r="L35" s="23"/>
      <c r="M35" s="2">
        <v>63.374898910522461</v>
      </c>
      <c r="N35" s="2">
        <v>100</v>
      </c>
      <c r="O35" s="2">
        <v>36.625100000000003</v>
      </c>
      <c r="P35" s="2">
        <v>60</v>
      </c>
      <c r="Q35" s="2">
        <v>60</v>
      </c>
      <c r="R35" s="2">
        <v>50</v>
      </c>
      <c r="S35" s="2">
        <v>60</v>
      </c>
      <c r="T35" s="2">
        <v>60</v>
      </c>
      <c r="U35" s="116">
        <f t="shared" si="0"/>
        <v>489.99999891052244</v>
      </c>
      <c r="V35" s="324">
        <v>0</v>
      </c>
      <c r="W35" s="324">
        <v>0</v>
      </c>
      <c r="X35" s="324">
        <v>0</v>
      </c>
      <c r="Y35" s="324">
        <v>0</v>
      </c>
      <c r="Z35" s="324">
        <v>0</v>
      </c>
      <c r="AA35" s="324">
        <v>0</v>
      </c>
      <c r="AB35" s="324">
        <v>0</v>
      </c>
      <c r="AC35" s="324">
        <v>0</v>
      </c>
      <c r="AD35" s="324">
        <v>0</v>
      </c>
      <c r="AE35" s="324">
        <v>0</v>
      </c>
      <c r="AF35" s="324">
        <v>0</v>
      </c>
      <c r="AG35" s="324">
        <v>0</v>
      </c>
      <c r="AH35" s="140">
        <f t="shared" si="1"/>
        <v>0</v>
      </c>
    </row>
    <row r="36" spans="1:34" ht="12.95" customHeight="1" x14ac:dyDescent="0.25">
      <c r="A36" s="202"/>
      <c r="B36" s="22" t="s">
        <v>54</v>
      </c>
      <c r="C36" s="34" t="s">
        <v>32</v>
      </c>
      <c r="D36" s="22" t="s">
        <v>1058</v>
      </c>
      <c r="E36" s="22" t="s">
        <v>65</v>
      </c>
      <c r="F36" s="25" t="s">
        <v>1062</v>
      </c>
      <c r="G36" s="373" t="s">
        <v>565</v>
      </c>
      <c r="H36" s="37" t="s">
        <v>59</v>
      </c>
      <c r="I36" s="23" t="s">
        <v>205</v>
      </c>
      <c r="J36" s="121" t="s">
        <v>206</v>
      </c>
      <c r="K36" s="121" t="s">
        <v>207</v>
      </c>
      <c r="L36" s="121"/>
      <c r="M36" s="2">
        <v>0</v>
      </c>
      <c r="N36" s="2">
        <v>0</v>
      </c>
      <c r="O36" s="2">
        <v>0</v>
      </c>
      <c r="P36" s="2">
        <v>0</v>
      </c>
      <c r="Q36" s="2">
        <v>0</v>
      </c>
      <c r="R36" s="2">
        <v>0</v>
      </c>
      <c r="S36" s="2">
        <v>0</v>
      </c>
      <c r="T36" s="2">
        <v>0</v>
      </c>
      <c r="U36" s="116">
        <f t="shared" si="0"/>
        <v>0</v>
      </c>
      <c r="V36" s="324">
        <v>0</v>
      </c>
      <c r="W36" s="324">
        <v>0</v>
      </c>
      <c r="X36" s="324">
        <v>0</v>
      </c>
      <c r="Y36" s="324">
        <v>0</v>
      </c>
      <c r="Z36" s="324">
        <v>0</v>
      </c>
      <c r="AA36" s="324">
        <v>0</v>
      </c>
      <c r="AB36" s="324">
        <v>0</v>
      </c>
      <c r="AC36" s="324">
        <v>0</v>
      </c>
      <c r="AD36" s="324">
        <v>0</v>
      </c>
      <c r="AE36" s="324">
        <v>0</v>
      </c>
      <c r="AF36" s="324">
        <v>0</v>
      </c>
      <c r="AG36" s="324">
        <v>0</v>
      </c>
      <c r="AH36" s="140">
        <f t="shared" si="1"/>
        <v>0</v>
      </c>
    </row>
    <row r="37" spans="1:34" ht="12.95" customHeight="1" x14ac:dyDescent="0.25">
      <c r="A37" s="202"/>
      <c r="B37" s="22" t="s">
        <v>54</v>
      </c>
      <c r="C37" s="34" t="s">
        <v>33</v>
      </c>
      <c r="D37" s="22" t="s">
        <v>58</v>
      </c>
      <c r="E37" s="22" t="s">
        <v>56</v>
      </c>
      <c r="F37" s="25" t="s">
        <v>484</v>
      </c>
      <c r="G37" s="373" t="s">
        <v>565</v>
      </c>
      <c r="H37" s="37"/>
      <c r="I37" s="23" t="s">
        <v>583</v>
      </c>
      <c r="J37" s="23" t="s">
        <v>679</v>
      </c>
      <c r="K37" s="23" t="s">
        <v>682</v>
      </c>
      <c r="L37" s="380" t="s">
        <v>1765</v>
      </c>
      <c r="M37" s="2">
        <v>0</v>
      </c>
      <c r="N37" s="2"/>
      <c r="O37" s="2"/>
      <c r="P37" s="2"/>
      <c r="Q37" s="2"/>
      <c r="R37" s="2"/>
      <c r="S37" s="2"/>
      <c r="T37" s="2"/>
      <c r="U37" s="116">
        <f t="shared" si="0"/>
        <v>0</v>
      </c>
      <c r="V37" s="324"/>
      <c r="W37" s="324"/>
      <c r="X37" s="324"/>
      <c r="Y37" s="324"/>
      <c r="Z37" s="324"/>
      <c r="AA37" s="324"/>
      <c r="AB37" s="324">
        <v>102.5</v>
      </c>
      <c r="AC37" s="324"/>
      <c r="AD37" s="324"/>
      <c r="AE37" s="324"/>
      <c r="AF37" s="324"/>
      <c r="AG37" s="324"/>
      <c r="AH37" s="140">
        <f t="shared" si="1"/>
        <v>102.5</v>
      </c>
    </row>
    <row r="38" spans="1:34" ht="12.95" customHeight="1" x14ac:dyDescent="0.25">
      <c r="A38" s="202"/>
      <c r="B38" s="22" t="s">
        <v>54</v>
      </c>
      <c r="C38" s="34" t="s">
        <v>1492</v>
      </c>
      <c r="D38" s="22" t="s">
        <v>1677</v>
      </c>
      <c r="E38" s="22" t="s">
        <v>65</v>
      </c>
      <c r="F38" s="25" t="s">
        <v>158</v>
      </c>
      <c r="G38" s="373" t="s">
        <v>565</v>
      </c>
      <c r="H38" s="192"/>
      <c r="I38" s="23" t="s">
        <v>664</v>
      </c>
      <c r="J38" s="23" t="s">
        <v>159</v>
      </c>
      <c r="K38" s="23" t="s">
        <v>160</v>
      </c>
      <c r="L38" s="23"/>
      <c r="M38" s="2">
        <v>0</v>
      </c>
      <c r="N38" s="2"/>
      <c r="O38" s="2"/>
      <c r="P38" s="2"/>
      <c r="Q38" s="2"/>
      <c r="R38" s="2"/>
      <c r="S38" s="2"/>
      <c r="T38" s="2"/>
      <c r="U38" s="116">
        <f t="shared" si="0"/>
        <v>0</v>
      </c>
      <c r="V38" s="324">
        <v>0</v>
      </c>
      <c r="W38" s="324">
        <v>0</v>
      </c>
      <c r="X38" s="324">
        <v>0</v>
      </c>
      <c r="Y38" s="324">
        <v>0</v>
      </c>
      <c r="Z38" s="324">
        <v>0</v>
      </c>
      <c r="AA38" s="324">
        <v>0</v>
      </c>
      <c r="AB38" s="324">
        <v>43</v>
      </c>
      <c r="AC38" s="324">
        <v>0</v>
      </c>
      <c r="AD38" s="324">
        <v>0</v>
      </c>
      <c r="AE38" s="324">
        <v>0</v>
      </c>
      <c r="AF38" s="324"/>
      <c r="AG38" s="324">
        <v>0</v>
      </c>
      <c r="AH38" s="140">
        <f t="shared" si="1"/>
        <v>43</v>
      </c>
    </row>
    <row r="39" spans="1:34" ht="12.95" customHeight="1" x14ac:dyDescent="0.25">
      <c r="A39" s="202"/>
      <c r="B39" s="22" t="s">
        <v>54</v>
      </c>
      <c r="C39" s="34" t="s">
        <v>1492</v>
      </c>
      <c r="D39" s="22" t="s">
        <v>179</v>
      </c>
      <c r="E39" s="22" t="s">
        <v>65</v>
      </c>
      <c r="F39" s="25" t="s">
        <v>180</v>
      </c>
      <c r="G39" s="373" t="s">
        <v>565</v>
      </c>
      <c r="H39" s="192"/>
      <c r="I39" s="23" t="s">
        <v>872</v>
      </c>
      <c r="J39" s="23" t="s">
        <v>873</v>
      </c>
      <c r="K39" s="23" t="s">
        <v>181</v>
      </c>
      <c r="L39" s="23"/>
      <c r="M39" s="2">
        <v>0</v>
      </c>
      <c r="N39" s="2"/>
      <c r="O39" s="2"/>
      <c r="P39" s="2"/>
      <c r="Q39" s="2"/>
      <c r="R39" s="2"/>
      <c r="S39" s="2"/>
      <c r="T39" s="2"/>
      <c r="U39" s="116">
        <f t="shared" si="0"/>
        <v>0</v>
      </c>
      <c r="V39" s="324"/>
      <c r="W39" s="324"/>
      <c r="X39" s="324"/>
      <c r="Y39" s="324"/>
      <c r="Z39" s="324"/>
      <c r="AA39" s="324">
        <v>1.5</v>
      </c>
      <c r="AB39" s="324"/>
      <c r="AC39" s="324"/>
      <c r="AD39" s="324"/>
      <c r="AE39" s="324"/>
      <c r="AF39" s="324"/>
      <c r="AG39" s="324"/>
      <c r="AH39" s="140">
        <f t="shared" si="1"/>
        <v>1.5</v>
      </c>
    </row>
    <row r="40" spans="1:34" ht="12.95" customHeight="1" x14ac:dyDescent="0.25">
      <c r="A40" s="202"/>
      <c r="B40" s="22" t="s">
        <v>54</v>
      </c>
      <c r="C40" s="34" t="s">
        <v>1492</v>
      </c>
      <c r="D40" s="22" t="s">
        <v>179</v>
      </c>
      <c r="E40" s="22" t="s">
        <v>65</v>
      </c>
      <c r="F40" s="25" t="s">
        <v>180</v>
      </c>
      <c r="G40" s="373" t="s">
        <v>565</v>
      </c>
      <c r="H40" s="37"/>
      <c r="I40" s="23" t="s">
        <v>666</v>
      </c>
      <c r="J40" s="23" t="s">
        <v>667</v>
      </c>
      <c r="K40" s="23" t="s">
        <v>182</v>
      </c>
      <c r="L40" s="23"/>
      <c r="M40" s="2">
        <v>0</v>
      </c>
      <c r="N40" s="2"/>
      <c r="O40" s="2"/>
      <c r="P40" s="2"/>
      <c r="Q40" s="2"/>
      <c r="R40" s="2"/>
      <c r="S40" s="2"/>
      <c r="T40" s="2">
        <v>0</v>
      </c>
      <c r="U40" s="116">
        <f t="shared" si="0"/>
        <v>0</v>
      </c>
      <c r="V40" s="324"/>
      <c r="W40" s="324"/>
      <c r="X40" s="324"/>
      <c r="Y40" s="324"/>
      <c r="Z40" s="324"/>
      <c r="AA40" s="324">
        <v>10</v>
      </c>
      <c r="AB40" s="324"/>
      <c r="AC40" s="324"/>
      <c r="AD40" s="324"/>
      <c r="AE40" s="324"/>
      <c r="AF40" s="324"/>
      <c r="AG40" s="324"/>
      <c r="AH40" s="140">
        <f t="shared" si="1"/>
        <v>10</v>
      </c>
    </row>
    <row r="41" spans="1:34" ht="12.95" customHeight="1" x14ac:dyDescent="0.25">
      <c r="A41" s="202"/>
      <c r="B41" s="22" t="s">
        <v>54</v>
      </c>
      <c r="C41" s="34" t="s">
        <v>1492</v>
      </c>
      <c r="D41" s="22" t="s">
        <v>1677</v>
      </c>
      <c r="E41" s="22" t="s">
        <v>65</v>
      </c>
      <c r="F41" s="25" t="s">
        <v>158</v>
      </c>
      <c r="G41" s="373" t="s">
        <v>565</v>
      </c>
      <c r="H41" s="37"/>
      <c r="I41" s="23" t="s">
        <v>665</v>
      </c>
      <c r="J41" s="23" t="s">
        <v>162</v>
      </c>
      <c r="K41" s="23" t="s">
        <v>163</v>
      </c>
      <c r="L41" s="23"/>
      <c r="M41" s="2">
        <v>0</v>
      </c>
      <c r="N41" s="2"/>
      <c r="O41" s="2"/>
      <c r="P41" s="2"/>
      <c r="Q41" s="2"/>
      <c r="R41" s="2"/>
      <c r="S41" s="2"/>
      <c r="T41" s="2"/>
      <c r="U41" s="116">
        <f t="shared" si="0"/>
        <v>0</v>
      </c>
      <c r="V41" s="324">
        <v>0</v>
      </c>
      <c r="W41" s="324">
        <v>0</v>
      </c>
      <c r="X41" s="324">
        <v>0</v>
      </c>
      <c r="Y41" s="324">
        <v>0</v>
      </c>
      <c r="Z41" s="324">
        <v>0</v>
      </c>
      <c r="AA41" s="324">
        <v>0</v>
      </c>
      <c r="AB41" s="324">
        <v>0</v>
      </c>
      <c r="AC41" s="324">
        <v>0</v>
      </c>
      <c r="AD41" s="324">
        <v>0</v>
      </c>
      <c r="AE41" s="324">
        <v>0</v>
      </c>
      <c r="AF41" s="324">
        <v>3.5609999999999999</v>
      </c>
      <c r="AG41" s="324">
        <v>0</v>
      </c>
      <c r="AH41" s="140">
        <f t="shared" si="1"/>
        <v>3.5609999999999999</v>
      </c>
    </row>
    <row r="42" spans="1:34" ht="12.95" customHeight="1" x14ac:dyDescent="0.25">
      <c r="A42" s="202"/>
      <c r="B42" s="22" t="s">
        <v>54</v>
      </c>
      <c r="C42" s="34" t="s">
        <v>1492</v>
      </c>
      <c r="D42" s="22" t="s">
        <v>1677</v>
      </c>
      <c r="E42" s="22" t="s">
        <v>65</v>
      </c>
      <c r="F42" s="25" t="s">
        <v>158</v>
      </c>
      <c r="G42" s="373" t="s">
        <v>565</v>
      </c>
      <c r="H42" s="37"/>
      <c r="I42" s="23" t="s">
        <v>912</v>
      </c>
      <c r="J42" s="23" t="s">
        <v>913</v>
      </c>
      <c r="K42" s="23" t="s">
        <v>161</v>
      </c>
      <c r="L42" s="23"/>
      <c r="M42" s="2">
        <v>0</v>
      </c>
      <c r="N42" s="2"/>
      <c r="O42" s="2"/>
      <c r="P42" s="2"/>
      <c r="Q42" s="2"/>
      <c r="R42" s="2"/>
      <c r="S42" s="2"/>
      <c r="T42" s="2"/>
      <c r="U42" s="116">
        <f t="shared" si="0"/>
        <v>0</v>
      </c>
      <c r="V42" s="324">
        <v>0</v>
      </c>
      <c r="W42" s="324">
        <v>0</v>
      </c>
      <c r="X42" s="324">
        <v>0</v>
      </c>
      <c r="Y42" s="324">
        <v>0</v>
      </c>
      <c r="Z42" s="324">
        <v>0</v>
      </c>
      <c r="AA42" s="324">
        <v>0</v>
      </c>
      <c r="AB42" s="324">
        <v>0</v>
      </c>
      <c r="AC42" s="324">
        <v>0</v>
      </c>
      <c r="AD42" s="324">
        <v>0</v>
      </c>
      <c r="AE42" s="324">
        <v>0</v>
      </c>
      <c r="AF42" s="324">
        <v>0</v>
      </c>
      <c r="AG42" s="324">
        <v>0</v>
      </c>
      <c r="AH42" s="140">
        <f t="shared" si="1"/>
        <v>0</v>
      </c>
    </row>
    <row r="43" spans="1:34" ht="12.95" customHeight="1" x14ac:dyDescent="0.25">
      <c r="A43" s="202"/>
      <c r="B43" s="22" t="s">
        <v>54</v>
      </c>
      <c r="C43" s="34" t="s">
        <v>1492</v>
      </c>
      <c r="D43" s="22" t="s">
        <v>169</v>
      </c>
      <c r="E43" s="22" t="s">
        <v>65</v>
      </c>
      <c r="F43" s="25" t="s">
        <v>170</v>
      </c>
      <c r="G43" s="373" t="s">
        <v>565</v>
      </c>
      <c r="H43" s="37"/>
      <c r="I43" s="23" t="s">
        <v>671</v>
      </c>
      <c r="J43" s="23" t="s">
        <v>171</v>
      </c>
      <c r="K43" s="23" t="s">
        <v>172</v>
      </c>
      <c r="L43" s="23"/>
      <c r="M43" s="2">
        <v>0</v>
      </c>
      <c r="N43" s="2">
        <v>0</v>
      </c>
      <c r="O43" s="2">
        <v>0</v>
      </c>
      <c r="P43" s="2">
        <v>0</v>
      </c>
      <c r="Q43" s="2">
        <v>0</v>
      </c>
      <c r="R43" s="2"/>
      <c r="S43" s="2">
        <v>0</v>
      </c>
      <c r="T43" s="2">
        <v>0</v>
      </c>
      <c r="U43" s="116">
        <f t="shared" si="0"/>
        <v>0</v>
      </c>
      <c r="V43" s="324">
        <v>0</v>
      </c>
      <c r="W43" s="324">
        <v>0</v>
      </c>
      <c r="X43" s="324">
        <v>0</v>
      </c>
      <c r="Y43" s="324">
        <v>0</v>
      </c>
      <c r="Z43" s="324">
        <v>0</v>
      </c>
      <c r="AA43" s="324">
        <v>0</v>
      </c>
      <c r="AB43" s="324">
        <v>0</v>
      </c>
      <c r="AC43" s="324">
        <v>0</v>
      </c>
      <c r="AD43" s="324">
        <v>0</v>
      </c>
      <c r="AE43" s="324">
        <v>10</v>
      </c>
      <c r="AF43" s="324">
        <v>0</v>
      </c>
      <c r="AG43" s="324">
        <v>0</v>
      </c>
      <c r="AH43" s="140">
        <f t="shared" si="1"/>
        <v>10</v>
      </c>
    </row>
    <row r="44" spans="1:34" ht="12.95" customHeight="1" x14ac:dyDescent="0.25">
      <c r="A44" s="202"/>
      <c r="B44" s="22" t="s">
        <v>54</v>
      </c>
      <c r="C44" s="34" t="s">
        <v>1492</v>
      </c>
      <c r="D44" s="22" t="s">
        <v>1677</v>
      </c>
      <c r="E44" s="22" t="s">
        <v>65</v>
      </c>
      <c r="F44" s="25" t="s">
        <v>158</v>
      </c>
      <c r="G44" s="373" t="s">
        <v>565</v>
      </c>
      <c r="H44" s="37"/>
      <c r="I44" s="23" t="s">
        <v>870</v>
      </c>
      <c r="J44" s="23" t="s">
        <v>870</v>
      </c>
      <c r="K44" s="23" t="s">
        <v>871</v>
      </c>
      <c r="L44" s="23"/>
      <c r="M44" s="2">
        <v>0</v>
      </c>
      <c r="N44" s="2"/>
      <c r="O44" s="2"/>
      <c r="P44" s="2"/>
      <c r="Q44" s="2"/>
      <c r="R44" s="2"/>
      <c r="S44" s="2"/>
      <c r="T44" s="2"/>
      <c r="U44" s="116">
        <f t="shared" si="0"/>
        <v>0</v>
      </c>
      <c r="V44" s="324"/>
      <c r="W44" s="324"/>
      <c r="X44" s="324"/>
      <c r="Y44" s="324"/>
      <c r="Z44" s="324"/>
      <c r="AA44" s="324"/>
      <c r="AB44" s="324"/>
      <c r="AC44" s="324"/>
      <c r="AD44" s="324">
        <v>46</v>
      </c>
      <c r="AE44" s="324"/>
      <c r="AF44" s="324"/>
      <c r="AG44" s="324"/>
      <c r="AH44" s="140">
        <f t="shared" si="1"/>
        <v>46</v>
      </c>
    </row>
    <row r="45" spans="1:34" ht="12.95" customHeight="1" x14ac:dyDescent="0.25">
      <c r="A45" s="202"/>
      <c r="B45" s="22" t="s">
        <v>54</v>
      </c>
      <c r="C45" s="34" t="s">
        <v>1492</v>
      </c>
      <c r="D45" s="22" t="s">
        <v>1677</v>
      </c>
      <c r="E45" s="22" t="s">
        <v>65</v>
      </c>
      <c r="F45" s="25" t="s">
        <v>175</v>
      </c>
      <c r="G45" s="373" t="s">
        <v>565</v>
      </c>
      <c r="H45" s="37"/>
      <c r="I45" s="23" t="s">
        <v>176</v>
      </c>
      <c r="J45" s="23" t="s">
        <v>177</v>
      </c>
      <c r="K45" s="23" t="s">
        <v>178</v>
      </c>
      <c r="L45" s="23"/>
      <c r="M45" s="2">
        <v>0</v>
      </c>
      <c r="N45" s="2"/>
      <c r="O45" s="2"/>
      <c r="P45" s="2"/>
      <c r="Q45" s="2"/>
      <c r="R45" s="2"/>
      <c r="S45" s="2"/>
      <c r="T45" s="2"/>
      <c r="U45" s="116">
        <f t="shared" si="0"/>
        <v>0</v>
      </c>
      <c r="V45" s="324"/>
      <c r="W45" s="324"/>
      <c r="X45" s="324"/>
      <c r="Y45" s="324"/>
      <c r="Z45" s="324"/>
      <c r="AA45" s="324"/>
      <c r="AB45" s="324"/>
      <c r="AC45" s="324"/>
      <c r="AD45" s="324"/>
      <c r="AE45" s="324"/>
      <c r="AF45" s="324"/>
      <c r="AG45" s="324"/>
      <c r="AH45" s="140">
        <f t="shared" si="1"/>
        <v>0</v>
      </c>
    </row>
    <row r="46" spans="1:34" ht="12.95" customHeight="1" x14ac:dyDescent="0.25">
      <c r="A46" s="202"/>
      <c r="B46" s="22" t="s">
        <v>54</v>
      </c>
      <c r="C46" s="34" t="s">
        <v>1492</v>
      </c>
      <c r="D46" s="22" t="s">
        <v>179</v>
      </c>
      <c r="E46" s="22" t="s">
        <v>65</v>
      </c>
      <c r="F46" s="25" t="s">
        <v>1675</v>
      </c>
      <c r="G46" s="401" t="s">
        <v>1223</v>
      </c>
      <c r="H46" s="37" t="s">
        <v>1225</v>
      </c>
      <c r="I46" s="23" t="s">
        <v>1224</v>
      </c>
      <c r="J46" s="23" t="s">
        <v>1566</v>
      </c>
      <c r="K46" s="23"/>
      <c r="L46" s="23"/>
      <c r="M46" s="2">
        <v>0</v>
      </c>
      <c r="N46" s="2">
        <v>3.7</v>
      </c>
      <c r="O46" s="2">
        <v>6.59</v>
      </c>
      <c r="P46" s="356"/>
      <c r="Q46" s="356"/>
      <c r="R46" s="2">
        <v>67</v>
      </c>
      <c r="S46" s="2"/>
      <c r="T46" s="2">
        <v>93.710000000000008</v>
      </c>
      <c r="U46" s="116">
        <f t="shared" si="0"/>
        <v>171</v>
      </c>
      <c r="V46" s="324"/>
      <c r="W46" s="324"/>
      <c r="X46" s="324"/>
      <c r="Y46" s="324"/>
      <c r="Z46" s="324"/>
      <c r="AA46" s="324"/>
      <c r="AB46" s="324"/>
      <c r="AC46" s="324"/>
      <c r="AD46" s="324"/>
      <c r="AE46" s="324"/>
      <c r="AF46" s="324"/>
      <c r="AG46" s="324"/>
      <c r="AH46" s="140">
        <f t="shared" si="1"/>
        <v>0</v>
      </c>
    </row>
    <row r="47" spans="1:34" ht="12.75" customHeight="1" x14ac:dyDescent="0.25">
      <c r="A47" s="202"/>
      <c r="B47" s="22" t="s">
        <v>54</v>
      </c>
      <c r="C47" s="34" t="s">
        <v>1492</v>
      </c>
      <c r="D47" s="22" t="s">
        <v>188</v>
      </c>
      <c r="E47" s="22" t="s">
        <v>65</v>
      </c>
      <c r="F47" s="25" t="s">
        <v>189</v>
      </c>
      <c r="G47" s="373" t="s">
        <v>1233</v>
      </c>
      <c r="H47" s="37" t="s">
        <v>1235</v>
      </c>
      <c r="I47" s="23" t="s">
        <v>1565</v>
      </c>
      <c r="J47" s="23" t="s">
        <v>1559</v>
      </c>
      <c r="K47" s="23"/>
      <c r="L47" s="23"/>
      <c r="M47" s="2">
        <v>9.8500003814697266</v>
      </c>
      <c r="N47" s="2"/>
      <c r="O47" s="2"/>
      <c r="P47" s="2"/>
      <c r="Q47" s="2">
        <v>58.121960000000001</v>
      </c>
      <c r="R47" s="2"/>
      <c r="S47" s="2">
        <v>100.2</v>
      </c>
      <c r="T47" s="2">
        <v>100.82803961852998</v>
      </c>
      <c r="U47" s="116">
        <f t="shared" si="0"/>
        <v>268.99999999999972</v>
      </c>
      <c r="V47" s="324"/>
      <c r="W47" s="324"/>
      <c r="X47" s="324"/>
      <c r="Y47" s="324"/>
      <c r="Z47" s="324"/>
      <c r="AA47" s="324"/>
      <c r="AB47" s="324"/>
      <c r="AC47" s="324"/>
      <c r="AD47" s="324"/>
      <c r="AE47" s="324"/>
      <c r="AF47" s="324"/>
      <c r="AG47" s="324"/>
      <c r="AH47" s="140">
        <f t="shared" si="1"/>
        <v>0</v>
      </c>
    </row>
    <row r="48" spans="1:34" ht="12.95" customHeight="1" x14ac:dyDescent="0.25">
      <c r="A48" s="202"/>
      <c r="B48" s="22" t="s">
        <v>54</v>
      </c>
      <c r="C48" s="34" t="s">
        <v>1492</v>
      </c>
      <c r="D48" s="22" t="s">
        <v>188</v>
      </c>
      <c r="E48" s="22" t="s">
        <v>65</v>
      </c>
      <c r="F48" s="25" t="s">
        <v>175</v>
      </c>
      <c r="G48" s="373" t="s">
        <v>565</v>
      </c>
      <c r="H48" s="37"/>
      <c r="I48" s="23" t="s">
        <v>1568</v>
      </c>
      <c r="J48" s="23" t="s">
        <v>1567</v>
      </c>
      <c r="K48" s="23" t="s">
        <v>204</v>
      </c>
      <c r="L48" s="23"/>
      <c r="M48" s="2">
        <v>0</v>
      </c>
      <c r="N48" s="2"/>
      <c r="O48" s="2"/>
      <c r="P48" s="2"/>
      <c r="Q48" s="2"/>
      <c r="R48" s="2"/>
      <c r="S48" s="2"/>
      <c r="T48" s="2"/>
      <c r="U48" s="116">
        <f t="shared" si="0"/>
        <v>0</v>
      </c>
      <c r="V48" s="324"/>
      <c r="W48" s="324"/>
      <c r="X48" s="324"/>
      <c r="Y48" s="324"/>
      <c r="Z48" s="324"/>
      <c r="AA48" s="324">
        <v>30</v>
      </c>
      <c r="AB48" s="324"/>
      <c r="AC48" s="324"/>
      <c r="AD48" s="324"/>
      <c r="AE48" s="324"/>
      <c r="AF48" s="324"/>
      <c r="AG48" s="324"/>
      <c r="AH48" s="140">
        <f t="shared" si="1"/>
        <v>30</v>
      </c>
    </row>
    <row r="49" spans="1:34" ht="12.95" customHeight="1" x14ac:dyDescent="0.25">
      <c r="A49" s="202"/>
      <c r="B49" s="22" t="s">
        <v>54</v>
      </c>
      <c r="C49" s="34" t="s">
        <v>1492</v>
      </c>
      <c r="D49" s="22" t="s">
        <v>110</v>
      </c>
      <c r="E49" s="22" t="s">
        <v>65</v>
      </c>
      <c r="F49" s="25" t="s">
        <v>111</v>
      </c>
      <c r="G49" s="373" t="s">
        <v>565</v>
      </c>
      <c r="H49" s="37"/>
      <c r="I49" s="23" t="s">
        <v>661</v>
      </c>
      <c r="J49" s="23" t="s">
        <v>155</v>
      </c>
      <c r="K49" s="23" t="s">
        <v>142</v>
      </c>
      <c r="L49" s="23"/>
      <c r="M49" s="2">
        <v>0</v>
      </c>
      <c r="N49" s="2">
        <v>0</v>
      </c>
      <c r="O49" s="2">
        <v>0</v>
      </c>
      <c r="P49" s="2">
        <v>0</v>
      </c>
      <c r="Q49" s="2">
        <v>0</v>
      </c>
      <c r="R49" s="2">
        <v>0</v>
      </c>
      <c r="S49" s="2">
        <v>0</v>
      </c>
      <c r="T49" s="2"/>
      <c r="U49" s="116">
        <f t="shared" si="0"/>
        <v>0</v>
      </c>
      <c r="V49" s="324">
        <v>0</v>
      </c>
      <c r="W49" s="324">
        <v>0</v>
      </c>
      <c r="X49" s="324">
        <v>0</v>
      </c>
      <c r="Y49" s="324">
        <v>0</v>
      </c>
      <c r="Z49" s="324">
        <v>0</v>
      </c>
      <c r="AA49" s="324">
        <v>0</v>
      </c>
      <c r="AB49" s="324">
        <v>0</v>
      </c>
      <c r="AC49" s="324">
        <v>0</v>
      </c>
      <c r="AD49" s="324">
        <v>35</v>
      </c>
      <c r="AE49" s="324">
        <v>0</v>
      </c>
      <c r="AF49" s="324">
        <v>0</v>
      </c>
      <c r="AG49" s="324">
        <v>0</v>
      </c>
      <c r="AH49" s="140">
        <f t="shared" si="1"/>
        <v>35</v>
      </c>
    </row>
    <row r="50" spans="1:34" ht="12.95" customHeight="1" x14ac:dyDescent="0.25">
      <c r="A50" s="202"/>
      <c r="B50" s="22" t="s">
        <v>54</v>
      </c>
      <c r="C50" s="34" t="s">
        <v>1492</v>
      </c>
      <c r="D50" s="22" t="s">
        <v>110</v>
      </c>
      <c r="E50" s="22" t="s">
        <v>65</v>
      </c>
      <c r="F50" s="25" t="s">
        <v>111</v>
      </c>
      <c r="G50" s="373" t="s">
        <v>565</v>
      </c>
      <c r="H50" s="37"/>
      <c r="I50" s="23" t="s">
        <v>656</v>
      </c>
      <c r="J50" s="23" t="s">
        <v>147</v>
      </c>
      <c r="K50" s="23" t="s">
        <v>146</v>
      </c>
      <c r="L50" s="23"/>
      <c r="M50" s="2">
        <v>0</v>
      </c>
      <c r="N50" s="2">
        <v>0</v>
      </c>
      <c r="O50" s="2">
        <v>0</v>
      </c>
      <c r="P50" s="2">
        <v>0</v>
      </c>
      <c r="Q50" s="2">
        <v>0</v>
      </c>
      <c r="R50" s="2">
        <v>0</v>
      </c>
      <c r="S50" s="2">
        <v>0</v>
      </c>
      <c r="T50" s="2"/>
      <c r="U50" s="116">
        <f t="shared" si="0"/>
        <v>0</v>
      </c>
      <c r="V50" s="324">
        <v>0</v>
      </c>
      <c r="W50" s="324">
        <v>0</v>
      </c>
      <c r="X50" s="324">
        <v>0</v>
      </c>
      <c r="Y50" s="324">
        <v>0</v>
      </c>
      <c r="Z50" s="324">
        <v>0</v>
      </c>
      <c r="AA50" s="324">
        <v>0</v>
      </c>
      <c r="AB50" s="324">
        <v>0</v>
      </c>
      <c r="AC50" s="324">
        <v>0</v>
      </c>
      <c r="AD50" s="324">
        <v>2.2000000000000002</v>
      </c>
      <c r="AE50" s="324">
        <v>0</v>
      </c>
      <c r="AF50" s="324">
        <v>0</v>
      </c>
      <c r="AG50" s="324">
        <v>0</v>
      </c>
      <c r="AH50" s="140">
        <f t="shared" si="1"/>
        <v>2.2000000000000002</v>
      </c>
    </row>
    <row r="51" spans="1:34" ht="12.95" customHeight="1" x14ac:dyDescent="0.25">
      <c r="A51" s="202"/>
      <c r="B51" s="22" t="s">
        <v>54</v>
      </c>
      <c r="C51" s="34" t="s">
        <v>1492</v>
      </c>
      <c r="D51" s="22" t="s">
        <v>110</v>
      </c>
      <c r="E51" s="22" t="s">
        <v>65</v>
      </c>
      <c r="F51" s="25" t="s">
        <v>111</v>
      </c>
      <c r="G51" s="373" t="s">
        <v>565</v>
      </c>
      <c r="H51" s="37"/>
      <c r="I51" s="23" t="s">
        <v>660</v>
      </c>
      <c r="J51" s="23" t="s">
        <v>153</v>
      </c>
      <c r="K51" s="23" t="s">
        <v>154</v>
      </c>
      <c r="L51" s="23"/>
      <c r="M51" s="2">
        <v>0</v>
      </c>
      <c r="N51" s="2">
        <v>0</v>
      </c>
      <c r="O51" s="2">
        <v>0</v>
      </c>
      <c r="P51" s="2">
        <v>0</v>
      </c>
      <c r="Q51" s="2">
        <v>0</v>
      </c>
      <c r="R51" s="2">
        <v>0</v>
      </c>
      <c r="S51" s="2">
        <v>0</v>
      </c>
      <c r="T51" s="2"/>
      <c r="U51" s="116">
        <f t="shared" si="0"/>
        <v>0</v>
      </c>
      <c r="V51" s="324">
        <v>0</v>
      </c>
      <c r="W51" s="324">
        <v>0</v>
      </c>
      <c r="X51" s="324">
        <v>0</v>
      </c>
      <c r="Y51" s="324">
        <v>0</v>
      </c>
      <c r="Z51" s="324">
        <v>0</v>
      </c>
      <c r="AA51" s="324">
        <v>0</v>
      </c>
      <c r="AB51" s="324">
        <v>0</v>
      </c>
      <c r="AC51" s="324">
        <v>0</v>
      </c>
      <c r="AD51" s="324">
        <v>2.7</v>
      </c>
      <c r="AE51" s="324">
        <v>0</v>
      </c>
      <c r="AF51" s="324">
        <v>0</v>
      </c>
      <c r="AG51" s="324">
        <v>0</v>
      </c>
      <c r="AH51" s="140">
        <f t="shared" si="1"/>
        <v>2.7</v>
      </c>
    </row>
    <row r="52" spans="1:34" ht="12.95" customHeight="1" x14ac:dyDescent="0.25">
      <c r="A52" s="202"/>
      <c r="B52" s="22" t="s">
        <v>54</v>
      </c>
      <c r="C52" s="34" t="s">
        <v>1492</v>
      </c>
      <c r="D52" s="22" t="s">
        <v>110</v>
      </c>
      <c r="E52" s="22" t="s">
        <v>65</v>
      </c>
      <c r="F52" s="25" t="s">
        <v>111</v>
      </c>
      <c r="G52" s="373" t="s">
        <v>565</v>
      </c>
      <c r="H52" s="37"/>
      <c r="I52" s="23" t="s">
        <v>868</v>
      </c>
      <c r="J52" s="23" t="s">
        <v>869</v>
      </c>
      <c r="K52" s="23" t="s">
        <v>142</v>
      </c>
      <c r="L52" s="23"/>
      <c r="M52" s="2">
        <v>0</v>
      </c>
      <c r="N52" s="2"/>
      <c r="O52" s="2"/>
      <c r="P52" s="2"/>
      <c r="Q52" s="2"/>
      <c r="R52" s="2"/>
      <c r="S52" s="2"/>
      <c r="T52" s="2"/>
      <c r="U52" s="116">
        <f t="shared" si="0"/>
        <v>0</v>
      </c>
      <c r="V52" s="324"/>
      <c r="W52" s="324"/>
      <c r="X52" s="324"/>
      <c r="Y52" s="324"/>
      <c r="Z52" s="324"/>
      <c r="AA52" s="324"/>
      <c r="AB52" s="324">
        <v>50</v>
      </c>
      <c r="AC52" s="324"/>
      <c r="AD52" s="324"/>
      <c r="AE52" s="324"/>
      <c r="AF52" s="324"/>
      <c r="AG52" s="324"/>
      <c r="AH52" s="140">
        <f t="shared" si="1"/>
        <v>50</v>
      </c>
    </row>
    <row r="53" spans="1:34" ht="12.95" customHeight="1" x14ac:dyDescent="0.25">
      <c r="A53" s="202"/>
      <c r="B53" s="22" t="s">
        <v>54</v>
      </c>
      <c r="C53" s="34" t="s">
        <v>1492</v>
      </c>
      <c r="D53" s="22" t="s">
        <v>110</v>
      </c>
      <c r="E53" s="22" t="s">
        <v>65</v>
      </c>
      <c r="F53" s="25" t="s">
        <v>111</v>
      </c>
      <c r="G53" s="373" t="s">
        <v>565</v>
      </c>
      <c r="H53" s="37"/>
      <c r="I53" s="23" t="s">
        <v>658</v>
      </c>
      <c r="J53" s="23" t="s">
        <v>149</v>
      </c>
      <c r="K53" s="23" t="s">
        <v>146</v>
      </c>
      <c r="L53" s="23"/>
      <c r="M53" s="2">
        <v>0</v>
      </c>
      <c r="N53" s="2">
        <v>0</v>
      </c>
      <c r="O53" s="2">
        <v>0</v>
      </c>
      <c r="P53" s="2">
        <v>0</v>
      </c>
      <c r="Q53" s="2">
        <v>0</v>
      </c>
      <c r="R53" s="2">
        <v>0</v>
      </c>
      <c r="S53" s="2">
        <v>0</v>
      </c>
      <c r="T53" s="2"/>
      <c r="U53" s="116">
        <f t="shared" si="0"/>
        <v>0</v>
      </c>
      <c r="V53" s="324">
        <v>0</v>
      </c>
      <c r="W53" s="324">
        <v>0</v>
      </c>
      <c r="X53" s="324">
        <v>0</v>
      </c>
      <c r="Y53" s="324">
        <v>0</v>
      </c>
      <c r="Z53" s="324">
        <v>0</v>
      </c>
      <c r="AA53" s="324">
        <v>0</v>
      </c>
      <c r="AB53" s="324">
        <v>0</v>
      </c>
      <c r="AC53" s="324">
        <v>0</v>
      </c>
      <c r="AD53" s="324">
        <v>2.4</v>
      </c>
      <c r="AE53" s="324">
        <v>0</v>
      </c>
      <c r="AF53" s="324">
        <v>0</v>
      </c>
      <c r="AG53" s="324">
        <v>0</v>
      </c>
      <c r="AH53" s="140">
        <f t="shared" si="1"/>
        <v>2.4</v>
      </c>
    </row>
    <row r="54" spans="1:34" ht="12.95" customHeight="1" x14ac:dyDescent="0.25">
      <c r="A54" s="202"/>
      <c r="B54" s="22" t="s">
        <v>54</v>
      </c>
      <c r="C54" s="34" t="s">
        <v>1492</v>
      </c>
      <c r="D54" s="22" t="s">
        <v>110</v>
      </c>
      <c r="E54" s="22" t="s">
        <v>65</v>
      </c>
      <c r="F54" s="25" t="s">
        <v>111</v>
      </c>
      <c r="G54" s="373" t="s">
        <v>565</v>
      </c>
      <c r="H54" s="37"/>
      <c r="I54" s="23" t="s">
        <v>659</v>
      </c>
      <c r="J54" s="23" t="s">
        <v>150</v>
      </c>
      <c r="K54" s="23" t="s">
        <v>146</v>
      </c>
      <c r="L54" s="23"/>
      <c r="M54" s="2">
        <v>0</v>
      </c>
      <c r="N54" s="2">
        <v>0</v>
      </c>
      <c r="O54" s="2">
        <v>0</v>
      </c>
      <c r="P54" s="2">
        <v>0</v>
      </c>
      <c r="Q54" s="2">
        <v>0</v>
      </c>
      <c r="R54" s="2">
        <v>0</v>
      </c>
      <c r="S54" s="2">
        <v>0</v>
      </c>
      <c r="T54" s="2"/>
      <c r="U54" s="116">
        <f t="shared" si="0"/>
        <v>0</v>
      </c>
      <c r="V54" s="324">
        <v>0</v>
      </c>
      <c r="W54" s="324">
        <v>0</v>
      </c>
      <c r="X54" s="324">
        <v>0</v>
      </c>
      <c r="Y54" s="324">
        <v>0</v>
      </c>
      <c r="Z54" s="324">
        <v>0</v>
      </c>
      <c r="AA54" s="324">
        <v>0</v>
      </c>
      <c r="AB54" s="324">
        <v>0</v>
      </c>
      <c r="AC54" s="324">
        <v>0</v>
      </c>
      <c r="AD54" s="324">
        <v>3.2</v>
      </c>
      <c r="AE54" s="324">
        <v>0</v>
      </c>
      <c r="AF54" s="324">
        <v>0</v>
      </c>
      <c r="AG54" s="324">
        <v>0</v>
      </c>
      <c r="AH54" s="140">
        <f t="shared" si="1"/>
        <v>3.2</v>
      </c>
    </row>
    <row r="55" spans="1:34" ht="12.95" customHeight="1" x14ac:dyDescent="0.25">
      <c r="A55" s="202"/>
      <c r="B55" s="22" t="s">
        <v>54</v>
      </c>
      <c r="C55" s="34" t="s">
        <v>1492</v>
      </c>
      <c r="D55" s="22" t="s">
        <v>110</v>
      </c>
      <c r="E55" s="22" t="s">
        <v>65</v>
      </c>
      <c r="F55" s="25" t="s">
        <v>111</v>
      </c>
      <c r="G55" s="373" t="s">
        <v>565</v>
      </c>
      <c r="H55" s="37"/>
      <c r="I55" s="23" t="s">
        <v>657</v>
      </c>
      <c r="J55" s="23" t="s">
        <v>148</v>
      </c>
      <c r="K55" s="23" t="s">
        <v>146</v>
      </c>
      <c r="L55" s="23"/>
      <c r="M55" s="2">
        <v>0</v>
      </c>
      <c r="N55" s="2">
        <v>0</v>
      </c>
      <c r="O55" s="2">
        <v>0</v>
      </c>
      <c r="P55" s="2">
        <v>0</v>
      </c>
      <c r="Q55" s="2">
        <v>0</v>
      </c>
      <c r="R55" s="2">
        <v>0</v>
      </c>
      <c r="S55" s="2">
        <v>0</v>
      </c>
      <c r="T55" s="2"/>
      <c r="U55" s="116">
        <f t="shared" si="0"/>
        <v>0</v>
      </c>
      <c r="V55" s="324">
        <v>0</v>
      </c>
      <c r="W55" s="324">
        <v>0</v>
      </c>
      <c r="X55" s="324">
        <v>0</v>
      </c>
      <c r="Y55" s="324">
        <v>0</v>
      </c>
      <c r="Z55" s="324">
        <v>0</v>
      </c>
      <c r="AA55" s="324">
        <v>0</v>
      </c>
      <c r="AB55" s="324">
        <v>0</v>
      </c>
      <c r="AC55" s="324">
        <v>0</v>
      </c>
      <c r="AD55" s="324">
        <v>4.4000000000000004</v>
      </c>
      <c r="AE55" s="324">
        <v>0</v>
      </c>
      <c r="AF55" s="324">
        <v>0</v>
      </c>
      <c r="AG55" s="324">
        <v>0</v>
      </c>
      <c r="AH55" s="140">
        <f t="shared" si="1"/>
        <v>4.4000000000000004</v>
      </c>
    </row>
    <row r="56" spans="1:34" ht="12.95" customHeight="1" x14ac:dyDescent="0.25">
      <c r="A56" s="202"/>
      <c r="B56" s="22" t="s">
        <v>54</v>
      </c>
      <c r="C56" s="34" t="s">
        <v>1492</v>
      </c>
      <c r="D56" s="22" t="s">
        <v>110</v>
      </c>
      <c r="E56" s="22" t="s">
        <v>65</v>
      </c>
      <c r="F56" s="25" t="s">
        <v>111</v>
      </c>
      <c r="G56" s="373" t="s">
        <v>565</v>
      </c>
      <c r="H56" s="37"/>
      <c r="I56" s="23" t="s">
        <v>662</v>
      </c>
      <c r="J56" s="23" t="s">
        <v>156</v>
      </c>
      <c r="K56" s="23" t="s">
        <v>142</v>
      </c>
      <c r="L56" s="23"/>
      <c r="M56" s="2">
        <v>0</v>
      </c>
      <c r="N56" s="2">
        <v>0</v>
      </c>
      <c r="O56" s="2">
        <v>0</v>
      </c>
      <c r="P56" s="2">
        <v>0</v>
      </c>
      <c r="Q56" s="2">
        <v>0</v>
      </c>
      <c r="R56" s="2">
        <v>0</v>
      </c>
      <c r="S56" s="2">
        <v>0</v>
      </c>
      <c r="T56" s="2"/>
      <c r="U56" s="116">
        <f t="shared" si="0"/>
        <v>0</v>
      </c>
      <c r="V56" s="324">
        <v>0</v>
      </c>
      <c r="W56" s="324">
        <v>0</v>
      </c>
      <c r="X56" s="324">
        <v>0</v>
      </c>
      <c r="Y56" s="324">
        <v>0</v>
      </c>
      <c r="Z56" s="324">
        <v>0</v>
      </c>
      <c r="AA56" s="324">
        <v>0</v>
      </c>
      <c r="AB56" s="324">
        <v>20</v>
      </c>
      <c r="AC56" s="324">
        <v>0</v>
      </c>
      <c r="AD56" s="324">
        <v>0</v>
      </c>
      <c r="AE56" s="324">
        <v>0</v>
      </c>
      <c r="AF56" s="324">
        <v>0</v>
      </c>
      <c r="AG56" s="324">
        <v>0</v>
      </c>
      <c r="AH56" s="140">
        <f t="shared" si="1"/>
        <v>20</v>
      </c>
    </row>
    <row r="57" spans="1:34" ht="12.95" customHeight="1" x14ac:dyDescent="0.25">
      <c r="A57" s="202"/>
      <c r="B57" s="22" t="s">
        <v>54</v>
      </c>
      <c r="C57" s="34" t="s">
        <v>1492</v>
      </c>
      <c r="D57" s="22" t="s">
        <v>110</v>
      </c>
      <c r="E57" s="22" t="s">
        <v>65</v>
      </c>
      <c r="F57" s="25" t="s">
        <v>111</v>
      </c>
      <c r="G57" s="373" t="s">
        <v>565</v>
      </c>
      <c r="H57" s="37"/>
      <c r="I57" s="23" t="s">
        <v>663</v>
      </c>
      <c r="J57" s="23" t="s">
        <v>157</v>
      </c>
      <c r="K57" s="23" t="s">
        <v>142</v>
      </c>
      <c r="L57" s="23"/>
      <c r="M57" s="2">
        <v>0</v>
      </c>
      <c r="N57" s="2">
        <v>0</v>
      </c>
      <c r="O57" s="2">
        <v>0</v>
      </c>
      <c r="P57" s="2">
        <v>0</v>
      </c>
      <c r="Q57" s="2">
        <v>0</v>
      </c>
      <c r="R57" s="2">
        <v>0</v>
      </c>
      <c r="S57" s="2">
        <v>0</v>
      </c>
      <c r="T57" s="2"/>
      <c r="U57" s="116">
        <f t="shared" si="0"/>
        <v>0</v>
      </c>
      <c r="V57" s="324">
        <v>0</v>
      </c>
      <c r="W57" s="324">
        <v>0</v>
      </c>
      <c r="X57" s="324">
        <v>0</v>
      </c>
      <c r="Y57" s="324">
        <v>0</v>
      </c>
      <c r="Z57" s="324">
        <v>0</v>
      </c>
      <c r="AA57" s="324">
        <v>0</v>
      </c>
      <c r="AB57" s="324">
        <v>25</v>
      </c>
      <c r="AC57" s="324">
        <v>0</v>
      </c>
      <c r="AD57" s="324">
        <v>0</v>
      </c>
      <c r="AE57" s="324">
        <v>0</v>
      </c>
      <c r="AF57" s="324">
        <v>0</v>
      </c>
      <c r="AG57" s="324">
        <v>0</v>
      </c>
      <c r="AH57" s="140">
        <f t="shared" si="1"/>
        <v>25</v>
      </c>
    </row>
    <row r="58" spans="1:34" ht="12.95" customHeight="1" x14ac:dyDescent="0.25">
      <c r="A58" s="202"/>
      <c r="B58" s="22" t="s">
        <v>54</v>
      </c>
      <c r="C58" s="34" t="s">
        <v>1492</v>
      </c>
      <c r="D58" s="22" t="s">
        <v>110</v>
      </c>
      <c r="E58" s="22" t="s">
        <v>65</v>
      </c>
      <c r="F58" s="25" t="s">
        <v>111</v>
      </c>
      <c r="G58" s="373" t="s">
        <v>565</v>
      </c>
      <c r="H58" s="37"/>
      <c r="I58" s="23" t="s">
        <v>655</v>
      </c>
      <c r="J58" s="23" t="s">
        <v>145</v>
      </c>
      <c r="K58" s="23" t="s">
        <v>146</v>
      </c>
      <c r="L58" s="23"/>
      <c r="M58" s="2">
        <v>0</v>
      </c>
      <c r="N58" s="2">
        <v>0</v>
      </c>
      <c r="O58" s="2">
        <v>0</v>
      </c>
      <c r="P58" s="2">
        <v>0</v>
      </c>
      <c r="Q58" s="2">
        <v>0</v>
      </c>
      <c r="R58" s="2">
        <v>0</v>
      </c>
      <c r="S58" s="2">
        <v>0</v>
      </c>
      <c r="T58" s="2"/>
      <c r="U58" s="116">
        <f t="shared" si="0"/>
        <v>0</v>
      </c>
      <c r="V58" s="324">
        <v>0</v>
      </c>
      <c r="W58" s="324">
        <v>0</v>
      </c>
      <c r="X58" s="324">
        <v>0</v>
      </c>
      <c r="Y58" s="324">
        <v>0</v>
      </c>
      <c r="Z58" s="324">
        <v>0</v>
      </c>
      <c r="AA58" s="324">
        <v>0</v>
      </c>
      <c r="AB58" s="324">
        <v>0</v>
      </c>
      <c r="AC58" s="324">
        <v>0</v>
      </c>
      <c r="AD58" s="324">
        <v>2.8</v>
      </c>
      <c r="AE58" s="324">
        <v>0</v>
      </c>
      <c r="AF58" s="324">
        <v>0</v>
      </c>
      <c r="AG58" s="324">
        <v>0</v>
      </c>
      <c r="AH58" s="140">
        <f t="shared" si="1"/>
        <v>2.8</v>
      </c>
    </row>
    <row r="59" spans="1:34" ht="12.95" customHeight="1" x14ac:dyDescent="0.25">
      <c r="A59" s="202"/>
      <c r="B59" s="22" t="s">
        <v>54</v>
      </c>
      <c r="C59" s="34" t="s">
        <v>1492</v>
      </c>
      <c r="D59" s="22" t="s">
        <v>110</v>
      </c>
      <c r="E59" s="22" t="s">
        <v>65</v>
      </c>
      <c r="F59" s="25" t="s">
        <v>111</v>
      </c>
      <c r="G59" s="373" t="s">
        <v>565</v>
      </c>
      <c r="H59" s="37"/>
      <c r="I59" s="23" t="s">
        <v>143</v>
      </c>
      <c r="J59" s="23" t="s">
        <v>144</v>
      </c>
      <c r="K59" s="23" t="s">
        <v>142</v>
      </c>
      <c r="L59" s="23"/>
      <c r="M59" s="2">
        <v>0</v>
      </c>
      <c r="N59" s="2">
        <v>0</v>
      </c>
      <c r="O59" s="2">
        <v>0</v>
      </c>
      <c r="P59" s="2">
        <v>0</v>
      </c>
      <c r="Q59" s="2">
        <v>0</v>
      </c>
      <c r="R59" s="2">
        <v>0</v>
      </c>
      <c r="S59" s="2">
        <v>0</v>
      </c>
      <c r="T59" s="2"/>
      <c r="U59" s="116">
        <f t="shared" si="0"/>
        <v>0</v>
      </c>
      <c r="V59" s="324">
        <v>0</v>
      </c>
      <c r="W59" s="324">
        <v>0</v>
      </c>
      <c r="X59" s="324">
        <v>0</v>
      </c>
      <c r="Y59" s="324">
        <v>0</v>
      </c>
      <c r="Z59" s="324">
        <v>0</v>
      </c>
      <c r="AA59" s="324">
        <v>0</v>
      </c>
      <c r="AB59" s="324">
        <v>0</v>
      </c>
      <c r="AC59" s="324">
        <v>0</v>
      </c>
      <c r="AD59" s="324">
        <v>3.1</v>
      </c>
      <c r="AE59" s="324">
        <v>0</v>
      </c>
      <c r="AF59" s="324">
        <v>0</v>
      </c>
      <c r="AG59" s="324">
        <v>0</v>
      </c>
      <c r="AH59" s="140">
        <f t="shared" si="1"/>
        <v>3.1</v>
      </c>
    </row>
    <row r="60" spans="1:34" ht="12.95" customHeight="1" x14ac:dyDescent="0.25">
      <c r="A60" s="202"/>
      <c r="B60" s="22" t="s">
        <v>54</v>
      </c>
      <c r="C60" s="34" t="s">
        <v>1492</v>
      </c>
      <c r="D60" s="22" t="s">
        <v>110</v>
      </c>
      <c r="E60" s="22" t="s">
        <v>65</v>
      </c>
      <c r="F60" s="25" t="s">
        <v>111</v>
      </c>
      <c r="G60" s="373" t="s">
        <v>565</v>
      </c>
      <c r="H60" s="37"/>
      <c r="I60" s="23" t="s">
        <v>137</v>
      </c>
      <c r="J60" s="23" t="s">
        <v>138</v>
      </c>
      <c r="K60" s="23" t="s">
        <v>139</v>
      </c>
      <c r="L60" s="23"/>
      <c r="M60" s="2">
        <v>0</v>
      </c>
      <c r="N60" s="2">
        <v>0</v>
      </c>
      <c r="O60" s="2">
        <v>0</v>
      </c>
      <c r="P60" s="2">
        <v>0</v>
      </c>
      <c r="Q60" s="2">
        <v>0</v>
      </c>
      <c r="R60" s="2">
        <v>0</v>
      </c>
      <c r="S60" s="2">
        <v>0</v>
      </c>
      <c r="T60" s="2"/>
      <c r="U60" s="116">
        <f t="shared" si="0"/>
        <v>0</v>
      </c>
      <c r="V60" s="324">
        <v>0</v>
      </c>
      <c r="W60" s="324">
        <v>0</v>
      </c>
      <c r="X60" s="324">
        <v>0</v>
      </c>
      <c r="Y60" s="324">
        <v>0</v>
      </c>
      <c r="Z60" s="324">
        <v>0</v>
      </c>
      <c r="AA60" s="324">
        <v>0</v>
      </c>
      <c r="AB60" s="324">
        <v>50</v>
      </c>
      <c r="AC60" s="324">
        <v>0</v>
      </c>
      <c r="AD60" s="324">
        <v>0</v>
      </c>
      <c r="AE60" s="324">
        <v>0</v>
      </c>
      <c r="AF60" s="324">
        <v>0</v>
      </c>
      <c r="AG60" s="324">
        <v>0</v>
      </c>
      <c r="AH60" s="140">
        <f t="shared" si="1"/>
        <v>50</v>
      </c>
    </row>
    <row r="61" spans="1:34" ht="12.95" customHeight="1" x14ac:dyDescent="0.25">
      <c r="A61" s="202"/>
      <c r="B61" s="22" t="s">
        <v>54</v>
      </c>
      <c r="C61" s="34" t="s">
        <v>1492</v>
      </c>
      <c r="D61" s="22" t="s">
        <v>110</v>
      </c>
      <c r="E61" s="22" t="s">
        <v>65</v>
      </c>
      <c r="F61" s="25" t="s">
        <v>111</v>
      </c>
      <c r="G61" s="373" t="s">
        <v>565</v>
      </c>
      <c r="H61" s="37"/>
      <c r="I61" s="23" t="s">
        <v>122</v>
      </c>
      <c r="J61" s="23" t="s">
        <v>123</v>
      </c>
      <c r="K61" s="23" t="s">
        <v>121</v>
      </c>
      <c r="L61" s="23"/>
      <c r="M61" s="2">
        <v>0</v>
      </c>
      <c r="N61" s="2">
        <v>0</v>
      </c>
      <c r="O61" s="2">
        <v>0</v>
      </c>
      <c r="P61" s="2">
        <v>0</v>
      </c>
      <c r="Q61" s="2">
        <v>0</v>
      </c>
      <c r="R61" s="2">
        <v>0</v>
      </c>
      <c r="S61" s="2">
        <v>0</v>
      </c>
      <c r="T61" s="2">
        <v>0</v>
      </c>
      <c r="U61" s="116">
        <f t="shared" si="0"/>
        <v>0</v>
      </c>
      <c r="V61" s="324">
        <v>0</v>
      </c>
      <c r="W61" s="324">
        <v>0</v>
      </c>
      <c r="X61" s="324">
        <v>0</v>
      </c>
      <c r="Y61" s="324">
        <v>0</v>
      </c>
      <c r="Z61" s="324">
        <v>0</v>
      </c>
      <c r="AA61" s="324">
        <v>0</v>
      </c>
      <c r="AB61" s="324">
        <v>0</v>
      </c>
      <c r="AC61" s="324">
        <v>0</v>
      </c>
      <c r="AD61" s="324">
        <v>0</v>
      </c>
      <c r="AE61" s="324">
        <v>0</v>
      </c>
      <c r="AF61" s="324">
        <v>0</v>
      </c>
      <c r="AG61" s="324">
        <v>50</v>
      </c>
      <c r="AH61" s="140">
        <f t="shared" si="1"/>
        <v>50</v>
      </c>
    </row>
    <row r="62" spans="1:34" ht="12.95" customHeight="1" x14ac:dyDescent="0.25">
      <c r="A62" s="202"/>
      <c r="B62" s="22" t="s">
        <v>54</v>
      </c>
      <c r="C62" s="34" t="s">
        <v>1492</v>
      </c>
      <c r="D62" s="22" t="s">
        <v>110</v>
      </c>
      <c r="E62" s="22" t="s">
        <v>65</v>
      </c>
      <c r="F62" s="25" t="s">
        <v>111</v>
      </c>
      <c r="G62" s="373" t="s">
        <v>565</v>
      </c>
      <c r="H62" s="37"/>
      <c r="I62" s="23" t="s">
        <v>130</v>
      </c>
      <c r="J62" s="23" t="s">
        <v>131</v>
      </c>
      <c r="K62" s="23" t="s">
        <v>121</v>
      </c>
      <c r="L62" s="23"/>
      <c r="M62" s="2">
        <v>0</v>
      </c>
      <c r="N62" s="2">
        <v>0</v>
      </c>
      <c r="O62" s="2">
        <v>0</v>
      </c>
      <c r="P62" s="2">
        <v>0</v>
      </c>
      <c r="Q62" s="2">
        <v>0</v>
      </c>
      <c r="R62" s="2">
        <v>0</v>
      </c>
      <c r="S62" s="2">
        <v>0</v>
      </c>
      <c r="T62" s="2">
        <v>0</v>
      </c>
      <c r="U62" s="116">
        <f t="shared" si="0"/>
        <v>0</v>
      </c>
      <c r="V62" s="324">
        <v>0</v>
      </c>
      <c r="W62" s="324">
        <v>0</v>
      </c>
      <c r="X62" s="324">
        <v>0</v>
      </c>
      <c r="Y62" s="324">
        <v>0</v>
      </c>
      <c r="Z62" s="324">
        <v>0</v>
      </c>
      <c r="AA62" s="324">
        <v>0</v>
      </c>
      <c r="AB62" s="324">
        <v>0</v>
      </c>
      <c r="AC62" s="324">
        <v>0</v>
      </c>
      <c r="AD62" s="324">
        <v>0</v>
      </c>
      <c r="AE62" s="324">
        <v>0</v>
      </c>
      <c r="AF62" s="324">
        <v>0</v>
      </c>
      <c r="AG62" s="324">
        <v>0</v>
      </c>
      <c r="AH62" s="140">
        <f t="shared" si="1"/>
        <v>0</v>
      </c>
    </row>
    <row r="63" spans="1:34" ht="12.95" customHeight="1" x14ac:dyDescent="0.25">
      <c r="A63" s="202"/>
      <c r="B63" s="22" t="s">
        <v>54</v>
      </c>
      <c r="C63" s="34" t="s">
        <v>1492</v>
      </c>
      <c r="D63" s="22" t="s">
        <v>110</v>
      </c>
      <c r="E63" s="22" t="s">
        <v>65</v>
      </c>
      <c r="F63" s="25" t="s">
        <v>111</v>
      </c>
      <c r="G63" s="373" t="s">
        <v>565</v>
      </c>
      <c r="H63" s="37"/>
      <c r="I63" s="23" t="s">
        <v>124</v>
      </c>
      <c r="J63" s="23" t="s">
        <v>125</v>
      </c>
      <c r="K63" s="23" t="s">
        <v>121</v>
      </c>
      <c r="L63" s="23"/>
      <c r="M63" s="2">
        <v>0</v>
      </c>
      <c r="N63" s="2">
        <v>0</v>
      </c>
      <c r="O63" s="2">
        <v>0</v>
      </c>
      <c r="P63" s="2">
        <v>0</v>
      </c>
      <c r="Q63" s="2">
        <v>0</v>
      </c>
      <c r="R63" s="2">
        <v>0</v>
      </c>
      <c r="S63" s="2">
        <v>0</v>
      </c>
      <c r="T63" s="2">
        <v>0</v>
      </c>
      <c r="U63" s="116">
        <f t="shared" si="0"/>
        <v>0</v>
      </c>
      <c r="V63" s="324">
        <v>0</v>
      </c>
      <c r="W63" s="324">
        <v>0</v>
      </c>
      <c r="X63" s="324">
        <v>0</v>
      </c>
      <c r="Y63" s="324">
        <v>0</v>
      </c>
      <c r="Z63" s="324">
        <v>0</v>
      </c>
      <c r="AA63" s="324">
        <v>0</v>
      </c>
      <c r="AB63" s="324">
        <v>0</v>
      </c>
      <c r="AC63" s="324">
        <v>0</v>
      </c>
      <c r="AD63" s="324">
        <v>0</v>
      </c>
      <c r="AE63" s="324">
        <v>0</v>
      </c>
      <c r="AF63" s="324">
        <v>0</v>
      </c>
      <c r="AG63" s="324">
        <v>0</v>
      </c>
      <c r="AH63" s="140">
        <f t="shared" si="1"/>
        <v>0</v>
      </c>
    </row>
    <row r="64" spans="1:34" ht="12.95" customHeight="1" x14ac:dyDescent="0.25">
      <c r="A64" s="202"/>
      <c r="B64" s="22" t="s">
        <v>54</v>
      </c>
      <c r="C64" s="34" t="s">
        <v>1492</v>
      </c>
      <c r="D64" s="22" t="s">
        <v>110</v>
      </c>
      <c r="E64" s="22" t="s">
        <v>65</v>
      </c>
      <c r="F64" s="25" t="s">
        <v>111</v>
      </c>
      <c r="G64" s="373" t="s">
        <v>565</v>
      </c>
      <c r="H64" s="37"/>
      <c r="I64" s="23" t="s">
        <v>140</v>
      </c>
      <c r="J64" s="23" t="s">
        <v>141</v>
      </c>
      <c r="K64" s="23" t="s">
        <v>142</v>
      </c>
      <c r="L64" s="23"/>
      <c r="M64" s="2">
        <v>0</v>
      </c>
      <c r="N64" s="2">
        <v>0</v>
      </c>
      <c r="O64" s="2">
        <v>0</v>
      </c>
      <c r="P64" s="2">
        <v>0</v>
      </c>
      <c r="Q64" s="2">
        <v>0</v>
      </c>
      <c r="R64" s="2">
        <v>0</v>
      </c>
      <c r="S64" s="2">
        <v>0</v>
      </c>
      <c r="T64" s="2"/>
      <c r="U64" s="116">
        <f t="shared" si="0"/>
        <v>0</v>
      </c>
      <c r="V64" s="324">
        <v>0</v>
      </c>
      <c r="W64" s="324">
        <v>0</v>
      </c>
      <c r="X64" s="324">
        <v>0</v>
      </c>
      <c r="Y64" s="324">
        <v>0</v>
      </c>
      <c r="Z64" s="324">
        <v>0</v>
      </c>
      <c r="AA64" s="324">
        <v>0</v>
      </c>
      <c r="AB64" s="324">
        <v>0</v>
      </c>
      <c r="AC64" s="324">
        <v>0</v>
      </c>
      <c r="AD64" s="324">
        <v>12.2</v>
      </c>
      <c r="AE64" s="324">
        <v>0</v>
      </c>
      <c r="AF64" s="324">
        <v>0</v>
      </c>
      <c r="AG64" s="324">
        <v>0</v>
      </c>
      <c r="AH64" s="140">
        <f t="shared" si="1"/>
        <v>12.2</v>
      </c>
    </row>
    <row r="65" spans="1:34" ht="12.95" customHeight="1" x14ac:dyDescent="0.25">
      <c r="A65" s="202"/>
      <c r="B65" s="22" t="s">
        <v>54</v>
      </c>
      <c r="C65" s="34" t="s">
        <v>1492</v>
      </c>
      <c r="D65" s="22" t="s">
        <v>110</v>
      </c>
      <c r="E65" s="22" t="s">
        <v>65</v>
      </c>
      <c r="F65" s="25" t="s">
        <v>111</v>
      </c>
      <c r="G65" s="373" t="s">
        <v>565</v>
      </c>
      <c r="H65" s="37"/>
      <c r="I65" s="23" t="s">
        <v>132</v>
      </c>
      <c r="J65" s="23" t="s">
        <v>133</v>
      </c>
      <c r="K65" s="23" t="s">
        <v>134</v>
      </c>
      <c r="L65" s="23"/>
      <c r="M65" s="2">
        <v>0</v>
      </c>
      <c r="N65" s="2">
        <v>0</v>
      </c>
      <c r="O65" s="2">
        <v>0</v>
      </c>
      <c r="P65" s="2">
        <v>0</v>
      </c>
      <c r="Q65" s="2">
        <v>0</v>
      </c>
      <c r="R65" s="2">
        <v>0</v>
      </c>
      <c r="S65" s="2">
        <v>0</v>
      </c>
      <c r="T65" s="2">
        <v>0</v>
      </c>
      <c r="U65" s="116">
        <f t="shared" si="0"/>
        <v>0</v>
      </c>
      <c r="V65" s="324">
        <v>0</v>
      </c>
      <c r="W65" s="324">
        <v>0</v>
      </c>
      <c r="X65" s="324">
        <v>0</v>
      </c>
      <c r="Y65" s="324">
        <v>0</v>
      </c>
      <c r="Z65" s="324">
        <v>0</v>
      </c>
      <c r="AA65" s="324">
        <v>0</v>
      </c>
      <c r="AB65" s="324">
        <v>0</v>
      </c>
      <c r="AC65" s="324">
        <v>0</v>
      </c>
      <c r="AD65" s="324">
        <v>0</v>
      </c>
      <c r="AE65" s="324">
        <v>0</v>
      </c>
      <c r="AF65" s="324">
        <v>0</v>
      </c>
      <c r="AG65" s="324">
        <v>0</v>
      </c>
      <c r="AH65" s="140">
        <f t="shared" si="1"/>
        <v>0</v>
      </c>
    </row>
    <row r="66" spans="1:34" ht="12.95" customHeight="1" x14ac:dyDescent="0.25">
      <c r="A66" s="202"/>
      <c r="B66" s="22" t="s">
        <v>54</v>
      </c>
      <c r="C66" s="34" t="s">
        <v>1492</v>
      </c>
      <c r="D66" s="22" t="s">
        <v>110</v>
      </c>
      <c r="E66" s="22" t="s">
        <v>65</v>
      </c>
      <c r="F66" s="25" t="s">
        <v>111</v>
      </c>
      <c r="G66" s="373" t="s">
        <v>565</v>
      </c>
      <c r="H66" s="37"/>
      <c r="I66" s="23" t="s">
        <v>126</v>
      </c>
      <c r="J66" s="23" t="s">
        <v>127</v>
      </c>
      <c r="K66" s="23" t="s">
        <v>121</v>
      </c>
      <c r="L66" s="23"/>
      <c r="M66" s="2">
        <v>0</v>
      </c>
      <c r="N66" s="2">
        <v>0</v>
      </c>
      <c r="O66" s="2">
        <v>0</v>
      </c>
      <c r="P66" s="2">
        <v>0</v>
      </c>
      <c r="Q66" s="2">
        <v>0</v>
      </c>
      <c r="R66" s="2">
        <v>0</v>
      </c>
      <c r="S66" s="2">
        <v>0</v>
      </c>
      <c r="T66" s="2">
        <v>0</v>
      </c>
      <c r="U66" s="116">
        <f t="shared" si="0"/>
        <v>0</v>
      </c>
      <c r="V66" s="324">
        <v>0</v>
      </c>
      <c r="W66" s="324">
        <v>0</v>
      </c>
      <c r="X66" s="324">
        <v>0</v>
      </c>
      <c r="Y66" s="324">
        <v>0</v>
      </c>
      <c r="Z66" s="324">
        <v>0</v>
      </c>
      <c r="AA66" s="324">
        <v>0</v>
      </c>
      <c r="AB66" s="324">
        <v>0</v>
      </c>
      <c r="AC66" s="324">
        <v>0</v>
      </c>
      <c r="AD66" s="324">
        <v>0</v>
      </c>
      <c r="AE66" s="324">
        <v>0</v>
      </c>
      <c r="AF66" s="324">
        <v>0</v>
      </c>
      <c r="AG66" s="324">
        <v>0</v>
      </c>
      <c r="AH66" s="140">
        <f t="shared" si="1"/>
        <v>0</v>
      </c>
    </row>
    <row r="67" spans="1:34" ht="12.95" customHeight="1" x14ac:dyDescent="0.25">
      <c r="A67" s="202"/>
      <c r="B67" s="22" t="s">
        <v>54</v>
      </c>
      <c r="C67" s="34" t="s">
        <v>1492</v>
      </c>
      <c r="D67" s="22" t="s">
        <v>110</v>
      </c>
      <c r="E67" s="22" t="s">
        <v>65</v>
      </c>
      <c r="F67" s="25" t="s">
        <v>111</v>
      </c>
      <c r="G67" s="373" t="s">
        <v>565</v>
      </c>
      <c r="H67" s="37"/>
      <c r="I67" s="23" t="s">
        <v>128</v>
      </c>
      <c r="J67" s="23" t="s">
        <v>129</v>
      </c>
      <c r="K67" s="23" t="s">
        <v>121</v>
      </c>
      <c r="L67" s="23"/>
      <c r="M67" s="2">
        <v>0</v>
      </c>
      <c r="N67" s="2">
        <v>0</v>
      </c>
      <c r="O67" s="2">
        <v>0</v>
      </c>
      <c r="P67" s="2">
        <v>0</v>
      </c>
      <c r="Q67" s="2">
        <v>0</v>
      </c>
      <c r="R67" s="2">
        <v>0</v>
      </c>
      <c r="S67" s="2">
        <v>0</v>
      </c>
      <c r="T67" s="2">
        <v>0</v>
      </c>
      <c r="U67" s="116">
        <f t="shared" si="0"/>
        <v>0</v>
      </c>
      <c r="V67" s="324">
        <v>0</v>
      </c>
      <c r="W67" s="324">
        <v>0</v>
      </c>
      <c r="X67" s="324">
        <v>0</v>
      </c>
      <c r="Y67" s="324">
        <v>0</v>
      </c>
      <c r="Z67" s="324">
        <v>0</v>
      </c>
      <c r="AA67" s="324">
        <v>0</v>
      </c>
      <c r="AB67" s="324">
        <v>0</v>
      </c>
      <c r="AC67" s="324">
        <v>0</v>
      </c>
      <c r="AD67" s="324">
        <v>0</v>
      </c>
      <c r="AE67" s="324">
        <v>0</v>
      </c>
      <c r="AF67" s="324">
        <v>0</v>
      </c>
      <c r="AG67" s="324">
        <v>0</v>
      </c>
      <c r="AH67" s="140">
        <f t="shared" si="1"/>
        <v>0</v>
      </c>
    </row>
    <row r="68" spans="1:34" ht="12.95" customHeight="1" x14ac:dyDescent="0.25">
      <c r="A68" s="202"/>
      <c r="B68" s="22" t="s">
        <v>54</v>
      </c>
      <c r="C68" s="34" t="s">
        <v>1492</v>
      </c>
      <c r="D68" s="22" t="s">
        <v>103</v>
      </c>
      <c r="E68" s="22" t="s">
        <v>65</v>
      </c>
      <c r="F68" s="25" t="s">
        <v>104</v>
      </c>
      <c r="G68" s="373" t="s">
        <v>565</v>
      </c>
      <c r="H68" s="37"/>
      <c r="I68" s="23" t="s">
        <v>654</v>
      </c>
      <c r="J68" s="23" t="s">
        <v>107</v>
      </c>
      <c r="K68" s="23" t="s">
        <v>106</v>
      </c>
      <c r="L68" s="23"/>
      <c r="M68" s="2">
        <v>0</v>
      </c>
      <c r="N68" s="2"/>
      <c r="O68" s="2"/>
      <c r="P68" s="2"/>
      <c r="Q68" s="2"/>
      <c r="R68" s="2"/>
      <c r="S68" s="2"/>
      <c r="T68" s="2"/>
      <c r="U68" s="116">
        <f t="shared" si="0"/>
        <v>0</v>
      </c>
      <c r="V68" s="324"/>
      <c r="W68" s="324"/>
      <c r="X68" s="324"/>
      <c r="Y68" s="324"/>
      <c r="Z68" s="324"/>
      <c r="AA68" s="324"/>
      <c r="AB68" s="324">
        <v>5.8559999999999999</v>
      </c>
      <c r="AC68" s="324"/>
      <c r="AD68" s="324"/>
      <c r="AE68" s="324"/>
      <c r="AF68" s="324"/>
      <c r="AG68" s="324"/>
      <c r="AH68" s="140">
        <f t="shared" si="1"/>
        <v>5.8559999999999999</v>
      </c>
    </row>
    <row r="69" spans="1:34" ht="12.75" customHeight="1" x14ac:dyDescent="0.25">
      <c r="A69" s="202"/>
      <c r="B69" s="22" t="s">
        <v>54</v>
      </c>
      <c r="C69" s="34" t="s">
        <v>1492</v>
      </c>
      <c r="D69" s="22" t="s">
        <v>103</v>
      </c>
      <c r="E69" s="22" t="s">
        <v>65</v>
      </c>
      <c r="F69" s="25" t="s">
        <v>104</v>
      </c>
      <c r="G69" s="373" t="s">
        <v>565</v>
      </c>
      <c r="H69" s="37"/>
      <c r="I69" s="23" t="s">
        <v>653</v>
      </c>
      <c r="J69" s="23" t="s">
        <v>105</v>
      </c>
      <c r="K69" s="23" t="s">
        <v>106</v>
      </c>
      <c r="L69" s="23"/>
      <c r="M69" s="2">
        <v>0</v>
      </c>
      <c r="N69" s="2"/>
      <c r="O69" s="2"/>
      <c r="P69" s="2"/>
      <c r="Q69" s="2"/>
      <c r="R69" s="2"/>
      <c r="S69" s="2"/>
      <c r="T69" s="2"/>
      <c r="U69" s="116">
        <f t="shared" si="0"/>
        <v>0</v>
      </c>
      <c r="V69" s="324"/>
      <c r="W69" s="324"/>
      <c r="X69" s="324"/>
      <c r="Y69" s="324"/>
      <c r="Z69" s="324"/>
      <c r="AA69" s="324"/>
      <c r="AB69" s="324">
        <v>1.59</v>
      </c>
      <c r="AC69" s="324"/>
      <c r="AD69" s="324"/>
      <c r="AE69" s="324"/>
      <c r="AF69" s="324"/>
      <c r="AG69" s="324"/>
      <c r="AH69" s="140">
        <f t="shared" si="1"/>
        <v>1.59</v>
      </c>
    </row>
    <row r="70" spans="1:34" ht="12.95" customHeight="1" x14ac:dyDescent="0.25">
      <c r="A70" s="202"/>
      <c r="B70" s="22" t="s">
        <v>54</v>
      </c>
      <c r="C70" s="34" t="s">
        <v>1492</v>
      </c>
      <c r="D70" s="22" t="s">
        <v>1677</v>
      </c>
      <c r="E70" s="22" t="s">
        <v>65</v>
      </c>
      <c r="F70" s="25" t="s">
        <v>175</v>
      </c>
      <c r="G70" s="373" t="s">
        <v>565</v>
      </c>
      <c r="H70" s="37"/>
      <c r="I70" s="23" t="s">
        <v>201</v>
      </c>
      <c r="J70" s="23" t="s">
        <v>202</v>
      </c>
      <c r="K70" s="23" t="s">
        <v>203</v>
      </c>
      <c r="L70" s="23"/>
      <c r="M70" s="2">
        <v>0</v>
      </c>
      <c r="N70" s="2"/>
      <c r="O70" s="2"/>
      <c r="P70" s="2"/>
      <c r="Q70" s="2"/>
      <c r="R70" s="2"/>
      <c r="S70" s="2"/>
      <c r="T70" s="2"/>
      <c r="U70" s="116">
        <f t="shared" si="0"/>
        <v>0</v>
      </c>
      <c r="V70" s="324"/>
      <c r="W70" s="324"/>
      <c r="X70" s="324"/>
      <c r="Y70" s="324"/>
      <c r="Z70" s="324"/>
      <c r="AA70" s="324"/>
      <c r="AB70" s="324">
        <v>30</v>
      </c>
      <c r="AC70" s="324"/>
      <c r="AD70" s="324"/>
      <c r="AE70" s="324"/>
      <c r="AF70" s="324"/>
      <c r="AG70" s="324"/>
      <c r="AH70" s="140">
        <f t="shared" si="1"/>
        <v>30</v>
      </c>
    </row>
    <row r="71" spans="1:34" ht="12.95" customHeight="1" x14ac:dyDescent="0.25">
      <c r="A71" s="202"/>
      <c r="B71" s="22" t="s">
        <v>54</v>
      </c>
      <c r="C71" s="34" t="s">
        <v>1492</v>
      </c>
      <c r="D71" s="22" t="s">
        <v>188</v>
      </c>
      <c r="E71" s="22" t="s">
        <v>65</v>
      </c>
      <c r="F71" s="25" t="s">
        <v>189</v>
      </c>
      <c r="G71" s="373" t="s">
        <v>565</v>
      </c>
      <c r="H71" s="37"/>
      <c r="I71" s="23" t="s">
        <v>670</v>
      </c>
      <c r="J71" s="23" t="s">
        <v>195</v>
      </c>
      <c r="K71" s="23" t="s">
        <v>192</v>
      </c>
      <c r="L71" s="23"/>
      <c r="M71" s="2">
        <v>0</v>
      </c>
      <c r="N71" s="2"/>
      <c r="O71" s="2"/>
      <c r="P71" s="2"/>
      <c r="Q71" s="2"/>
      <c r="R71" s="2"/>
      <c r="S71" s="2"/>
      <c r="T71" s="2"/>
      <c r="U71" s="116">
        <f t="shared" si="0"/>
        <v>0</v>
      </c>
      <c r="V71" s="324"/>
      <c r="W71" s="324"/>
      <c r="X71" s="324"/>
      <c r="Y71" s="324"/>
      <c r="Z71" s="324"/>
      <c r="AA71" s="324"/>
      <c r="AB71" s="324"/>
      <c r="AC71" s="324"/>
      <c r="AD71" s="324"/>
      <c r="AE71" s="324"/>
      <c r="AF71" s="324"/>
      <c r="AG71" s="324"/>
      <c r="AH71" s="140">
        <f t="shared" si="1"/>
        <v>0</v>
      </c>
    </row>
    <row r="72" spans="1:34" ht="12.95" customHeight="1" x14ac:dyDescent="0.25">
      <c r="A72" s="202"/>
      <c r="B72" s="22" t="s">
        <v>54</v>
      </c>
      <c r="C72" s="34" t="s">
        <v>1492</v>
      </c>
      <c r="D72" s="22" t="s">
        <v>188</v>
      </c>
      <c r="E72" s="22" t="s">
        <v>65</v>
      </c>
      <c r="F72" s="25" t="s">
        <v>189</v>
      </c>
      <c r="G72" s="373" t="s">
        <v>1230</v>
      </c>
      <c r="H72" s="37" t="s">
        <v>1548</v>
      </c>
      <c r="I72" s="23" t="s">
        <v>190</v>
      </c>
      <c r="J72" s="23" t="s">
        <v>191</v>
      </c>
      <c r="K72" s="23" t="s">
        <v>192</v>
      </c>
      <c r="L72" s="23"/>
      <c r="M72" s="2">
        <v>0</v>
      </c>
      <c r="N72" s="2"/>
      <c r="O72" s="2"/>
      <c r="P72" s="2"/>
      <c r="Q72" s="356"/>
      <c r="R72" s="2">
        <v>78</v>
      </c>
      <c r="S72" s="2"/>
      <c r="T72" s="2"/>
      <c r="U72" s="116">
        <f t="shared" ref="U72:U135" si="2">SUM(M72:T72)</f>
        <v>78</v>
      </c>
      <c r="V72" s="324"/>
      <c r="W72" s="324"/>
      <c r="X72" s="324"/>
      <c r="Y72" s="324"/>
      <c r="Z72" s="324"/>
      <c r="AA72" s="324"/>
      <c r="AB72" s="324"/>
      <c r="AC72" s="324"/>
      <c r="AD72" s="324"/>
      <c r="AE72" s="324"/>
      <c r="AF72" s="324"/>
      <c r="AG72" s="324"/>
      <c r="AH72" s="140">
        <f t="shared" ref="AH72:AH135" si="3">SUM(V72:AG72)</f>
        <v>0</v>
      </c>
    </row>
    <row r="73" spans="1:34" ht="12.95" customHeight="1" x14ac:dyDescent="0.25">
      <c r="A73" s="202"/>
      <c r="B73" s="22" t="s">
        <v>54</v>
      </c>
      <c r="C73" s="34" t="s">
        <v>1492</v>
      </c>
      <c r="D73" s="22" t="s">
        <v>188</v>
      </c>
      <c r="E73" s="22" t="s">
        <v>65</v>
      </c>
      <c r="F73" s="25" t="s">
        <v>189</v>
      </c>
      <c r="G73" s="373" t="s">
        <v>565</v>
      </c>
      <c r="H73" s="37"/>
      <c r="I73" s="23" t="s">
        <v>669</v>
      </c>
      <c r="J73" s="23" t="s">
        <v>196</v>
      </c>
      <c r="K73" s="23" t="s">
        <v>192</v>
      </c>
      <c r="L73" s="23"/>
      <c r="M73" s="2">
        <v>0</v>
      </c>
      <c r="N73" s="2"/>
      <c r="O73" s="2"/>
      <c r="P73" s="2"/>
      <c r="Q73" s="2"/>
      <c r="R73" s="2"/>
      <c r="S73" s="2"/>
      <c r="T73" s="2"/>
      <c r="U73" s="116">
        <f t="shared" si="2"/>
        <v>0</v>
      </c>
      <c r="V73" s="324"/>
      <c r="W73" s="324"/>
      <c r="X73" s="324"/>
      <c r="Y73" s="324"/>
      <c r="Z73" s="324"/>
      <c r="AA73" s="324"/>
      <c r="AB73" s="324"/>
      <c r="AC73" s="324"/>
      <c r="AD73" s="324"/>
      <c r="AE73" s="324">
        <v>25</v>
      </c>
      <c r="AF73" s="324"/>
      <c r="AG73" s="324"/>
      <c r="AH73" s="140">
        <f t="shared" si="3"/>
        <v>25</v>
      </c>
    </row>
    <row r="74" spans="1:34" ht="12.95" customHeight="1" x14ac:dyDescent="0.25">
      <c r="A74" s="202"/>
      <c r="B74" s="22" t="s">
        <v>54</v>
      </c>
      <c r="C74" s="34" t="s">
        <v>1492</v>
      </c>
      <c r="D74" s="22" t="s">
        <v>188</v>
      </c>
      <c r="E74" s="22" t="s">
        <v>65</v>
      </c>
      <c r="F74" s="25" t="s">
        <v>189</v>
      </c>
      <c r="G74" s="373" t="s">
        <v>565</v>
      </c>
      <c r="H74" s="37"/>
      <c r="I74" s="23" t="s">
        <v>668</v>
      </c>
      <c r="J74" s="23" t="s">
        <v>197</v>
      </c>
      <c r="K74" s="23" t="s">
        <v>192</v>
      </c>
      <c r="L74" s="23"/>
      <c r="M74" s="2">
        <v>0</v>
      </c>
      <c r="N74" s="2"/>
      <c r="O74" s="2"/>
      <c r="P74" s="2"/>
      <c r="Q74" s="2"/>
      <c r="R74" s="2"/>
      <c r="S74" s="2"/>
      <c r="T74" s="2"/>
      <c r="U74" s="116">
        <f t="shared" si="2"/>
        <v>0</v>
      </c>
      <c r="V74" s="324"/>
      <c r="W74" s="324"/>
      <c r="X74" s="324"/>
      <c r="Y74" s="324"/>
      <c r="Z74" s="324"/>
      <c r="AA74" s="324"/>
      <c r="AB74" s="324"/>
      <c r="AC74" s="324"/>
      <c r="AD74" s="324"/>
      <c r="AE74" s="324">
        <v>16</v>
      </c>
      <c r="AF74" s="324"/>
      <c r="AG74" s="324"/>
      <c r="AH74" s="140">
        <f t="shared" si="3"/>
        <v>16</v>
      </c>
    </row>
    <row r="75" spans="1:34" ht="12.95" customHeight="1" x14ac:dyDescent="0.25">
      <c r="A75" s="202"/>
      <c r="B75" s="22" t="s">
        <v>54</v>
      </c>
      <c r="C75" s="34" t="s">
        <v>1492</v>
      </c>
      <c r="D75" s="22" t="s">
        <v>188</v>
      </c>
      <c r="E75" s="22" t="s">
        <v>65</v>
      </c>
      <c r="F75" s="25" t="s">
        <v>189</v>
      </c>
      <c r="G75" s="373" t="s">
        <v>565</v>
      </c>
      <c r="H75" s="37"/>
      <c r="I75" s="23" t="s">
        <v>193</v>
      </c>
      <c r="J75" s="23" t="s">
        <v>194</v>
      </c>
      <c r="K75" s="23" t="s">
        <v>192</v>
      </c>
      <c r="L75" s="23"/>
      <c r="M75" s="2">
        <v>0</v>
      </c>
      <c r="N75" s="2"/>
      <c r="O75" s="2"/>
      <c r="P75" s="2"/>
      <c r="Q75" s="2"/>
      <c r="R75" s="2"/>
      <c r="S75" s="2"/>
      <c r="T75" s="2"/>
      <c r="U75" s="116">
        <f t="shared" si="2"/>
        <v>0</v>
      </c>
      <c r="V75" s="324"/>
      <c r="W75" s="324"/>
      <c r="X75" s="324"/>
      <c r="Y75" s="324"/>
      <c r="Z75" s="324"/>
      <c r="AA75" s="324"/>
      <c r="AB75" s="324"/>
      <c r="AC75" s="324"/>
      <c r="AD75" s="324"/>
      <c r="AE75" s="324"/>
      <c r="AF75" s="324"/>
      <c r="AG75" s="324"/>
      <c r="AH75" s="140">
        <f t="shared" si="3"/>
        <v>0</v>
      </c>
    </row>
    <row r="76" spans="1:34" ht="12.95" customHeight="1" x14ac:dyDescent="0.25">
      <c r="A76" s="202"/>
      <c r="B76" s="22" t="s">
        <v>63</v>
      </c>
      <c r="C76" s="34" t="s">
        <v>35</v>
      </c>
      <c r="D76" s="22" t="s">
        <v>627</v>
      </c>
      <c r="E76" s="22" t="s">
        <v>65</v>
      </c>
      <c r="F76" s="25" t="s">
        <v>66</v>
      </c>
      <c r="G76" s="373" t="s">
        <v>565</v>
      </c>
      <c r="H76" s="37"/>
      <c r="I76" s="23" t="s">
        <v>622</v>
      </c>
      <c r="J76" s="23" t="s">
        <v>623</v>
      </c>
      <c r="K76" s="23" t="s">
        <v>624</v>
      </c>
      <c r="L76" s="23"/>
      <c r="M76" s="2">
        <v>0</v>
      </c>
      <c r="N76" s="2"/>
      <c r="O76" s="2"/>
      <c r="P76" s="2"/>
      <c r="Q76" s="2"/>
      <c r="R76" s="2"/>
      <c r="S76" s="2"/>
      <c r="T76" s="2"/>
      <c r="U76" s="116">
        <f t="shared" si="2"/>
        <v>0</v>
      </c>
      <c r="V76" s="324"/>
      <c r="W76" s="324"/>
      <c r="X76" s="324"/>
      <c r="Y76" s="324"/>
      <c r="Z76" s="324"/>
      <c r="AA76" s="324"/>
      <c r="AB76" s="324"/>
      <c r="AC76" s="324"/>
      <c r="AD76" s="324"/>
      <c r="AE76" s="324"/>
      <c r="AF76" s="324"/>
      <c r="AG76" s="324"/>
      <c r="AH76" s="140">
        <f t="shared" si="3"/>
        <v>0</v>
      </c>
    </row>
    <row r="77" spans="1:34" ht="12.95" customHeight="1" x14ac:dyDescent="0.25">
      <c r="A77" s="202"/>
      <c r="B77" s="22" t="s">
        <v>63</v>
      </c>
      <c r="C77" s="34" t="s">
        <v>35</v>
      </c>
      <c r="D77" s="22" t="s">
        <v>625</v>
      </c>
      <c r="E77" s="22" t="s">
        <v>65</v>
      </c>
      <c r="F77" s="25" t="s">
        <v>66</v>
      </c>
      <c r="G77" s="373" t="s">
        <v>565</v>
      </c>
      <c r="H77" s="37"/>
      <c r="I77" s="23" t="s">
        <v>1078</v>
      </c>
      <c r="J77" s="23" t="s">
        <v>598</v>
      </c>
      <c r="K77" s="23" t="s">
        <v>599</v>
      </c>
      <c r="L77" s="23"/>
      <c r="M77" s="2">
        <v>0</v>
      </c>
      <c r="N77" s="2"/>
      <c r="O77" s="2"/>
      <c r="P77" s="2"/>
      <c r="Q77" s="2"/>
      <c r="R77" s="2"/>
      <c r="S77" s="2"/>
      <c r="T77" s="2"/>
      <c r="U77" s="116">
        <f t="shared" si="2"/>
        <v>0</v>
      </c>
      <c r="V77" s="324"/>
      <c r="W77" s="324"/>
      <c r="X77" s="324"/>
      <c r="Y77" s="324"/>
      <c r="Z77" s="324"/>
      <c r="AA77" s="324"/>
      <c r="AB77" s="324"/>
      <c r="AC77" s="324"/>
      <c r="AD77" s="324"/>
      <c r="AE77" s="324"/>
      <c r="AF77" s="324"/>
      <c r="AG77" s="324"/>
      <c r="AH77" s="140">
        <f t="shared" si="3"/>
        <v>0</v>
      </c>
    </row>
    <row r="78" spans="1:34" ht="12.95" customHeight="1" x14ac:dyDescent="0.25">
      <c r="A78" s="202"/>
      <c r="B78" s="22" t="s">
        <v>63</v>
      </c>
      <c r="C78" s="34" t="s">
        <v>35</v>
      </c>
      <c r="D78" s="22" t="s">
        <v>626</v>
      </c>
      <c r="E78" s="22" t="s">
        <v>65</v>
      </c>
      <c r="F78" s="25" t="s">
        <v>66</v>
      </c>
      <c r="G78" s="373" t="s">
        <v>565</v>
      </c>
      <c r="H78" s="37"/>
      <c r="I78" s="23" t="s">
        <v>876</v>
      </c>
      <c r="J78" s="23" t="s">
        <v>876</v>
      </c>
      <c r="K78" s="23" t="s">
        <v>67</v>
      </c>
      <c r="L78" s="23"/>
      <c r="M78" s="2">
        <v>0</v>
      </c>
      <c r="N78" s="2"/>
      <c r="O78" s="2"/>
      <c r="P78" s="2"/>
      <c r="Q78" s="2"/>
      <c r="R78" s="2"/>
      <c r="S78" s="2"/>
      <c r="T78" s="2"/>
      <c r="U78" s="116">
        <f t="shared" si="2"/>
        <v>0</v>
      </c>
      <c r="V78" s="324"/>
      <c r="W78" s="324"/>
      <c r="X78" s="324"/>
      <c r="Y78" s="324"/>
      <c r="Z78" s="324"/>
      <c r="AA78" s="324"/>
      <c r="AB78" s="324"/>
      <c r="AC78" s="324"/>
      <c r="AD78" s="324"/>
      <c r="AE78" s="324"/>
      <c r="AF78" s="324"/>
      <c r="AG78" s="324"/>
      <c r="AH78" s="140">
        <f t="shared" si="3"/>
        <v>0</v>
      </c>
    </row>
    <row r="79" spans="1:34" ht="12.95" customHeight="1" x14ac:dyDescent="0.25">
      <c r="A79" s="202"/>
      <c r="B79" s="22" t="s">
        <v>63</v>
      </c>
      <c r="C79" s="34" t="s">
        <v>35</v>
      </c>
      <c r="D79" s="22" t="s">
        <v>630</v>
      </c>
      <c r="E79" s="22" t="s">
        <v>65</v>
      </c>
      <c r="F79" s="25" t="s">
        <v>66</v>
      </c>
      <c r="G79" s="373" t="s">
        <v>565</v>
      </c>
      <c r="H79" s="37"/>
      <c r="I79" s="23" t="s">
        <v>640</v>
      </c>
      <c r="J79" s="23" t="s">
        <v>641</v>
      </c>
      <c r="K79" s="23" t="s">
        <v>642</v>
      </c>
      <c r="L79" s="23"/>
      <c r="M79" s="2">
        <v>0</v>
      </c>
      <c r="N79" s="2"/>
      <c r="O79" s="2"/>
      <c r="P79" s="2"/>
      <c r="Q79" s="2"/>
      <c r="R79" s="2"/>
      <c r="S79" s="2"/>
      <c r="T79" s="2"/>
      <c r="U79" s="116">
        <f t="shared" si="2"/>
        <v>0</v>
      </c>
      <c r="V79" s="324"/>
      <c r="W79" s="324"/>
      <c r="X79" s="324"/>
      <c r="Y79" s="324"/>
      <c r="Z79" s="324"/>
      <c r="AA79" s="324"/>
      <c r="AB79" s="324"/>
      <c r="AC79" s="324"/>
      <c r="AD79" s="324"/>
      <c r="AE79" s="324"/>
      <c r="AF79" s="324"/>
      <c r="AG79" s="324"/>
      <c r="AH79" s="140">
        <f t="shared" si="3"/>
        <v>0</v>
      </c>
    </row>
    <row r="80" spans="1:34" ht="12.95" customHeight="1" x14ac:dyDescent="0.25">
      <c r="A80" s="202"/>
      <c r="B80" s="22" t="s">
        <v>63</v>
      </c>
      <c r="C80" s="34" t="s">
        <v>35</v>
      </c>
      <c r="D80" s="22" t="s">
        <v>58</v>
      </c>
      <c r="E80" s="22" t="s">
        <v>56</v>
      </c>
      <c r="F80" s="25" t="s">
        <v>1034</v>
      </c>
      <c r="G80" s="373" t="s">
        <v>565</v>
      </c>
      <c r="H80" s="37"/>
      <c r="I80" s="23" t="s">
        <v>1082</v>
      </c>
      <c r="J80" s="23" t="s">
        <v>882</v>
      </c>
      <c r="K80" s="23" t="s">
        <v>450</v>
      </c>
      <c r="L80" s="23"/>
      <c r="M80" s="2">
        <v>0</v>
      </c>
      <c r="N80" s="2"/>
      <c r="O80" s="2"/>
      <c r="P80" s="2"/>
      <c r="Q80" s="2"/>
      <c r="R80" s="2"/>
      <c r="S80" s="2"/>
      <c r="T80" s="2"/>
      <c r="U80" s="116">
        <f t="shared" si="2"/>
        <v>0</v>
      </c>
      <c r="V80" s="324"/>
      <c r="W80" s="324"/>
      <c r="X80" s="324"/>
      <c r="Y80" s="324"/>
      <c r="Z80" s="324"/>
      <c r="AA80" s="324"/>
      <c r="AB80" s="324"/>
      <c r="AC80" s="324"/>
      <c r="AD80" s="324"/>
      <c r="AE80" s="324"/>
      <c r="AF80" s="324">
        <v>13</v>
      </c>
      <c r="AG80" s="324"/>
      <c r="AH80" s="140">
        <f t="shared" si="3"/>
        <v>13</v>
      </c>
    </row>
    <row r="81" spans="1:34" ht="12.95" customHeight="1" x14ac:dyDescent="0.25">
      <c r="A81" s="202"/>
      <c r="B81" s="22" t="s">
        <v>63</v>
      </c>
      <c r="C81" s="34" t="s">
        <v>35</v>
      </c>
      <c r="D81" s="22" t="s">
        <v>631</v>
      </c>
      <c r="E81" s="22" t="s">
        <v>65</v>
      </c>
      <c r="F81" s="25" t="s">
        <v>66</v>
      </c>
      <c r="G81" s="373" t="s">
        <v>565</v>
      </c>
      <c r="H81" s="37"/>
      <c r="I81" s="23" t="s">
        <v>601</v>
      </c>
      <c r="J81" s="23" t="s">
        <v>576</v>
      </c>
      <c r="K81" s="23" t="s">
        <v>577</v>
      </c>
      <c r="L81" s="23"/>
      <c r="M81" s="2">
        <v>0</v>
      </c>
      <c r="N81" s="2"/>
      <c r="O81" s="2"/>
      <c r="P81" s="2"/>
      <c r="Q81" s="2"/>
      <c r="R81" s="2"/>
      <c r="S81" s="2"/>
      <c r="T81" s="2"/>
      <c r="U81" s="116">
        <f t="shared" si="2"/>
        <v>0</v>
      </c>
      <c r="V81" s="324"/>
      <c r="W81" s="324"/>
      <c r="X81" s="324">
        <v>18</v>
      </c>
      <c r="Y81" s="324"/>
      <c r="Z81" s="324"/>
      <c r="AA81" s="324"/>
      <c r="AB81" s="324"/>
      <c r="AC81" s="324"/>
      <c r="AD81" s="324"/>
      <c r="AE81" s="324"/>
      <c r="AF81" s="324"/>
      <c r="AG81" s="324"/>
      <c r="AH81" s="140">
        <f t="shared" si="3"/>
        <v>18</v>
      </c>
    </row>
    <row r="82" spans="1:34" ht="12.95" customHeight="1" x14ac:dyDescent="0.25">
      <c r="A82" s="202"/>
      <c r="B82" s="22" t="s">
        <v>63</v>
      </c>
      <c r="C82" s="34" t="s">
        <v>35</v>
      </c>
      <c r="D82" s="22" t="s">
        <v>58</v>
      </c>
      <c r="E82" s="22" t="s">
        <v>56</v>
      </c>
      <c r="F82" s="25" t="s">
        <v>292</v>
      </c>
      <c r="G82" s="373" t="s">
        <v>565</v>
      </c>
      <c r="H82" s="37"/>
      <c r="I82" s="23" t="s">
        <v>465</v>
      </c>
      <c r="J82" s="23" t="s">
        <v>466</v>
      </c>
      <c r="K82" s="23" t="s">
        <v>467</v>
      </c>
      <c r="L82" s="23"/>
      <c r="M82" s="2">
        <v>0</v>
      </c>
      <c r="N82" s="2"/>
      <c r="O82" s="2"/>
      <c r="P82" s="2"/>
      <c r="Q82" s="2"/>
      <c r="R82" s="2"/>
      <c r="S82" s="2"/>
      <c r="T82" s="2"/>
      <c r="U82" s="116">
        <f t="shared" si="2"/>
        <v>0</v>
      </c>
      <c r="V82" s="324"/>
      <c r="W82" s="324"/>
      <c r="X82" s="324"/>
      <c r="Y82" s="324"/>
      <c r="Z82" s="324"/>
      <c r="AA82" s="324"/>
      <c r="AB82" s="324"/>
      <c r="AC82" s="324"/>
      <c r="AD82" s="324"/>
      <c r="AE82" s="324"/>
      <c r="AF82" s="324"/>
      <c r="AG82" s="324"/>
      <c r="AH82" s="140">
        <f t="shared" si="3"/>
        <v>0</v>
      </c>
    </row>
    <row r="83" spans="1:34" ht="12.95" customHeight="1" x14ac:dyDescent="0.25">
      <c r="A83" s="202"/>
      <c r="B83" s="22" t="s">
        <v>63</v>
      </c>
      <c r="C83" s="34" t="s">
        <v>35</v>
      </c>
      <c r="D83" s="22" t="s">
        <v>58</v>
      </c>
      <c r="E83" s="22" t="s">
        <v>56</v>
      </c>
      <c r="F83" s="25" t="s">
        <v>292</v>
      </c>
      <c r="G83" s="373" t="s">
        <v>565</v>
      </c>
      <c r="H83" s="37"/>
      <c r="I83" s="23" t="s">
        <v>995</v>
      </c>
      <c r="J83" s="23" t="s">
        <v>994</v>
      </c>
      <c r="K83" s="23" t="s">
        <v>471</v>
      </c>
      <c r="L83" s="23"/>
      <c r="M83" s="2">
        <v>0</v>
      </c>
      <c r="N83" s="2"/>
      <c r="O83" s="2"/>
      <c r="P83" s="2"/>
      <c r="Q83" s="2"/>
      <c r="R83" s="2"/>
      <c r="S83" s="2"/>
      <c r="T83" s="2"/>
      <c r="U83" s="116">
        <f t="shared" si="2"/>
        <v>0</v>
      </c>
      <c r="V83" s="324"/>
      <c r="W83" s="324"/>
      <c r="X83" s="324"/>
      <c r="Y83" s="324"/>
      <c r="Z83" s="324"/>
      <c r="AA83" s="324"/>
      <c r="AB83" s="324"/>
      <c r="AC83" s="324"/>
      <c r="AD83" s="324"/>
      <c r="AE83" s="324"/>
      <c r="AF83" s="324"/>
      <c r="AG83" s="324"/>
      <c r="AH83" s="140">
        <f t="shared" si="3"/>
        <v>0</v>
      </c>
    </row>
    <row r="84" spans="1:34" ht="12.95" customHeight="1" x14ac:dyDescent="0.25">
      <c r="A84" s="202"/>
      <c r="B84" s="22" t="s">
        <v>63</v>
      </c>
      <c r="C84" s="34" t="s">
        <v>35</v>
      </c>
      <c r="D84" s="22" t="s">
        <v>628</v>
      </c>
      <c r="E84" s="22" t="s">
        <v>65</v>
      </c>
      <c r="F84" s="25" t="s">
        <v>66</v>
      </c>
      <c r="G84" s="373" t="s">
        <v>565</v>
      </c>
      <c r="H84" s="37"/>
      <c r="I84" s="23" t="s">
        <v>879</v>
      </c>
      <c r="J84" s="23" t="s">
        <v>880</v>
      </c>
      <c r="K84" s="23" t="s">
        <v>853</v>
      </c>
      <c r="L84" s="23"/>
      <c r="M84" s="2">
        <v>0</v>
      </c>
      <c r="N84" s="2"/>
      <c r="O84" s="2"/>
      <c r="P84" s="2"/>
      <c r="Q84" s="2"/>
      <c r="R84" s="2"/>
      <c r="S84" s="2"/>
      <c r="T84" s="2"/>
      <c r="U84" s="116">
        <f t="shared" si="2"/>
        <v>0</v>
      </c>
      <c r="V84" s="324"/>
      <c r="W84" s="324"/>
      <c r="X84" s="324"/>
      <c r="Y84" s="324"/>
      <c r="Z84" s="324"/>
      <c r="AA84" s="324"/>
      <c r="AB84" s="324">
        <v>60</v>
      </c>
      <c r="AC84" s="324"/>
      <c r="AD84" s="324"/>
      <c r="AE84" s="324"/>
      <c r="AF84" s="324"/>
      <c r="AG84" s="324"/>
      <c r="AH84" s="140">
        <f t="shared" si="3"/>
        <v>60</v>
      </c>
    </row>
    <row r="85" spans="1:34" ht="12.95" customHeight="1" x14ac:dyDescent="0.25">
      <c r="A85" s="202"/>
      <c r="B85" s="22" t="s">
        <v>63</v>
      </c>
      <c r="C85" s="34" t="s">
        <v>35</v>
      </c>
      <c r="D85" s="22" t="s">
        <v>68</v>
      </c>
      <c r="E85" s="22" t="s">
        <v>65</v>
      </c>
      <c r="F85" s="25" t="s">
        <v>66</v>
      </c>
      <c r="G85" s="373" t="s">
        <v>565</v>
      </c>
      <c r="H85" s="37"/>
      <c r="I85" s="23" t="s">
        <v>877</v>
      </c>
      <c r="J85" s="23" t="s">
        <v>878</v>
      </c>
      <c r="K85" s="23" t="s">
        <v>573</v>
      </c>
      <c r="L85" s="23"/>
      <c r="M85" s="2">
        <v>0</v>
      </c>
      <c r="N85" s="2"/>
      <c r="O85" s="2"/>
      <c r="P85" s="2"/>
      <c r="Q85" s="2"/>
      <c r="R85" s="2"/>
      <c r="S85" s="2"/>
      <c r="T85" s="2"/>
      <c r="U85" s="116">
        <f t="shared" si="2"/>
        <v>0</v>
      </c>
      <c r="V85" s="324"/>
      <c r="W85" s="324"/>
      <c r="X85" s="324">
        <f>400-200+68.5398300000002</f>
        <v>268.53983000000017</v>
      </c>
      <c r="Y85" s="324"/>
      <c r="Z85" s="324"/>
      <c r="AA85" s="324"/>
      <c r="AB85" s="324"/>
      <c r="AC85" s="324"/>
      <c r="AD85" s="324"/>
      <c r="AE85" s="324"/>
      <c r="AF85" s="324"/>
      <c r="AG85" s="324"/>
      <c r="AH85" s="140">
        <f t="shared" si="3"/>
        <v>268.53983000000017</v>
      </c>
    </row>
    <row r="86" spans="1:34" ht="12.95" customHeight="1" x14ac:dyDescent="0.25">
      <c r="A86" s="202"/>
      <c r="B86" s="22" t="s">
        <v>63</v>
      </c>
      <c r="C86" s="34" t="s">
        <v>35</v>
      </c>
      <c r="D86" s="22" t="s">
        <v>628</v>
      </c>
      <c r="E86" s="22" t="s">
        <v>65</v>
      </c>
      <c r="F86" s="25" t="s">
        <v>66</v>
      </c>
      <c r="G86" s="373" t="s">
        <v>565</v>
      </c>
      <c r="H86" s="37"/>
      <c r="I86" s="23" t="s">
        <v>600</v>
      </c>
      <c r="J86" s="23" t="s">
        <v>571</v>
      </c>
      <c r="K86" s="23" t="s">
        <v>572</v>
      </c>
      <c r="L86" s="23"/>
      <c r="M86" s="2">
        <v>0</v>
      </c>
      <c r="N86" s="2"/>
      <c r="O86" s="2"/>
      <c r="P86" s="2"/>
      <c r="Q86" s="2"/>
      <c r="R86" s="2"/>
      <c r="S86" s="2"/>
      <c r="T86" s="2"/>
      <c r="U86" s="116">
        <f t="shared" si="2"/>
        <v>0</v>
      </c>
      <c r="V86" s="324"/>
      <c r="W86" s="324"/>
      <c r="X86" s="324"/>
      <c r="Y86" s="324"/>
      <c r="Z86" s="324"/>
      <c r="AA86" s="324"/>
      <c r="AB86" s="324"/>
      <c r="AC86" s="324"/>
      <c r="AD86" s="324"/>
      <c r="AE86" s="324"/>
      <c r="AF86" s="324"/>
      <c r="AG86" s="324"/>
      <c r="AH86" s="140">
        <f t="shared" si="3"/>
        <v>0</v>
      </c>
    </row>
    <row r="87" spans="1:34" ht="12.95" customHeight="1" x14ac:dyDescent="0.25">
      <c r="A87" s="202"/>
      <c r="B87" s="22" t="s">
        <v>63</v>
      </c>
      <c r="C87" s="34" t="s">
        <v>35</v>
      </c>
      <c r="D87" s="22" t="s">
        <v>628</v>
      </c>
      <c r="E87" s="22" t="s">
        <v>65</v>
      </c>
      <c r="F87" s="25" t="s">
        <v>66</v>
      </c>
      <c r="G87" s="373" t="s">
        <v>565</v>
      </c>
      <c r="H87" s="37"/>
      <c r="I87" s="23" t="s">
        <v>574</v>
      </c>
      <c r="J87" s="23" t="s">
        <v>574</v>
      </c>
      <c r="K87" s="23" t="s">
        <v>575</v>
      </c>
      <c r="L87" s="23"/>
      <c r="M87" s="2">
        <v>0</v>
      </c>
      <c r="N87" s="2"/>
      <c r="O87" s="2"/>
      <c r="P87" s="2"/>
      <c r="Q87" s="2"/>
      <c r="R87" s="2"/>
      <c r="S87" s="2"/>
      <c r="T87" s="2"/>
      <c r="U87" s="116">
        <f t="shared" si="2"/>
        <v>0</v>
      </c>
      <c r="V87" s="324"/>
      <c r="W87" s="324"/>
      <c r="X87" s="324">
        <v>70</v>
      </c>
      <c r="Y87" s="324"/>
      <c r="Z87" s="324"/>
      <c r="AA87" s="324"/>
      <c r="AB87" s="324"/>
      <c r="AC87" s="324"/>
      <c r="AD87" s="324"/>
      <c r="AE87" s="324"/>
      <c r="AF87" s="324"/>
      <c r="AG87" s="324"/>
      <c r="AH87" s="140">
        <f t="shared" si="3"/>
        <v>70</v>
      </c>
    </row>
    <row r="88" spans="1:34" ht="12.95" customHeight="1" x14ac:dyDescent="0.25">
      <c r="A88" s="202"/>
      <c r="B88" s="22" t="s">
        <v>63</v>
      </c>
      <c r="C88" s="34" t="s">
        <v>35</v>
      </c>
      <c r="D88" s="22" t="s">
        <v>629</v>
      </c>
      <c r="E88" s="22" t="s">
        <v>65</v>
      </c>
      <c r="F88" s="25" t="s">
        <v>66</v>
      </c>
      <c r="G88" s="373" t="s">
        <v>565</v>
      </c>
      <c r="H88" s="37"/>
      <c r="I88" s="23" t="s">
        <v>69</v>
      </c>
      <c r="J88" s="23" t="s">
        <v>69</v>
      </c>
      <c r="K88" s="23" t="s">
        <v>597</v>
      </c>
      <c r="L88" s="23"/>
      <c r="M88" s="2">
        <v>0</v>
      </c>
      <c r="N88" s="2"/>
      <c r="O88" s="2"/>
      <c r="P88" s="2"/>
      <c r="Q88" s="2"/>
      <c r="R88" s="2"/>
      <c r="S88" s="2"/>
      <c r="T88" s="2"/>
      <c r="U88" s="116">
        <f t="shared" si="2"/>
        <v>0</v>
      </c>
      <c r="V88" s="324"/>
      <c r="W88" s="324"/>
      <c r="X88" s="324"/>
      <c r="Y88" s="324"/>
      <c r="Z88" s="324"/>
      <c r="AA88" s="324"/>
      <c r="AB88" s="324"/>
      <c r="AC88" s="324"/>
      <c r="AD88" s="324"/>
      <c r="AE88" s="324"/>
      <c r="AF88" s="324"/>
      <c r="AG88" s="324"/>
      <c r="AH88" s="140">
        <f t="shared" si="3"/>
        <v>0</v>
      </c>
    </row>
    <row r="89" spans="1:34" ht="12.95" customHeight="1" x14ac:dyDescent="0.25">
      <c r="A89" s="202"/>
      <c r="B89" s="22" t="s">
        <v>63</v>
      </c>
      <c r="C89" s="34" t="s">
        <v>36</v>
      </c>
      <c r="D89" s="22" t="s">
        <v>318</v>
      </c>
      <c r="E89" s="22" t="s">
        <v>56</v>
      </c>
      <c r="F89" s="25" t="s">
        <v>1061</v>
      </c>
      <c r="G89" s="373" t="s">
        <v>565</v>
      </c>
      <c r="H89" s="37" t="s">
        <v>59</v>
      </c>
      <c r="I89" s="23" t="s">
        <v>1723</v>
      </c>
      <c r="J89" s="23" t="s">
        <v>1710</v>
      </c>
      <c r="K89" s="23" t="s">
        <v>570</v>
      </c>
      <c r="L89" s="23"/>
      <c r="M89" s="2">
        <v>0</v>
      </c>
      <c r="N89" s="2">
        <v>0</v>
      </c>
      <c r="O89" s="2">
        <v>0</v>
      </c>
      <c r="P89" s="2">
        <v>0</v>
      </c>
      <c r="Q89" s="2">
        <v>0</v>
      </c>
      <c r="R89" s="2">
        <v>142.21934999999999</v>
      </c>
      <c r="S89" s="2">
        <v>0</v>
      </c>
      <c r="T89" s="2">
        <v>0</v>
      </c>
      <c r="U89" s="116">
        <f t="shared" si="2"/>
        <v>142.21934999999999</v>
      </c>
      <c r="V89" s="324">
        <v>0</v>
      </c>
      <c r="W89" s="324">
        <v>0</v>
      </c>
      <c r="X89" s="324">
        <v>0</v>
      </c>
      <c r="Y89" s="324">
        <v>0</v>
      </c>
      <c r="Z89" s="324">
        <v>0</v>
      </c>
      <c r="AA89" s="324">
        <v>0</v>
      </c>
      <c r="AB89" s="324">
        <v>0</v>
      </c>
      <c r="AC89" s="324">
        <v>0</v>
      </c>
      <c r="AD89" s="324">
        <v>0</v>
      </c>
      <c r="AE89" s="324">
        <v>0</v>
      </c>
      <c r="AF89" s="324">
        <v>0</v>
      </c>
      <c r="AG89" s="324">
        <v>0</v>
      </c>
      <c r="AH89" s="140">
        <f t="shared" si="3"/>
        <v>0</v>
      </c>
    </row>
    <row r="90" spans="1:34" ht="12.95" customHeight="1" x14ac:dyDescent="0.25">
      <c r="A90" s="202"/>
      <c r="B90" s="22" t="s">
        <v>63</v>
      </c>
      <c r="C90" s="34" t="s">
        <v>36</v>
      </c>
      <c r="D90" s="22" t="s">
        <v>318</v>
      </c>
      <c r="E90" s="22" t="s">
        <v>56</v>
      </c>
      <c r="F90" s="25" t="s">
        <v>1061</v>
      </c>
      <c r="G90" s="373" t="s">
        <v>565</v>
      </c>
      <c r="H90" s="37" t="s">
        <v>59</v>
      </c>
      <c r="I90" s="23" t="s">
        <v>747</v>
      </c>
      <c r="J90" s="23" t="s">
        <v>748</v>
      </c>
      <c r="K90" s="23" t="s">
        <v>749</v>
      </c>
      <c r="L90" s="23"/>
      <c r="M90" s="2">
        <v>0</v>
      </c>
      <c r="N90" s="2"/>
      <c r="O90" s="2">
        <v>0</v>
      </c>
      <c r="P90" s="2">
        <v>0</v>
      </c>
      <c r="Q90" s="2">
        <v>0</v>
      </c>
      <c r="R90" s="2">
        <v>29</v>
      </c>
      <c r="S90" s="2">
        <v>0</v>
      </c>
      <c r="T90" s="2">
        <v>0</v>
      </c>
      <c r="U90" s="116">
        <f t="shared" si="2"/>
        <v>29</v>
      </c>
      <c r="V90" s="324">
        <v>0</v>
      </c>
      <c r="W90" s="324">
        <v>0</v>
      </c>
      <c r="X90" s="324">
        <v>0</v>
      </c>
      <c r="Y90" s="324">
        <v>0</v>
      </c>
      <c r="Z90" s="324">
        <v>0</v>
      </c>
      <c r="AA90" s="324">
        <v>0</v>
      </c>
      <c r="AB90" s="324">
        <v>0</v>
      </c>
      <c r="AC90" s="324">
        <v>0</v>
      </c>
      <c r="AD90" s="324">
        <v>0</v>
      </c>
      <c r="AE90" s="324">
        <v>0</v>
      </c>
      <c r="AF90" s="324">
        <v>0</v>
      </c>
      <c r="AG90" s="324">
        <v>45.5</v>
      </c>
      <c r="AH90" s="140">
        <f t="shared" si="3"/>
        <v>45.5</v>
      </c>
    </row>
    <row r="91" spans="1:34" ht="12.95" customHeight="1" x14ac:dyDescent="0.25">
      <c r="A91" s="202"/>
      <c r="B91" s="22" t="s">
        <v>63</v>
      </c>
      <c r="C91" s="34" t="s">
        <v>36</v>
      </c>
      <c r="D91" s="22" t="s">
        <v>1058</v>
      </c>
      <c r="E91" s="22" t="s">
        <v>56</v>
      </c>
      <c r="F91" s="388" t="s">
        <v>1783</v>
      </c>
      <c r="G91" s="373" t="s">
        <v>565</v>
      </c>
      <c r="H91" s="37"/>
      <c r="I91" s="23" t="s">
        <v>1782</v>
      </c>
      <c r="J91" s="23"/>
      <c r="K91" s="23"/>
      <c r="L91" s="23"/>
      <c r="M91" s="2"/>
      <c r="N91" s="2"/>
      <c r="O91" s="2"/>
      <c r="P91" s="2"/>
      <c r="Q91" s="2"/>
      <c r="R91" s="2"/>
      <c r="S91" s="2"/>
      <c r="T91" s="2">
        <v>19.5</v>
      </c>
      <c r="U91" s="116">
        <f t="shared" si="2"/>
        <v>19.5</v>
      </c>
      <c r="V91" s="324"/>
      <c r="W91" s="324"/>
      <c r="X91" s="324"/>
      <c r="Y91" s="324"/>
      <c r="Z91" s="324"/>
      <c r="AA91" s="324"/>
      <c r="AB91" s="324"/>
      <c r="AC91" s="324"/>
      <c r="AD91" s="324"/>
      <c r="AE91" s="324"/>
      <c r="AF91" s="324"/>
      <c r="AG91" s="324"/>
      <c r="AH91" s="140">
        <f t="shared" si="3"/>
        <v>0</v>
      </c>
    </row>
    <row r="92" spans="1:34" ht="12.95" customHeight="1" x14ac:dyDescent="0.25">
      <c r="A92" s="202"/>
      <c r="B92" s="22" t="s">
        <v>63</v>
      </c>
      <c r="C92" s="34" t="s">
        <v>37</v>
      </c>
      <c r="D92" s="22" t="s">
        <v>1058</v>
      </c>
      <c r="E92" s="22" t="s">
        <v>56</v>
      </c>
      <c r="F92" s="25" t="s">
        <v>1062</v>
      </c>
      <c r="G92" s="373" t="s">
        <v>1477</v>
      </c>
      <c r="H92" s="37" t="s">
        <v>1478</v>
      </c>
      <c r="I92" s="23" t="s">
        <v>1719</v>
      </c>
      <c r="J92" s="23" t="s">
        <v>408</v>
      </c>
      <c r="K92" s="23" t="s">
        <v>59</v>
      </c>
      <c r="L92" s="23"/>
      <c r="M92" s="2">
        <v>0</v>
      </c>
      <c r="N92" s="2">
        <v>0</v>
      </c>
      <c r="O92" s="2">
        <v>0</v>
      </c>
      <c r="P92" s="2">
        <v>415</v>
      </c>
      <c r="Q92" s="2">
        <v>0</v>
      </c>
      <c r="R92" s="2">
        <v>0</v>
      </c>
      <c r="S92" s="2">
        <v>0</v>
      </c>
      <c r="T92" s="2">
        <v>0</v>
      </c>
      <c r="U92" s="116">
        <f t="shared" si="2"/>
        <v>415</v>
      </c>
      <c r="V92" s="324">
        <v>0</v>
      </c>
      <c r="W92" s="324">
        <v>0</v>
      </c>
      <c r="X92" s="324">
        <v>0</v>
      </c>
      <c r="Y92" s="324">
        <v>0</v>
      </c>
      <c r="Z92" s="324">
        <v>0</v>
      </c>
      <c r="AA92" s="324">
        <v>0</v>
      </c>
      <c r="AB92" s="324">
        <v>0</v>
      </c>
      <c r="AC92" s="324">
        <v>55</v>
      </c>
      <c r="AD92" s="324">
        <v>0</v>
      </c>
      <c r="AE92" s="324">
        <v>0</v>
      </c>
      <c r="AF92" s="324">
        <v>0</v>
      </c>
      <c r="AG92" s="324">
        <v>0</v>
      </c>
      <c r="AH92" s="140">
        <f t="shared" si="3"/>
        <v>55</v>
      </c>
    </row>
    <row r="93" spans="1:34" ht="12.95" customHeight="1" x14ac:dyDescent="0.25">
      <c r="A93" s="202"/>
      <c r="B93" s="22" t="s">
        <v>63</v>
      </c>
      <c r="C93" s="34" t="s">
        <v>38</v>
      </c>
      <c r="D93" s="22" t="s">
        <v>318</v>
      </c>
      <c r="E93" s="22" t="s">
        <v>56</v>
      </c>
      <c r="F93" s="390" t="s">
        <v>1066</v>
      </c>
      <c r="G93" s="373" t="s">
        <v>1665</v>
      </c>
      <c r="H93" s="37" t="s">
        <v>1667</v>
      </c>
      <c r="I93" s="23" t="s">
        <v>1708</v>
      </c>
      <c r="J93" s="23" t="s">
        <v>1709</v>
      </c>
      <c r="K93" s="23" t="s">
        <v>1711</v>
      </c>
      <c r="L93" s="23"/>
      <c r="M93" s="2">
        <v>0</v>
      </c>
      <c r="N93" s="2">
        <v>97.797319999999999</v>
      </c>
      <c r="O93" s="2">
        <v>0</v>
      </c>
      <c r="P93" s="2">
        <v>0</v>
      </c>
      <c r="Q93" s="2">
        <v>0</v>
      </c>
      <c r="R93" s="2">
        <v>0</v>
      </c>
      <c r="S93" s="2">
        <v>0</v>
      </c>
      <c r="T93" s="2"/>
      <c r="U93" s="116">
        <f t="shared" si="2"/>
        <v>97.797319999999999</v>
      </c>
      <c r="V93" s="324">
        <v>0</v>
      </c>
      <c r="W93" s="324">
        <v>0</v>
      </c>
      <c r="X93" s="324">
        <v>0</v>
      </c>
      <c r="Y93" s="324">
        <v>0</v>
      </c>
      <c r="Z93" s="324">
        <v>0</v>
      </c>
      <c r="AA93" s="324"/>
      <c r="AB93" s="324">
        <v>0</v>
      </c>
      <c r="AC93" s="324">
        <v>0</v>
      </c>
      <c r="AD93" s="324">
        <v>0</v>
      </c>
      <c r="AE93" s="324">
        <f>109+1.7733299999999</f>
        <v>110.7733299999999</v>
      </c>
      <c r="AF93" s="324">
        <v>0</v>
      </c>
      <c r="AG93" s="324">
        <v>0</v>
      </c>
      <c r="AH93" s="140">
        <f t="shared" si="3"/>
        <v>110.7733299999999</v>
      </c>
    </row>
    <row r="94" spans="1:34" ht="12.95" customHeight="1" x14ac:dyDescent="0.25">
      <c r="A94" s="202"/>
      <c r="B94" s="22" t="s">
        <v>63</v>
      </c>
      <c r="C94" s="34" t="s">
        <v>38</v>
      </c>
      <c r="D94" s="22" t="s">
        <v>1059</v>
      </c>
      <c r="E94" s="22" t="s">
        <v>56</v>
      </c>
      <c r="F94" s="391" t="s">
        <v>1063</v>
      </c>
      <c r="G94" s="373" t="s">
        <v>565</v>
      </c>
      <c r="H94" s="37"/>
      <c r="I94" s="23" t="s">
        <v>1781</v>
      </c>
      <c r="J94" s="23"/>
      <c r="K94" s="23"/>
      <c r="L94" s="23"/>
      <c r="M94" s="2"/>
      <c r="N94" s="2"/>
      <c r="O94" s="2"/>
      <c r="P94" s="2"/>
      <c r="Q94" s="2"/>
      <c r="R94" s="2"/>
      <c r="S94" s="2"/>
      <c r="T94" s="2"/>
      <c r="U94" s="116">
        <f t="shared" si="2"/>
        <v>0</v>
      </c>
      <c r="V94" s="324"/>
      <c r="W94" s="324"/>
      <c r="X94" s="324">
        <v>50</v>
      </c>
      <c r="Y94" s="324">
        <v>50</v>
      </c>
      <c r="Z94" s="324">
        <v>100</v>
      </c>
      <c r="AA94" s="324"/>
      <c r="AB94" s="324"/>
      <c r="AC94" s="324"/>
      <c r="AD94" s="324"/>
      <c r="AE94" s="324"/>
      <c r="AF94" s="324"/>
      <c r="AG94" s="324"/>
      <c r="AH94" s="140">
        <f t="shared" si="3"/>
        <v>200</v>
      </c>
    </row>
    <row r="95" spans="1:34" ht="12.95" customHeight="1" x14ac:dyDescent="0.25">
      <c r="A95" s="202"/>
      <c r="B95" s="22" t="s">
        <v>63</v>
      </c>
      <c r="C95" s="34" t="s">
        <v>39</v>
      </c>
      <c r="D95" s="22" t="s">
        <v>68</v>
      </c>
      <c r="E95" s="22" t="s">
        <v>65</v>
      </c>
      <c r="F95" s="25" t="s">
        <v>66</v>
      </c>
      <c r="G95" s="373" t="s">
        <v>1514</v>
      </c>
      <c r="H95" s="37" t="s">
        <v>1516</v>
      </c>
      <c r="I95" s="23" t="s">
        <v>70</v>
      </c>
      <c r="J95" s="23" t="s">
        <v>702</v>
      </c>
      <c r="K95" s="23" t="s">
        <v>602</v>
      </c>
      <c r="L95" s="23" t="s">
        <v>1754</v>
      </c>
      <c r="M95" s="2">
        <v>0</v>
      </c>
      <c r="N95" s="2"/>
      <c r="O95" s="2"/>
      <c r="P95" s="2"/>
      <c r="Q95" s="2"/>
      <c r="R95" s="2"/>
      <c r="S95" s="2"/>
      <c r="T95" s="2"/>
      <c r="U95" s="116">
        <f t="shared" si="2"/>
        <v>0</v>
      </c>
      <c r="V95" s="324"/>
      <c r="W95" s="324"/>
      <c r="X95" s="324"/>
      <c r="Y95" s="324"/>
      <c r="Z95" s="324">
        <v>1513</v>
      </c>
      <c r="AA95" s="324"/>
      <c r="AB95" s="324"/>
      <c r="AC95" s="324"/>
      <c r="AD95" s="324"/>
      <c r="AE95" s="324"/>
      <c r="AF95" s="324"/>
      <c r="AG95" s="324"/>
      <c r="AH95" s="140">
        <f t="shared" si="3"/>
        <v>1513</v>
      </c>
    </row>
    <row r="96" spans="1:34" ht="12.75" customHeight="1" x14ac:dyDescent="0.25">
      <c r="A96" s="202"/>
      <c r="B96" s="22" t="s">
        <v>63</v>
      </c>
      <c r="C96" s="34" t="s">
        <v>39</v>
      </c>
      <c r="D96" s="22" t="s">
        <v>58</v>
      </c>
      <c r="E96" s="22" t="s">
        <v>56</v>
      </c>
      <c r="F96" s="25" t="s">
        <v>484</v>
      </c>
      <c r="G96" s="373" t="s">
        <v>565</v>
      </c>
      <c r="H96" s="37"/>
      <c r="I96" s="23" t="s">
        <v>584</v>
      </c>
      <c r="J96" s="23" t="s">
        <v>680</v>
      </c>
      <c r="K96" s="23" t="s">
        <v>682</v>
      </c>
      <c r="L96" s="380" t="s">
        <v>1765</v>
      </c>
      <c r="M96" s="2">
        <v>0</v>
      </c>
      <c r="N96" s="2"/>
      <c r="O96" s="2"/>
      <c r="P96" s="2"/>
      <c r="Q96" s="2"/>
      <c r="R96" s="2"/>
      <c r="S96" s="2"/>
      <c r="T96" s="2"/>
      <c r="U96" s="116">
        <f t="shared" si="2"/>
        <v>0</v>
      </c>
      <c r="V96" s="324"/>
      <c r="W96" s="324"/>
      <c r="X96" s="324"/>
      <c r="Y96" s="324"/>
      <c r="Z96" s="324"/>
      <c r="AA96" s="324"/>
      <c r="AB96" s="324">
        <v>105.44</v>
      </c>
      <c r="AC96" s="324"/>
      <c r="AD96" s="324"/>
      <c r="AE96" s="324"/>
      <c r="AF96" s="324"/>
      <c r="AG96" s="324"/>
      <c r="AH96" s="140">
        <f t="shared" si="3"/>
        <v>105.44</v>
      </c>
    </row>
    <row r="97" spans="1:34" ht="12.95" customHeight="1" x14ac:dyDescent="0.25">
      <c r="A97" s="202"/>
      <c r="B97" s="22" t="s">
        <v>63</v>
      </c>
      <c r="C97" s="34" t="s">
        <v>1493</v>
      </c>
      <c r="D97" s="22" t="s">
        <v>64</v>
      </c>
      <c r="E97" s="22" t="s">
        <v>65</v>
      </c>
      <c r="F97" s="25" t="s">
        <v>208</v>
      </c>
      <c r="G97" s="373" t="s">
        <v>565</v>
      </c>
      <c r="H97" s="37"/>
      <c r="I97" s="23" t="s">
        <v>604</v>
      </c>
      <c r="J97" s="23" t="s">
        <v>603</v>
      </c>
      <c r="K97" s="23" t="s">
        <v>605</v>
      </c>
      <c r="L97" s="23"/>
      <c r="M97" s="2">
        <v>0</v>
      </c>
      <c r="N97" s="2">
        <v>0</v>
      </c>
      <c r="O97" s="2">
        <v>0</v>
      </c>
      <c r="P97" s="2">
        <v>0</v>
      </c>
      <c r="Q97" s="2">
        <v>0</v>
      </c>
      <c r="R97" s="2">
        <v>0</v>
      </c>
      <c r="S97" s="2">
        <v>0</v>
      </c>
      <c r="T97" s="2">
        <v>0</v>
      </c>
      <c r="U97" s="116">
        <f t="shared" si="2"/>
        <v>0</v>
      </c>
      <c r="V97" s="324">
        <v>0</v>
      </c>
      <c r="W97" s="324">
        <v>0</v>
      </c>
      <c r="X97" s="324">
        <v>0</v>
      </c>
      <c r="Y97" s="324">
        <v>0</v>
      </c>
      <c r="Z97" s="324">
        <v>0</v>
      </c>
      <c r="AA97" s="324">
        <v>0</v>
      </c>
      <c r="AB97" s="324">
        <v>0</v>
      </c>
      <c r="AC97" s="324">
        <v>0</v>
      </c>
      <c r="AD97" s="324">
        <v>0</v>
      </c>
      <c r="AE97" s="324">
        <v>0</v>
      </c>
      <c r="AF97" s="324">
        <v>0</v>
      </c>
      <c r="AG97" s="324">
        <v>0</v>
      </c>
      <c r="AH97" s="140">
        <f t="shared" si="3"/>
        <v>0</v>
      </c>
    </row>
    <row r="98" spans="1:34" ht="12.95" customHeight="1" x14ac:dyDescent="0.25">
      <c r="A98" s="202"/>
      <c r="B98" s="22" t="s">
        <v>63</v>
      </c>
      <c r="C98" s="34" t="s">
        <v>1493</v>
      </c>
      <c r="D98" s="22" t="s">
        <v>64</v>
      </c>
      <c r="E98" s="22" t="s">
        <v>65</v>
      </c>
      <c r="F98" s="25" t="s">
        <v>214</v>
      </c>
      <c r="G98" s="373" t="s">
        <v>1256</v>
      </c>
      <c r="H98" s="37" t="s">
        <v>1258</v>
      </c>
      <c r="I98" s="23" t="s">
        <v>215</v>
      </c>
      <c r="J98" s="23" t="s">
        <v>216</v>
      </c>
      <c r="K98" s="23" t="s">
        <v>217</v>
      </c>
      <c r="L98" s="23"/>
      <c r="M98" s="2">
        <v>18.819390416145325</v>
      </c>
      <c r="N98" s="2"/>
      <c r="O98" s="2"/>
      <c r="P98" s="2">
        <v>15.390969999999999</v>
      </c>
      <c r="Q98" s="2">
        <v>54.116079999999997</v>
      </c>
      <c r="R98" s="2">
        <v>98.5</v>
      </c>
      <c r="S98" s="2"/>
      <c r="T98" s="2">
        <v>896.68239460319501</v>
      </c>
      <c r="U98" s="116">
        <f t="shared" si="2"/>
        <v>1083.5088350193403</v>
      </c>
      <c r="V98" s="324">
        <v>77.703347499999992</v>
      </c>
      <c r="W98" s="324">
        <v>77.703347499999992</v>
      </c>
      <c r="X98" s="324">
        <v>77.703347499999992</v>
      </c>
      <c r="Y98" s="324">
        <v>77.703347499999992</v>
      </c>
      <c r="Z98" s="324">
        <v>77.703347499999992</v>
      </c>
      <c r="AA98" s="324">
        <v>77.703347499999992</v>
      </c>
      <c r="AB98" s="324">
        <v>77.703347499999992</v>
      </c>
      <c r="AC98" s="324">
        <v>77.703347499999992</v>
      </c>
      <c r="AD98" s="324">
        <v>77.703347499999992</v>
      </c>
      <c r="AE98" s="324">
        <v>77.703347499999992</v>
      </c>
      <c r="AF98" s="324">
        <v>77.703347499999992</v>
      </c>
      <c r="AG98" s="324">
        <v>77.703347499999992</v>
      </c>
      <c r="AH98" s="140">
        <f t="shared" si="3"/>
        <v>932.44016999999974</v>
      </c>
    </row>
    <row r="99" spans="1:34" ht="12.95" customHeight="1" x14ac:dyDescent="0.25">
      <c r="A99" s="202"/>
      <c r="B99" s="22" t="s">
        <v>63</v>
      </c>
      <c r="C99" s="34" t="s">
        <v>1493</v>
      </c>
      <c r="D99" s="22" t="s">
        <v>71</v>
      </c>
      <c r="E99" s="22" t="s">
        <v>65</v>
      </c>
      <c r="F99" s="25" t="s">
        <v>210</v>
      </c>
      <c r="G99" s="373" t="s">
        <v>1253</v>
      </c>
      <c r="H99" s="37" t="s">
        <v>1255</v>
      </c>
      <c r="I99" s="23" t="s">
        <v>1254</v>
      </c>
      <c r="J99" s="23"/>
      <c r="K99" s="23"/>
      <c r="L99" s="23"/>
      <c r="M99" s="2">
        <v>4.3380299806594849</v>
      </c>
      <c r="N99" s="2"/>
      <c r="O99" s="2"/>
      <c r="P99" s="2"/>
      <c r="Q99" s="2"/>
      <c r="R99" s="2"/>
      <c r="S99" s="2"/>
      <c r="T99" s="2"/>
      <c r="U99" s="116">
        <f t="shared" si="2"/>
        <v>4.3380299806594849</v>
      </c>
      <c r="V99" s="324"/>
      <c r="W99" s="324"/>
      <c r="X99" s="324"/>
      <c r="Y99" s="324"/>
      <c r="Z99" s="324"/>
      <c r="AA99" s="324"/>
      <c r="AB99" s="324"/>
      <c r="AC99" s="324"/>
      <c r="AD99" s="324"/>
      <c r="AE99" s="324"/>
      <c r="AF99" s="324"/>
      <c r="AG99" s="324"/>
      <c r="AH99" s="140">
        <f t="shared" si="3"/>
        <v>0</v>
      </c>
    </row>
    <row r="100" spans="1:34" ht="12.95" customHeight="1" x14ac:dyDescent="0.25">
      <c r="A100" s="202"/>
      <c r="B100" s="22" t="s">
        <v>63</v>
      </c>
      <c r="C100" s="34" t="s">
        <v>1493</v>
      </c>
      <c r="D100" s="22" t="s">
        <v>209</v>
      </c>
      <c r="E100" s="22" t="s">
        <v>65</v>
      </c>
      <c r="F100" s="25" t="s">
        <v>210</v>
      </c>
      <c r="G100" s="373" t="s">
        <v>1260</v>
      </c>
      <c r="H100" s="37" t="s">
        <v>1262</v>
      </c>
      <c r="I100" s="23" t="s">
        <v>211</v>
      </c>
      <c r="J100" s="23" t="s">
        <v>212</v>
      </c>
      <c r="K100" s="23" t="s">
        <v>213</v>
      </c>
      <c r="L100" s="23"/>
      <c r="M100" s="2">
        <v>87.617710113525391</v>
      </c>
      <c r="N100" s="2">
        <v>4.5140000000000002</v>
      </c>
      <c r="O100" s="2">
        <v>0</v>
      </c>
      <c r="P100" s="2">
        <v>13</v>
      </c>
      <c r="Q100" s="2">
        <v>47.237050000000004</v>
      </c>
      <c r="R100" s="2">
        <v>196.03399999999999</v>
      </c>
      <c r="S100" s="2">
        <v>330</v>
      </c>
      <c r="T100" s="2">
        <f>59.2514503662111-10.2837104797363</f>
        <v>48.967739886474803</v>
      </c>
      <c r="U100" s="116">
        <f t="shared" si="2"/>
        <v>727.37050000000011</v>
      </c>
      <c r="V100" s="324">
        <v>0</v>
      </c>
      <c r="W100" s="324">
        <v>0</v>
      </c>
      <c r="X100" s="324">
        <v>0</v>
      </c>
      <c r="Y100" s="324">
        <v>0</v>
      </c>
      <c r="Z100" s="324">
        <v>0</v>
      </c>
      <c r="AA100" s="324">
        <v>0</v>
      </c>
      <c r="AB100" s="324">
        <v>0</v>
      </c>
      <c r="AC100" s="324">
        <v>0</v>
      </c>
      <c r="AD100" s="324">
        <v>0</v>
      </c>
      <c r="AE100" s="324">
        <v>0</v>
      </c>
      <c r="AF100" s="324">
        <v>0</v>
      </c>
      <c r="AG100" s="324">
        <f>563.3-200</f>
        <v>363.29999999999995</v>
      </c>
      <c r="AH100" s="140">
        <f t="shared" si="3"/>
        <v>363.29999999999995</v>
      </c>
    </row>
    <row r="101" spans="1:34" ht="12.95" customHeight="1" x14ac:dyDescent="0.25">
      <c r="A101" s="202"/>
      <c r="B101" s="22" t="s">
        <v>57</v>
      </c>
      <c r="C101" s="34" t="s">
        <v>40</v>
      </c>
      <c r="D101" s="22" t="s">
        <v>61</v>
      </c>
      <c r="E101" s="22" t="s">
        <v>226</v>
      </c>
      <c r="F101" s="25" t="s">
        <v>233</v>
      </c>
      <c r="G101" s="373" t="s">
        <v>565</v>
      </c>
      <c r="H101" s="37"/>
      <c r="I101" s="23" t="s">
        <v>258</v>
      </c>
      <c r="J101" s="23" t="s">
        <v>235</v>
      </c>
      <c r="K101" s="23" t="s">
        <v>236</v>
      </c>
      <c r="L101" s="23"/>
      <c r="M101" s="2">
        <v>0</v>
      </c>
      <c r="N101" s="2"/>
      <c r="O101" s="2"/>
      <c r="P101" s="2"/>
      <c r="Q101" s="2"/>
      <c r="R101" s="2"/>
      <c r="S101" s="2"/>
      <c r="T101" s="2"/>
      <c r="U101" s="116">
        <f t="shared" si="2"/>
        <v>0</v>
      </c>
      <c r="V101" s="324"/>
      <c r="W101" s="324"/>
      <c r="X101" s="324"/>
      <c r="Y101" s="324"/>
      <c r="Z101" s="324"/>
      <c r="AA101" s="324"/>
      <c r="AB101" s="324"/>
      <c r="AC101" s="324"/>
      <c r="AD101" s="324"/>
      <c r="AE101" s="324"/>
      <c r="AF101" s="324"/>
      <c r="AG101" s="324"/>
      <c r="AH101" s="140">
        <f t="shared" si="3"/>
        <v>0</v>
      </c>
    </row>
    <row r="102" spans="1:34" ht="12.95" customHeight="1" x14ac:dyDescent="0.25">
      <c r="A102" s="202"/>
      <c r="B102" s="22" t="s">
        <v>57</v>
      </c>
      <c r="C102" s="34" t="s">
        <v>40</v>
      </c>
      <c r="D102" s="22" t="s">
        <v>61</v>
      </c>
      <c r="E102" s="22" t="s">
        <v>226</v>
      </c>
      <c r="F102" s="25" t="s">
        <v>263</v>
      </c>
      <c r="G102" s="373" t="s">
        <v>565</v>
      </c>
      <c r="H102" s="37"/>
      <c r="I102" s="23" t="s">
        <v>264</v>
      </c>
      <c r="J102" s="23" t="s">
        <v>265</v>
      </c>
      <c r="K102" s="23" t="s">
        <v>236</v>
      </c>
      <c r="L102" s="23"/>
      <c r="M102" s="2">
        <v>0</v>
      </c>
      <c r="N102" s="2"/>
      <c r="O102" s="2"/>
      <c r="P102" s="2"/>
      <c r="Q102" s="2"/>
      <c r="R102" s="2"/>
      <c r="S102" s="2"/>
      <c r="T102" s="2"/>
      <c r="U102" s="116">
        <f t="shared" si="2"/>
        <v>0</v>
      </c>
      <c r="V102" s="324"/>
      <c r="W102" s="324"/>
      <c r="X102" s="324"/>
      <c r="Y102" s="324"/>
      <c r="Z102" s="324"/>
      <c r="AA102" s="324"/>
      <c r="AB102" s="324"/>
      <c r="AC102" s="324"/>
      <c r="AD102" s="324"/>
      <c r="AE102" s="324"/>
      <c r="AF102" s="324"/>
      <c r="AG102" s="324">
        <v>10</v>
      </c>
      <c r="AH102" s="140">
        <f t="shared" si="3"/>
        <v>10</v>
      </c>
    </row>
    <row r="103" spans="1:34" ht="12.95" customHeight="1" x14ac:dyDescent="0.25">
      <c r="A103" s="202"/>
      <c r="B103" s="22" t="s">
        <v>57</v>
      </c>
      <c r="C103" s="34" t="s">
        <v>40</v>
      </c>
      <c r="D103" s="22" t="s">
        <v>515</v>
      </c>
      <c r="E103" s="22" t="s">
        <v>62</v>
      </c>
      <c r="F103" s="25" t="s">
        <v>516</v>
      </c>
      <c r="G103" s="402" t="s">
        <v>1641</v>
      </c>
      <c r="H103" s="37" t="s">
        <v>1643</v>
      </c>
      <c r="I103" s="23" t="s">
        <v>857</v>
      </c>
      <c r="J103" s="23" t="s">
        <v>858</v>
      </c>
      <c r="K103" s="23" t="s">
        <v>859</v>
      </c>
      <c r="L103" s="23"/>
      <c r="M103" s="2">
        <v>0</v>
      </c>
      <c r="N103" s="2"/>
      <c r="O103" s="2"/>
      <c r="P103" s="2"/>
      <c r="Q103" s="2"/>
      <c r="R103" s="2"/>
      <c r="S103" s="2"/>
      <c r="T103" s="2">
        <v>350</v>
      </c>
      <c r="U103" s="116">
        <f t="shared" si="2"/>
        <v>350</v>
      </c>
      <c r="V103" s="324"/>
      <c r="W103" s="324"/>
      <c r="X103" s="324"/>
      <c r="Y103" s="324"/>
      <c r="Z103" s="324"/>
      <c r="AA103" s="324"/>
      <c r="AB103" s="324"/>
      <c r="AC103" s="324"/>
      <c r="AD103" s="324"/>
      <c r="AE103" s="324"/>
      <c r="AF103" s="324"/>
      <c r="AG103" s="324"/>
      <c r="AH103" s="140">
        <f t="shared" si="3"/>
        <v>0</v>
      </c>
    </row>
    <row r="104" spans="1:34" ht="12.95" customHeight="1" x14ac:dyDescent="0.25">
      <c r="A104" s="202"/>
      <c r="B104" s="22" t="s">
        <v>57</v>
      </c>
      <c r="C104" s="34" t="s">
        <v>40</v>
      </c>
      <c r="D104" s="22" t="s">
        <v>498</v>
      </c>
      <c r="E104" s="22" t="s">
        <v>62</v>
      </c>
      <c r="F104" s="25" t="s">
        <v>499</v>
      </c>
      <c r="G104" s="373" t="s">
        <v>565</v>
      </c>
      <c r="H104" s="37"/>
      <c r="I104" s="368" t="s">
        <v>525</v>
      </c>
      <c r="J104" s="23" t="s">
        <v>526</v>
      </c>
      <c r="K104" s="23" t="s">
        <v>527</v>
      </c>
      <c r="L104" s="23"/>
      <c r="M104" s="2">
        <v>0</v>
      </c>
      <c r="N104" s="2"/>
      <c r="O104" s="2"/>
      <c r="P104" s="2"/>
      <c r="Q104" s="2"/>
      <c r="R104" s="2">
        <f>5+1.8</f>
        <v>6.8</v>
      </c>
      <c r="S104" s="2"/>
      <c r="T104" s="2"/>
      <c r="U104" s="116">
        <f t="shared" si="2"/>
        <v>6.8</v>
      </c>
      <c r="V104" s="324"/>
      <c r="W104" s="324"/>
      <c r="X104" s="324"/>
      <c r="Y104" s="324"/>
      <c r="Z104" s="324"/>
      <c r="AA104" s="324"/>
      <c r="AB104" s="324"/>
      <c r="AC104" s="324"/>
      <c r="AD104" s="324"/>
      <c r="AE104" s="324"/>
      <c r="AF104" s="324"/>
      <c r="AG104" s="324"/>
      <c r="AH104" s="140">
        <f t="shared" si="3"/>
        <v>0</v>
      </c>
    </row>
    <row r="105" spans="1:34" ht="12.95" customHeight="1" x14ac:dyDescent="0.25">
      <c r="A105" s="202"/>
      <c r="B105" s="22" t="s">
        <v>57</v>
      </c>
      <c r="C105" s="34" t="s">
        <v>40</v>
      </c>
      <c r="D105" s="22" t="s">
        <v>498</v>
      </c>
      <c r="E105" s="22" t="s">
        <v>62</v>
      </c>
      <c r="F105" s="25" t="s">
        <v>499</v>
      </c>
      <c r="G105" s="373" t="s">
        <v>565</v>
      </c>
      <c r="H105" s="37"/>
      <c r="I105" s="368" t="s">
        <v>530</v>
      </c>
      <c r="J105" s="23" t="s">
        <v>531</v>
      </c>
      <c r="K105" s="23" t="s">
        <v>532</v>
      </c>
      <c r="L105" s="23"/>
      <c r="M105" s="2">
        <v>0</v>
      </c>
      <c r="N105" s="2"/>
      <c r="O105" s="2"/>
      <c r="P105" s="2"/>
      <c r="Q105" s="2"/>
      <c r="R105" s="2">
        <v>10</v>
      </c>
      <c r="S105" s="2"/>
      <c r="T105" s="2"/>
      <c r="U105" s="116">
        <f t="shared" si="2"/>
        <v>10</v>
      </c>
      <c r="V105" s="324"/>
      <c r="W105" s="324"/>
      <c r="X105" s="324"/>
      <c r="Y105" s="324"/>
      <c r="Z105" s="324"/>
      <c r="AA105" s="324"/>
      <c r="AB105" s="324"/>
      <c r="AC105" s="324"/>
      <c r="AD105" s="324"/>
      <c r="AE105" s="324"/>
      <c r="AF105" s="324"/>
      <c r="AG105" s="324"/>
      <c r="AH105" s="140">
        <f t="shared" si="3"/>
        <v>0</v>
      </c>
    </row>
    <row r="106" spans="1:34" ht="12.95" customHeight="1" x14ac:dyDescent="0.25">
      <c r="A106" s="202"/>
      <c r="B106" s="22" t="s">
        <v>57</v>
      </c>
      <c r="C106" s="34" t="s">
        <v>40</v>
      </c>
      <c r="D106" s="22" t="s">
        <v>1660</v>
      </c>
      <c r="E106" s="22" t="s">
        <v>62</v>
      </c>
      <c r="F106" s="25" t="s">
        <v>500</v>
      </c>
      <c r="G106" s="373" t="s">
        <v>565</v>
      </c>
      <c r="H106" s="37"/>
      <c r="I106" s="23" t="s">
        <v>501</v>
      </c>
      <c r="J106" s="23" t="s">
        <v>502</v>
      </c>
      <c r="K106" s="23" t="s">
        <v>915</v>
      </c>
      <c r="L106" s="23"/>
      <c r="M106" s="2">
        <v>0</v>
      </c>
      <c r="N106" s="2"/>
      <c r="O106" s="2"/>
      <c r="P106" s="2"/>
      <c r="Q106" s="2"/>
      <c r="R106" s="2">
        <v>300</v>
      </c>
      <c r="S106" s="2"/>
      <c r="T106" s="2"/>
      <c r="U106" s="116">
        <f t="shared" si="2"/>
        <v>300</v>
      </c>
      <c r="V106" s="324">
        <v>180</v>
      </c>
      <c r="W106" s="324"/>
      <c r="X106" s="324"/>
      <c r="Y106" s="324"/>
      <c r="Z106" s="324"/>
      <c r="AA106" s="324"/>
      <c r="AB106" s="324"/>
      <c r="AC106" s="324"/>
      <c r="AD106" s="324"/>
      <c r="AE106" s="324"/>
      <c r="AF106" s="324"/>
      <c r="AG106" s="324"/>
      <c r="AH106" s="140">
        <f t="shared" si="3"/>
        <v>180</v>
      </c>
    </row>
    <row r="107" spans="1:34" ht="12.95" customHeight="1" x14ac:dyDescent="0.25">
      <c r="A107" s="202"/>
      <c r="B107" s="22" t="s">
        <v>57</v>
      </c>
      <c r="C107" s="34" t="s">
        <v>40</v>
      </c>
      <c r="D107" s="22" t="s">
        <v>61</v>
      </c>
      <c r="E107" s="22" t="s">
        <v>226</v>
      </c>
      <c r="F107" s="25" t="s">
        <v>1542</v>
      </c>
      <c r="G107" s="373" t="s">
        <v>1570</v>
      </c>
      <c r="H107" s="37" t="s">
        <v>1591</v>
      </c>
      <c r="I107" s="23" t="s">
        <v>1571</v>
      </c>
      <c r="J107" s="23" t="s">
        <v>1612</v>
      </c>
      <c r="K107" s="23"/>
      <c r="L107" s="23"/>
      <c r="M107" s="2">
        <v>0</v>
      </c>
      <c r="N107" s="2"/>
      <c r="O107" s="2"/>
      <c r="P107" s="2"/>
      <c r="Q107" s="2"/>
      <c r="R107" s="2">
        <v>230</v>
      </c>
      <c r="S107" s="2"/>
      <c r="T107" s="2"/>
      <c r="U107" s="116">
        <f t="shared" si="2"/>
        <v>230</v>
      </c>
      <c r="V107" s="324"/>
      <c r="W107" s="324"/>
      <c r="X107" s="324"/>
      <c r="Y107" s="324"/>
      <c r="Z107" s="324"/>
      <c r="AA107" s="324"/>
      <c r="AB107" s="324"/>
      <c r="AC107" s="324"/>
      <c r="AD107" s="324"/>
      <c r="AE107" s="324"/>
      <c r="AF107" s="324"/>
      <c r="AG107" s="324"/>
      <c r="AH107" s="140">
        <f t="shared" si="3"/>
        <v>0</v>
      </c>
    </row>
    <row r="108" spans="1:34" ht="12.95" customHeight="1" x14ac:dyDescent="0.25">
      <c r="A108" s="202"/>
      <c r="B108" s="22" t="s">
        <v>57</v>
      </c>
      <c r="C108" s="34" t="s">
        <v>40</v>
      </c>
      <c r="D108" s="22" t="s">
        <v>61</v>
      </c>
      <c r="E108" s="22" t="s">
        <v>226</v>
      </c>
      <c r="F108" s="25" t="s">
        <v>1542</v>
      </c>
      <c r="G108" s="373" t="s">
        <v>565</v>
      </c>
      <c r="H108" s="37"/>
      <c r="I108" s="23" t="s">
        <v>1571</v>
      </c>
      <c r="J108" s="23" t="s">
        <v>1571</v>
      </c>
      <c r="K108" s="23"/>
      <c r="L108" s="23"/>
      <c r="M108" s="2">
        <v>0</v>
      </c>
      <c r="N108" s="2"/>
      <c r="O108" s="2"/>
      <c r="P108" s="2"/>
      <c r="Q108" s="2"/>
      <c r="R108" s="2"/>
      <c r="S108" s="2"/>
      <c r="T108" s="2"/>
      <c r="U108" s="116">
        <f t="shared" si="2"/>
        <v>0</v>
      </c>
      <c r="V108" s="324"/>
      <c r="W108" s="324"/>
      <c r="X108" s="324"/>
      <c r="Y108" s="324"/>
      <c r="Z108" s="324"/>
      <c r="AA108" s="324"/>
      <c r="AB108" s="324"/>
      <c r="AC108" s="324"/>
      <c r="AD108" s="324"/>
      <c r="AE108" s="324"/>
      <c r="AF108" s="324"/>
      <c r="AG108" s="324">
        <v>162</v>
      </c>
      <c r="AH108" s="140">
        <f t="shared" si="3"/>
        <v>162</v>
      </c>
    </row>
    <row r="109" spans="1:34" ht="12.95" customHeight="1" x14ac:dyDescent="0.25">
      <c r="A109" s="202"/>
      <c r="B109" s="22" t="s">
        <v>57</v>
      </c>
      <c r="C109" s="34" t="s">
        <v>40</v>
      </c>
      <c r="D109" s="22" t="s">
        <v>495</v>
      </c>
      <c r="E109" s="22" t="s">
        <v>62</v>
      </c>
      <c r="F109" s="25" t="s">
        <v>496</v>
      </c>
      <c r="G109" s="373" t="s">
        <v>565</v>
      </c>
      <c r="H109" s="37"/>
      <c r="I109" s="204" t="s">
        <v>1052</v>
      </c>
      <c r="J109" s="23" t="s">
        <v>652</v>
      </c>
      <c r="K109" s="23" t="s">
        <v>497</v>
      </c>
      <c r="L109" s="23"/>
      <c r="M109" s="2">
        <v>0</v>
      </c>
      <c r="N109" s="2"/>
      <c r="O109" s="2"/>
      <c r="P109" s="2"/>
      <c r="Q109" s="2"/>
      <c r="R109" s="2">
        <v>4.8</v>
      </c>
      <c r="S109" s="2"/>
      <c r="T109" s="2">
        <v>2.4</v>
      </c>
      <c r="U109" s="116">
        <f t="shared" si="2"/>
        <v>7.1999999999999993</v>
      </c>
      <c r="V109" s="324"/>
      <c r="W109" s="324"/>
      <c r="X109" s="324"/>
      <c r="Y109" s="324"/>
      <c r="Z109" s="324"/>
      <c r="AA109" s="324"/>
      <c r="AB109" s="324"/>
      <c r="AC109" s="324"/>
      <c r="AD109" s="324"/>
      <c r="AE109" s="324"/>
      <c r="AF109" s="324"/>
      <c r="AG109" s="324"/>
      <c r="AH109" s="140">
        <f t="shared" si="3"/>
        <v>0</v>
      </c>
    </row>
    <row r="110" spans="1:34" ht="12.95" customHeight="1" x14ac:dyDescent="0.25">
      <c r="A110" s="202"/>
      <c r="B110" s="22" t="s">
        <v>57</v>
      </c>
      <c r="C110" s="34" t="s">
        <v>40</v>
      </c>
      <c r="D110" s="22" t="s">
        <v>498</v>
      </c>
      <c r="E110" s="22" t="s">
        <v>62</v>
      </c>
      <c r="F110" s="25" t="s">
        <v>499</v>
      </c>
      <c r="G110" s="373" t="s">
        <v>565</v>
      </c>
      <c r="H110" s="37"/>
      <c r="I110" s="23" t="s">
        <v>703</v>
      </c>
      <c r="J110" s="23" t="s">
        <v>704</v>
      </c>
      <c r="K110" s="23" t="s">
        <v>705</v>
      </c>
      <c r="L110" s="23"/>
      <c r="M110" s="2">
        <v>0</v>
      </c>
      <c r="N110" s="2"/>
      <c r="O110" s="2"/>
      <c r="P110" s="2"/>
      <c r="Q110" s="2"/>
      <c r="R110" s="2">
        <v>5</v>
      </c>
      <c r="S110" s="2"/>
      <c r="T110" s="2"/>
      <c r="U110" s="116">
        <f t="shared" si="2"/>
        <v>5</v>
      </c>
      <c r="V110" s="324"/>
      <c r="W110" s="324"/>
      <c r="X110" s="324"/>
      <c r="Y110" s="324"/>
      <c r="Z110" s="324"/>
      <c r="AA110" s="324"/>
      <c r="AB110" s="324"/>
      <c r="AC110" s="324"/>
      <c r="AD110" s="324"/>
      <c r="AE110" s="324"/>
      <c r="AF110" s="324"/>
      <c r="AG110" s="324"/>
      <c r="AH110" s="140">
        <f t="shared" si="3"/>
        <v>0</v>
      </c>
    </row>
    <row r="111" spans="1:34" ht="12.95" customHeight="1" x14ac:dyDescent="0.25">
      <c r="A111" s="202"/>
      <c r="B111" s="22" t="s">
        <v>57</v>
      </c>
      <c r="C111" s="34" t="s">
        <v>40</v>
      </c>
      <c r="D111" s="22" t="s">
        <v>61</v>
      </c>
      <c r="E111" s="22" t="s">
        <v>226</v>
      </c>
      <c r="F111" s="25" t="s">
        <v>233</v>
      </c>
      <c r="G111" s="373" t="s">
        <v>565</v>
      </c>
      <c r="H111" s="327"/>
      <c r="I111" s="23" t="s">
        <v>234</v>
      </c>
      <c r="J111" s="23" t="s">
        <v>235</v>
      </c>
      <c r="K111" s="23" t="s">
        <v>236</v>
      </c>
      <c r="L111" s="23"/>
      <c r="M111" s="2">
        <v>0</v>
      </c>
      <c r="N111" s="2"/>
      <c r="O111" s="2"/>
      <c r="P111" s="2"/>
      <c r="Q111" s="2"/>
      <c r="R111" s="2"/>
      <c r="S111" s="2"/>
      <c r="T111" s="2"/>
      <c r="U111" s="116">
        <f t="shared" si="2"/>
        <v>0</v>
      </c>
      <c r="V111" s="324"/>
      <c r="W111" s="324"/>
      <c r="X111" s="324"/>
      <c r="Y111" s="324"/>
      <c r="Z111" s="324"/>
      <c r="AA111" s="324"/>
      <c r="AB111" s="324"/>
      <c r="AC111" s="324"/>
      <c r="AD111" s="324"/>
      <c r="AE111" s="324"/>
      <c r="AF111" s="324"/>
      <c r="AG111" s="324"/>
      <c r="AH111" s="140">
        <f t="shared" si="3"/>
        <v>0</v>
      </c>
    </row>
    <row r="112" spans="1:34" ht="12.95" customHeight="1" x14ac:dyDescent="0.25">
      <c r="A112" s="202"/>
      <c r="B112" s="22" t="s">
        <v>57</v>
      </c>
      <c r="C112" s="34" t="s">
        <v>40</v>
      </c>
      <c r="D112" s="22" t="s">
        <v>318</v>
      </c>
      <c r="E112" s="22" t="s">
        <v>56</v>
      </c>
      <c r="F112" s="25" t="s">
        <v>319</v>
      </c>
      <c r="G112" s="373" t="s">
        <v>565</v>
      </c>
      <c r="H112" s="37"/>
      <c r="I112" s="23" t="s">
        <v>320</v>
      </c>
      <c r="J112" s="23" t="s">
        <v>321</v>
      </c>
      <c r="K112" s="23"/>
      <c r="L112" s="23"/>
      <c r="M112" s="2">
        <v>0</v>
      </c>
      <c r="N112" s="2"/>
      <c r="O112" s="2"/>
      <c r="P112" s="2"/>
      <c r="Q112" s="2"/>
      <c r="R112" s="2"/>
      <c r="S112" s="2"/>
      <c r="T112" s="2">
        <v>66.982799999999997</v>
      </c>
      <c r="U112" s="116">
        <f t="shared" si="2"/>
        <v>66.982799999999997</v>
      </c>
      <c r="V112" s="324"/>
      <c r="W112" s="324"/>
      <c r="X112" s="324"/>
      <c r="Y112" s="324"/>
      <c r="Z112" s="324"/>
      <c r="AA112" s="324"/>
      <c r="AB112" s="324"/>
      <c r="AC112" s="324"/>
      <c r="AD112" s="324"/>
      <c r="AE112" s="324"/>
      <c r="AF112" s="324"/>
      <c r="AG112" s="324">
        <v>44.655199999999994</v>
      </c>
      <c r="AH112" s="140">
        <f t="shared" si="3"/>
        <v>44.655199999999994</v>
      </c>
    </row>
    <row r="113" spans="1:58" ht="12.95" customHeight="1" x14ac:dyDescent="0.25">
      <c r="A113" s="202"/>
      <c r="B113" s="22" t="s">
        <v>57</v>
      </c>
      <c r="C113" s="34" t="s">
        <v>40</v>
      </c>
      <c r="D113" s="22" t="s">
        <v>1661</v>
      </c>
      <c r="E113" s="22" t="s">
        <v>62</v>
      </c>
      <c r="F113" s="25" t="s">
        <v>503</v>
      </c>
      <c r="G113" s="373" t="s">
        <v>565</v>
      </c>
      <c r="H113" s="37"/>
      <c r="I113" s="23" t="s">
        <v>504</v>
      </c>
      <c r="J113" s="23" t="s">
        <v>505</v>
      </c>
      <c r="K113" s="23" t="s">
        <v>506</v>
      </c>
      <c r="L113" s="23"/>
      <c r="M113" s="2">
        <v>0</v>
      </c>
      <c r="N113" s="2"/>
      <c r="O113" s="2"/>
      <c r="P113" s="2"/>
      <c r="Q113" s="2"/>
      <c r="R113" s="2">
        <v>125</v>
      </c>
      <c r="S113" s="2"/>
      <c r="T113" s="2"/>
      <c r="U113" s="116">
        <f t="shared" si="2"/>
        <v>125</v>
      </c>
      <c r="V113" s="324">
        <v>0</v>
      </c>
      <c r="W113" s="324"/>
      <c r="X113" s="324"/>
      <c r="Y113" s="324"/>
      <c r="Z113" s="324"/>
      <c r="AA113" s="324"/>
      <c r="AB113" s="324"/>
      <c r="AC113" s="324"/>
      <c r="AD113" s="324"/>
      <c r="AE113" s="324"/>
      <c r="AF113" s="324"/>
      <c r="AG113" s="324"/>
      <c r="AH113" s="140">
        <f t="shared" si="3"/>
        <v>0</v>
      </c>
    </row>
    <row r="114" spans="1:58" ht="12.95" customHeight="1" x14ac:dyDescent="0.25">
      <c r="A114" s="202"/>
      <c r="B114" s="22" t="s">
        <v>57</v>
      </c>
      <c r="C114" s="34" t="s">
        <v>40</v>
      </c>
      <c r="D114" s="22" t="s">
        <v>1424</v>
      </c>
      <c r="E114" s="22" t="s">
        <v>62</v>
      </c>
      <c r="F114" s="25" t="s">
        <v>1674</v>
      </c>
      <c r="G114" s="373" t="s">
        <v>1291</v>
      </c>
      <c r="H114" s="37"/>
      <c r="I114" s="23" t="s">
        <v>1292</v>
      </c>
      <c r="J114" s="23"/>
      <c r="K114" s="23"/>
      <c r="L114" s="23"/>
      <c r="M114" s="2">
        <v>11.104649901390076</v>
      </c>
      <c r="N114" s="2"/>
      <c r="O114" s="2"/>
      <c r="P114" s="2"/>
      <c r="Q114" s="2"/>
      <c r="R114" s="2"/>
      <c r="S114" s="2"/>
      <c r="T114" s="2">
        <v>1.6000000238418499</v>
      </c>
      <c r="U114" s="116">
        <f t="shared" si="2"/>
        <v>12.704649925231926</v>
      </c>
      <c r="V114" s="324"/>
      <c r="W114" s="324"/>
      <c r="X114" s="324"/>
      <c r="Y114" s="324"/>
      <c r="Z114" s="324"/>
      <c r="AA114" s="324"/>
      <c r="AB114" s="324"/>
      <c r="AC114" s="324"/>
      <c r="AD114" s="324"/>
      <c r="AE114" s="324"/>
      <c r="AF114" s="324"/>
      <c r="AG114" s="324"/>
      <c r="AH114" s="140">
        <f t="shared" si="3"/>
        <v>0</v>
      </c>
    </row>
    <row r="115" spans="1:58" ht="12.95" customHeight="1" x14ac:dyDescent="0.25">
      <c r="A115" s="202"/>
      <c r="B115" s="22" t="s">
        <v>57</v>
      </c>
      <c r="C115" s="34" t="s">
        <v>40</v>
      </c>
      <c r="D115" s="22" t="s">
        <v>1661</v>
      </c>
      <c r="E115" s="22" t="s">
        <v>62</v>
      </c>
      <c r="F115" s="25" t="s">
        <v>503</v>
      </c>
      <c r="G115" s="373" t="s">
        <v>565</v>
      </c>
      <c r="H115" s="37"/>
      <c r="I115" s="23" t="s">
        <v>507</v>
      </c>
      <c r="J115" s="23" t="s">
        <v>508</v>
      </c>
      <c r="K115" s="23" t="s">
        <v>509</v>
      </c>
      <c r="L115" s="23"/>
      <c r="M115" s="2">
        <v>0</v>
      </c>
      <c r="N115" s="2"/>
      <c r="O115" s="2"/>
      <c r="P115" s="2"/>
      <c r="Q115" s="2"/>
      <c r="R115" s="2"/>
      <c r="S115" s="2">
        <v>48</v>
      </c>
      <c r="T115" s="2"/>
      <c r="U115" s="116">
        <f t="shared" si="2"/>
        <v>48</v>
      </c>
      <c r="V115" s="324">
        <v>0</v>
      </c>
      <c r="W115" s="324"/>
      <c r="X115" s="324"/>
      <c r="Y115" s="324"/>
      <c r="Z115" s="324"/>
      <c r="AA115" s="324"/>
      <c r="AB115" s="324"/>
      <c r="AC115" s="324"/>
      <c r="AD115" s="324"/>
      <c r="AE115" s="324"/>
      <c r="AF115" s="324"/>
      <c r="AG115" s="324"/>
      <c r="AH115" s="140">
        <f t="shared" si="3"/>
        <v>0</v>
      </c>
    </row>
    <row r="116" spans="1:58" ht="12.95" customHeight="1" x14ac:dyDescent="0.25">
      <c r="A116" s="202"/>
      <c r="B116" s="22" t="s">
        <v>57</v>
      </c>
      <c r="C116" s="34" t="s">
        <v>40</v>
      </c>
      <c r="D116" s="22" t="s">
        <v>1661</v>
      </c>
      <c r="E116" s="22" t="s">
        <v>62</v>
      </c>
      <c r="F116" s="384" t="s">
        <v>503</v>
      </c>
      <c r="G116" s="373" t="s">
        <v>565</v>
      </c>
      <c r="H116" s="37"/>
      <c r="I116" s="23" t="s">
        <v>510</v>
      </c>
      <c r="J116" s="23" t="s">
        <v>651</v>
      </c>
      <c r="K116" s="23" t="s">
        <v>511</v>
      </c>
      <c r="L116" s="23"/>
      <c r="M116" s="2">
        <v>0</v>
      </c>
      <c r="N116" s="2"/>
      <c r="O116" s="2"/>
      <c r="P116" s="2"/>
      <c r="Q116" s="2"/>
      <c r="R116" s="2"/>
      <c r="S116" s="2"/>
      <c r="T116" s="2"/>
      <c r="U116" s="116">
        <f t="shared" si="2"/>
        <v>0</v>
      </c>
      <c r="V116" s="324"/>
      <c r="W116" s="324"/>
      <c r="X116" s="324"/>
      <c r="Y116" s="324"/>
      <c r="Z116" s="324"/>
      <c r="AA116" s="324"/>
      <c r="AB116" s="324"/>
      <c r="AC116" s="324"/>
      <c r="AD116" s="324"/>
      <c r="AE116" s="324"/>
      <c r="AF116" s="324"/>
      <c r="AG116" s="324"/>
      <c r="AH116" s="140">
        <f t="shared" si="3"/>
        <v>0</v>
      </c>
    </row>
    <row r="117" spans="1:58" ht="12.95" customHeight="1" x14ac:dyDescent="0.25">
      <c r="A117" s="202"/>
      <c r="B117" s="22" t="s">
        <v>57</v>
      </c>
      <c r="C117" s="34" t="s">
        <v>40</v>
      </c>
      <c r="D117" s="22" t="s">
        <v>61</v>
      </c>
      <c r="E117" s="22" t="s">
        <v>226</v>
      </c>
      <c r="F117" s="25" t="s">
        <v>227</v>
      </c>
      <c r="G117" s="373" t="s">
        <v>565</v>
      </c>
      <c r="H117" s="37"/>
      <c r="I117" s="23" t="s">
        <v>237</v>
      </c>
      <c r="J117" s="23" t="s">
        <v>238</v>
      </c>
      <c r="K117" s="23" t="s">
        <v>236</v>
      </c>
      <c r="L117" s="23"/>
      <c r="M117" s="2">
        <v>0</v>
      </c>
      <c r="N117" s="2"/>
      <c r="O117" s="2"/>
      <c r="P117" s="2"/>
      <c r="Q117" s="2"/>
      <c r="R117" s="2"/>
      <c r="S117" s="2"/>
      <c r="T117" s="2"/>
      <c r="U117" s="116">
        <f t="shared" si="2"/>
        <v>0</v>
      </c>
      <c r="V117" s="324"/>
      <c r="W117" s="324"/>
      <c r="X117" s="324"/>
      <c r="Y117" s="324"/>
      <c r="Z117" s="324"/>
      <c r="AA117" s="324"/>
      <c r="AB117" s="324"/>
      <c r="AC117" s="324"/>
      <c r="AD117" s="324"/>
      <c r="AE117" s="324"/>
      <c r="AF117" s="324"/>
      <c r="AG117" s="324">
        <v>33</v>
      </c>
      <c r="AH117" s="140">
        <f t="shared" si="3"/>
        <v>33</v>
      </c>
    </row>
    <row r="118" spans="1:58" ht="12.95" customHeight="1" x14ac:dyDescent="0.25">
      <c r="A118" s="202"/>
      <c r="B118" s="22" t="s">
        <v>57</v>
      </c>
      <c r="C118" s="34" t="s">
        <v>40</v>
      </c>
      <c r="D118" s="22" t="s">
        <v>488</v>
      </c>
      <c r="E118" s="22" t="s">
        <v>62</v>
      </c>
      <c r="F118" s="25" t="s">
        <v>489</v>
      </c>
      <c r="G118" s="373" t="s">
        <v>565</v>
      </c>
      <c r="H118" s="37"/>
      <c r="I118" s="368" t="s">
        <v>493</v>
      </c>
      <c r="J118" s="23" t="s">
        <v>494</v>
      </c>
      <c r="K118" s="23" t="s">
        <v>492</v>
      </c>
      <c r="L118" s="23"/>
      <c r="M118" s="2">
        <v>0</v>
      </c>
      <c r="N118" s="2"/>
      <c r="O118" s="2"/>
      <c r="P118" s="2"/>
      <c r="Q118" s="2"/>
      <c r="R118" s="2"/>
      <c r="S118" s="2">
        <v>50</v>
      </c>
      <c r="T118" s="2"/>
      <c r="U118" s="116">
        <f t="shared" si="2"/>
        <v>50</v>
      </c>
      <c r="V118" s="324"/>
      <c r="W118" s="324"/>
      <c r="X118" s="324"/>
      <c r="Y118" s="324"/>
      <c r="Z118" s="324"/>
      <c r="AA118" s="324"/>
      <c r="AB118" s="324"/>
      <c r="AC118" s="324"/>
      <c r="AD118" s="324"/>
      <c r="AE118" s="324"/>
      <c r="AF118" s="324"/>
      <c r="AG118" s="324"/>
      <c r="AH118" s="140">
        <f t="shared" si="3"/>
        <v>0</v>
      </c>
    </row>
    <row r="119" spans="1:58" ht="12.95" customHeight="1" x14ac:dyDescent="0.25">
      <c r="A119" s="202"/>
      <c r="B119" s="22" t="s">
        <v>57</v>
      </c>
      <c r="C119" s="34" t="s">
        <v>40</v>
      </c>
      <c r="D119" s="22" t="s">
        <v>488</v>
      </c>
      <c r="E119" s="22" t="s">
        <v>62</v>
      </c>
      <c r="F119" s="25" t="s">
        <v>489</v>
      </c>
      <c r="G119" s="373" t="s">
        <v>565</v>
      </c>
      <c r="H119" s="37"/>
      <c r="I119" s="368" t="s">
        <v>490</v>
      </c>
      <c r="J119" s="23" t="s">
        <v>491</v>
      </c>
      <c r="K119" s="23" t="s">
        <v>492</v>
      </c>
      <c r="L119" s="23"/>
      <c r="M119" s="2">
        <v>0</v>
      </c>
      <c r="N119" s="2"/>
      <c r="O119" s="2"/>
      <c r="P119" s="2"/>
      <c r="Q119" s="2"/>
      <c r="R119" s="2"/>
      <c r="S119" s="2">
        <v>15</v>
      </c>
      <c r="T119" s="2"/>
      <c r="U119" s="116">
        <f t="shared" si="2"/>
        <v>15</v>
      </c>
      <c r="V119" s="324"/>
      <c r="W119" s="324"/>
      <c r="X119" s="324"/>
      <c r="Y119" s="324"/>
      <c r="Z119" s="324"/>
      <c r="AA119" s="324"/>
      <c r="AB119" s="324"/>
      <c r="AC119" s="324"/>
      <c r="AD119" s="324"/>
      <c r="AE119" s="324"/>
      <c r="AF119" s="324"/>
      <c r="AG119" s="324"/>
      <c r="AH119" s="140">
        <f t="shared" si="3"/>
        <v>0</v>
      </c>
    </row>
    <row r="120" spans="1:58" ht="12.95" customHeight="1" x14ac:dyDescent="0.25">
      <c r="A120" s="202"/>
      <c r="B120" s="22" t="s">
        <v>57</v>
      </c>
      <c r="C120" s="34" t="s">
        <v>40</v>
      </c>
      <c r="D120" s="22" t="s">
        <v>512</v>
      </c>
      <c r="E120" s="22" t="s">
        <v>62</v>
      </c>
      <c r="F120" s="25" t="s">
        <v>1756</v>
      </c>
      <c r="G120" s="373" t="s">
        <v>1758</v>
      </c>
      <c r="H120" s="37" t="s">
        <v>1760</v>
      </c>
      <c r="I120" s="23" t="s">
        <v>1076</v>
      </c>
      <c r="J120" s="23" t="s">
        <v>513</v>
      </c>
      <c r="K120" s="23" t="s">
        <v>514</v>
      </c>
      <c r="L120" s="23"/>
      <c r="M120" s="2">
        <v>0</v>
      </c>
      <c r="N120" s="2"/>
      <c r="O120" s="2"/>
      <c r="P120" s="2"/>
      <c r="Q120" s="2"/>
      <c r="R120" s="2">
        <v>250</v>
      </c>
      <c r="S120" s="2"/>
      <c r="T120" s="2"/>
      <c r="U120" s="116">
        <f t="shared" si="2"/>
        <v>250</v>
      </c>
      <c r="V120" s="324"/>
      <c r="W120" s="324"/>
      <c r="X120" s="324"/>
      <c r="Y120" s="324"/>
      <c r="Z120" s="324"/>
      <c r="AA120" s="324"/>
      <c r="AB120" s="324"/>
      <c r="AC120" s="324"/>
      <c r="AD120" s="324"/>
      <c r="AE120" s="324"/>
      <c r="AF120" s="324"/>
      <c r="AG120" s="324"/>
      <c r="AH120" s="140">
        <f t="shared" si="3"/>
        <v>0</v>
      </c>
    </row>
    <row r="121" spans="1:58" ht="12.95" customHeight="1" x14ac:dyDescent="0.25">
      <c r="A121" s="202"/>
      <c r="B121" s="22" t="s">
        <v>57</v>
      </c>
      <c r="C121" s="34" t="s">
        <v>40</v>
      </c>
      <c r="D121" s="22" t="s">
        <v>101</v>
      </c>
      <c r="E121" s="22" t="s">
        <v>62</v>
      </c>
      <c r="F121" s="25" t="s">
        <v>1162</v>
      </c>
      <c r="G121" s="378" t="s">
        <v>1425</v>
      </c>
      <c r="H121" s="136" t="s">
        <v>1573</v>
      </c>
      <c r="I121" s="23" t="s">
        <v>1075</v>
      </c>
      <c r="J121" s="23" t="s">
        <v>700</v>
      </c>
      <c r="K121" s="23" t="s">
        <v>701</v>
      </c>
      <c r="L121" s="23"/>
      <c r="M121" s="2">
        <v>0</v>
      </c>
      <c r="N121" s="2"/>
      <c r="O121" s="2">
        <v>423</v>
      </c>
      <c r="P121" s="2">
        <v>0</v>
      </c>
      <c r="Q121" s="2">
        <v>517.29535007476807</v>
      </c>
      <c r="R121" s="2"/>
      <c r="S121" s="2"/>
      <c r="T121" s="2"/>
      <c r="U121" s="116">
        <f t="shared" si="2"/>
        <v>940.29535007476807</v>
      </c>
      <c r="V121" s="324"/>
      <c r="W121" s="324"/>
      <c r="X121" s="324"/>
      <c r="Y121" s="324"/>
      <c r="Z121" s="324"/>
      <c r="AA121" s="324"/>
      <c r="AB121" s="324">
        <v>1080</v>
      </c>
      <c r="AC121" s="324">
        <v>406</v>
      </c>
      <c r="AD121" s="324">
        <f>819-500</f>
        <v>319</v>
      </c>
      <c r="AE121" s="324"/>
      <c r="AF121" s="324"/>
      <c r="AG121" s="324"/>
      <c r="AH121" s="140">
        <f t="shared" si="3"/>
        <v>1805</v>
      </c>
    </row>
    <row r="122" spans="1:58" ht="12.95" customHeight="1" x14ac:dyDescent="0.25">
      <c r="A122" s="202"/>
      <c r="B122" s="141" t="s">
        <v>57</v>
      </c>
      <c r="C122" s="142" t="s">
        <v>41</v>
      </c>
      <c r="D122" s="141" t="s">
        <v>58</v>
      </c>
      <c r="E122" s="141" t="s">
        <v>56</v>
      </c>
      <c r="F122" s="143" t="s">
        <v>1154</v>
      </c>
      <c r="G122" s="403" t="s">
        <v>1161</v>
      </c>
      <c r="H122" s="144" t="s">
        <v>1156</v>
      </c>
      <c r="I122" s="145" t="s">
        <v>1160</v>
      </c>
      <c r="J122" s="145" t="s">
        <v>1160</v>
      </c>
      <c r="K122" s="145" t="s">
        <v>1160</v>
      </c>
      <c r="L122" s="145"/>
      <c r="M122" s="2">
        <v>1.7749999761581421</v>
      </c>
      <c r="N122" s="146">
        <v>6.3078399999999997</v>
      </c>
      <c r="O122" s="146"/>
      <c r="P122" s="146"/>
      <c r="Q122" s="146"/>
      <c r="R122" s="146"/>
      <c r="S122" s="146"/>
      <c r="T122" s="146"/>
      <c r="U122" s="116">
        <f t="shared" si="2"/>
        <v>8.0828399761581409</v>
      </c>
      <c r="V122" s="325"/>
      <c r="W122" s="325"/>
      <c r="X122" s="325"/>
      <c r="Y122" s="325"/>
      <c r="Z122" s="325"/>
      <c r="AA122" s="325"/>
      <c r="AB122" s="325"/>
      <c r="AC122" s="325"/>
      <c r="AD122" s="325"/>
      <c r="AE122" s="325"/>
      <c r="AF122" s="325"/>
      <c r="AG122" s="325"/>
      <c r="AH122" s="140">
        <f t="shared" si="3"/>
        <v>0</v>
      </c>
    </row>
    <row r="123" spans="1:58" s="362" customFormat="1" ht="12.95" customHeight="1" x14ac:dyDescent="0.25">
      <c r="A123" s="202"/>
      <c r="B123" s="22" t="s">
        <v>57</v>
      </c>
      <c r="C123" s="34" t="s">
        <v>41</v>
      </c>
      <c r="D123" s="22" t="s">
        <v>58</v>
      </c>
      <c r="E123" s="22" t="s">
        <v>62</v>
      </c>
      <c r="F123" s="25" t="s">
        <v>1618</v>
      </c>
      <c r="G123" s="373" t="s">
        <v>1157</v>
      </c>
      <c r="H123" s="37" t="s">
        <v>1158</v>
      </c>
      <c r="I123" s="23" t="s">
        <v>1159</v>
      </c>
      <c r="J123" s="23" t="s">
        <v>1159</v>
      </c>
      <c r="K123" s="23" t="s">
        <v>1159</v>
      </c>
      <c r="L123" s="23"/>
      <c r="M123" s="2">
        <v>54.296999216079712</v>
      </c>
      <c r="N123" s="2"/>
      <c r="O123" s="2"/>
      <c r="P123" s="2"/>
      <c r="Q123" s="2"/>
      <c r="R123" s="2"/>
      <c r="S123" s="2"/>
      <c r="T123" s="340"/>
      <c r="U123" s="116">
        <f t="shared" si="2"/>
        <v>54.296999216079712</v>
      </c>
      <c r="V123" s="324"/>
      <c r="W123" s="324"/>
      <c r="X123" s="324"/>
      <c r="Y123" s="324"/>
      <c r="Z123" s="324"/>
      <c r="AA123" s="324"/>
      <c r="AB123" s="324"/>
      <c r="AC123" s="324"/>
      <c r="AD123" s="324"/>
      <c r="AE123" s="324"/>
      <c r="AF123" s="324"/>
      <c r="AG123" s="324"/>
      <c r="AH123" s="140">
        <f t="shared" si="3"/>
        <v>0</v>
      </c>
      <c r="AI123" s="405"/>
      <c r="AJ123" s="405"/>
      <c r="AK123" s="405"/>
      <c r="AL123" s="405"/>
      <c r="AM123" s="405"/>
      <c r="AN123" s="405"/>
      <c r="AO123" s="405"/>
      <c r="AP123" s="405"/>
      <c r="AQ123" s="405"/>
      <c r="AR123" s="405"/>
      <c r="AS123" s="405"/>
      <c r="AT123" s="405"/>
      <c r="AU123" s="405"/>
      <c r="AV123" s="405"/>
      <c r="AW123" s="405"/>
      <c r="AX123" s="405"/>
      <c r="AY123" s="405"/>
      <c r="AZ123" s="405"/>
      <c r="BA123" s="405"/>
      <c r="BB123" s="405"/>
      <c r="BC123" s="405"/>
      <c r="BD123" s="405"/>
      <c r="BE123" s="405"/>
      <c r="BF123" s="405"/>
    </row>
    <row r="124" spans="1:58" s="400" customFormat="1" ht="12.95" customHeight="1" x14ac:dyDescent="0.25">
      <c r="A124" s="202"/>
      <c r="B124" s="338" t="s">
        <v>57</v>
      </c>
      <c r="C124" s="395" t="s">
        <v>44</v>
      </c>
      <c r="D124" s="338" t="s">
        <v>1676</v>
      </c>
      <c r="E124" s="338" t="s">
        <v>62</v>
      </c>
      <c r="F124" s="395" t="s">
        <v>1813</v>
      </c>
      <c r="G124" s="396" t="s">
        <v>565</v>
      </c>
      <c r="H124" s="396"/>
      <c r="I124" s="338" t="s">
        <v>1791</v>
      </c>
      <c r="J124" s="338"/>
      <c r="K124" s="338"/>
      <c r="L124" s="338"/>
      <c r="M124" s="397"/>
      <c r="N124" s="397"/>
      <c r="O124" s="397"/>
      <c r="P124" s="397"/>
      <c r="Q124" s="397"/>
      <c r="R124" s="397"/>
      <c r="S124" s="397"/>
      <c r="T124" s="398"/>
      <c r="U124" s="407">
        <f t="shared" si="2"/>
        <v>0</v>
      </c>
      <c r="V124" s="399">
        <v>0</v>
      </c>
      <c r="W124" s="399">
        <v>0</v>
      </c>
      <c r="X124" s="399">
        <v>0</v>
      </c>
      <c r="Y124" s="399">
        <v>0</v>
      </c>
      <c r="Z124" s="399">
        <v>0</v>
      </c>
      <c r="AA124" s="399"/>
      <c r="AB124" s="399"/>
      <c r="AC124" s="399"/>
      <c r="AD124" s="399"/>
      <c r="AE124" s="399"/>
      <c r="AF124" s="399"/>
      <c r="AG124" s="399">
        <v>2015.0433251530048</v>
      </c>
      <c r="AH124" s="399">
        <f t="shared" si="3"/>
        <v>2015.0433251530048</v>
      </c>
      <c r="AI124" s="405"/>
      <c r="AJ124" s="405"/>
      <c r="AK124" s="405"/>
      <c r="AL124" s="405"/>
      <c r="AM124" s="405"/>
      <c r="AN124" s="405"/>
      <c r="AO124" s="405"/>
      <c r="AP124" s="405"/>
      <c r="AQ124" s="405"/>
      <c r="AR124" s="405"/>
      <c r="AS124" s="405"/>
      <c r="AT124" s="405"/>
      <c r="AU124" s="405"/>
      <c r="AV124" s="405"/>
      <c r="AW124" s="405"/>
      <c r="AX124" s="405"/>
      <c r="AY124" s="405"/>
      <c r="AZ124" s="405"/>
      <c r="BA124" s="405"/>
      <c r="BB124" s="405"/>
      <c r="BC124" s="405"/>
      <c r="BD124" s="405"/>
      <c r="BE124" s="405"/>
      <c r="BF124" s="405"/>
    </row>
    <row r="125" spans="1:58" ht="12.95" customHeight="1" x14ac:dyDescent="0.25">
      <c r="A125" s="202"/>
      <c r="B125" s="22" t="s">
        <v>57</v>
      </c>
      <c r="C125" s="34" t="s">
        <v>41</v>
      </c>
      <c r="D125" s="22" t="s">
        <v>58</v>
      </c>
      <c r="E125" s="22" t="s">
        <v>56</v>
      </c>
      <c r="F125" s="25" t="s">
        <v>292</v>
      </c>
      <c r="G125" s="373" t="s">
        <v>565</v>
      </c>
      <c r="H125" s="37"/>
      <c r="I125" s="23" t="s">
        <v>301</v>
      </c>
      <c r="J125" s="23" t="s">
        <v>302</v>
      </c>
      <c r="K125" s="23" t="s">
        <v>303</v>
      </c>
      <c r="L125" s="23"/>
      <c r="M125" s="2">
        <v>0</v>
      </c>
      <c r="N125" s="2"/>
      <c r="O125" s="2"/>
      <c r="P125" s="2"/>
      <c r="Q125" s="2"/>
      <c r="R125" s="2"/>
      <c r="S125" s="2"/>
      <c r="T125" s="2"/>
      <c r="U125" s="116">
        <f t="shared" si="2"/>
        <v>0</v>
      </c>
      <c r="V125" s="324"/>
      <c r="W125" s="324"/>
      <c r="X125" s="324"/>
      <c r="Y125" s="324"/>
      <c r="Z125" s="324"/>
      <c r="AA125" s="324"/>
      <c r="AB125" s="324"/>
      <c r="AC125" s="324"/>
      <c r="AD125" s="324"/>
      <c r="AE125" s="324"/>
      <c r="AF125" s="324"/>
      <c r="AG125" s="324"/>
      <c r="AH125" s="140">
        <f t="shared" si="3"/>
        <v>0</v>
      </c>
    </row>
    <row r="126" spans="1:58" ht="12.95" customHeight="1" x14ac:dyDescent="0.25">
      <c r="A126" s="202"/>
      <c r="B126" s="22" t="s">
        <v>57</v>
      </c>
      <c r="C126" s="34" t="s">
        <v>41</v>
      </c>
      <c r="D126" s="22" t="s">
        <v>58</v>
      </c>
      <c r="E126" s="22" t="s">
        <v>56</v>
      </c>
      <c r="F126" s="25" t="s">
        <v>292</v>
      </c>
      <c r="G126" s="373" t="s">
        <v>565</v>
      </c>
      <c r="H126" s="37"/>
      <c r="I126" s="23" t="s">
        <v>1080</v>
      </c>
      <c r="J126" s="23" t="s">
        <v>293</v>
      </c>
      <c r="K126" s="23" t="s">
        <v>295</v>
      </c>
      <c r="L126" s="23"/>
      <c r="M126" s="2">
        <v>0</v>
      </c>
      <c r="N126" s="2"/>
      <c r="O126" s="2"/>
      <c r="P126" s="2"/>
      <c r="Q126" s="2"/>
      <c r="R126" s="2"/>
      <c r="S126" s="2"/>
      <c r="T126" s="2"/>
      <c r="U126" s="116">
        <f t="shared" si="2"/>
        <v>0</v>
      </c>
      <c r="V126" s="324"/>
      <c r="W126" s="324"/>
      <c r="X126" s="324"/>
      <c r="Y126" s="324"/>
      <c r="Z126" s="324"/>
      <c r="AA126" s="324"/>
      <c r="AB126" s="324"/>
      <c r="AC126" s="324"/>
      <c r="AD126" s="324">
        <v>25</v>
      </c>
      <c r="AE126" s="324"/>
      <c r="AF126" s="324"/>
      <c r="AG126" s="324"/>
      <c r="AH126" s="140">
        <f t="shared" si="3"/>
        <v>25</v>
      </c>
    </row>
    <row r="127" spans="1:58" ht="12.95" customHeight="1" x14ac:dyDescent="0.25">
      <c r="A127" s="202"/>
      <c r="B127" s="22" t="s">
        <v>57</v>
      </c>
      <c r="C127" s="34" t="s">
        <v>41</v>
      </c>
      <c r="D127" s="22" t="s">
        <v>58</v>
      </c>
      <c r="E127" s="22" t="s">
        <v>56</v>
      </c>
      <c r="F127" s="25" t="s">
        <v>433</v>
      </c>
      <c r="G127" s="373" t="s">
        <v>565</v>
      </c>
      <c r="H127" s="37"/>
      <c r="I127" s="23" t="s">
        <v>441</v>
      </c>
      <c r="J127" s="23" t="s">
        <v>442</v>
      </c>
      <c r="K127" s="23" t="s">
        <v>443</v>
      </c>
      <c r="L127" s="23"/>
      <c r="M127" s="2">
        <v>0</v>
      </c>
      <c r="N127" s="2"/>
      <c r="O127" s="2"/>
      <c r="P127" s="2"/>
      <c r="Q127" s="2"/>
      <c r="R127" s="2"/>
      <c r="S127" s="2"/>
      <c r="T127" s="2"/>
      <c r="U127" s="116">
        <f t="shared" si="2"/>
        <v>0</v>
      </c>
      <c r="V127" s="324"/>
      <c r="W127" s="324"/>
      <c r="X127" s="324"/>
      <c r="Y127" s="324"/>
      <c r="Z127" s="324"/>
      <c r="AA127" s="324"/>
      <c r="AB127" s="324"/>
      <c r="AC127" s="324"/>
      <c r="AD127" s="324"/>
      <c r="AE127" s="324"/>
      <c r="AF127" s="324"/>
      <c r="AG127" s="324"/>
      <c r="AH127" s="140">
        <f t="shared" si="3"/>
        <v>0</v>
      </c>
    </row>
    <row r="128" spans="1:58" ht="12.95" customHeight="1" x14ac:dyDescent="0.25">
      <c r="A128" s="202"/>
      <c r="B128" s="22" t="s">
        <v>57</v>
      </c>
      <c r="C128" s="34" t="s">
        <v>41</v>
      </c>
      <c r="D128" s="22" t="s">
        <v>58</v>
      </c>
      <c r="E128" s="22" t="s">
        <v>56</v>
      </c>
      <c r="F128" s="25" t="s">
        <v>1532</v>
      </c>
      <c r="G128" s="373" t="s">
        <v>565</v>
      </c>
      <c r="H128" s="37"/>
      <c r="I128" s="23" t="s">
        <v>1533</v>
      </c>
      <c r="J128" s="23" t="s">
        <v>1536</v>
      </c>
      <c r="K128" s="23" t="s">
        <v>1537</v>
      </c>
      <c r="L128" s="23" t="s">
        <v>1769</v>
      </c>
      <c r="M128" s="2">
        <v>0</v>
      </c>
      <c r="N128" s="2"/>
      <c r="O128" s="2"/>
      <c r="P128" s="2"/>
      <c r="Q128" s="2"/>
      <c r="R128" s="2"/>
      <c r="S128" s="2"/>
      <c r="T128" s="2"/>
      <c r="U128" s="116">
        <f t="shared" si="2"/>
        <v>0</v>
      </c>
      <c r="V128" s="324"/>
      <c r="W128" s="324"/>
      <c r="X128" s="324"/>
      <c r="Y128" s="324"/>
      <c r="Z128" s="324"/>
      <c r="AA128" s="324"/>
      <c r="AB128" s="324"/>
      <c r="AC128" s="324">
        <v>200</v>
      </c>
      <c r="AD128" s="324"/>
      <c r="AE128" s="324"/>
      <c r="AF128" s="324"/>
      <c r="AG128" s="324"/>
      <c r="AH128" s="140">
        <f t="shared" si="3"/>
        <v>200</v>
      </c>
    </row>
    <row r="129" spans="1:34" ht="12.95" customHeight="1" x14ac:dyDescent="0.25">
      <c r="A129" s="202"/>
      <c r="B129" s="22" t="s">
        <v>57</v>
      </c>
      <c r="C129" s="34" t="s">
        <v>41</v>
      </c>
      <c r="D129" s="22" t="s">
        <v>58</v>
      </c>
      <c r="E129" s="22" t="s">
        <v>56</v>
      </c>
      <c r="F129" s="25" t="s">
        <v>1532</v>
      </c>
      <c r="G129" s="373" t="s">
        <v>1534</v>
      </c>
      <c r="H129" s="37" t="s">
        <v>1535</v>
      </c>
      <c r="I129" s="23" t="s">
        <v>1541</v>
      </c>
      <c r="J129" s="23" t="s">
        <v>1536</v>
      </c>
      <c r="K129" s="23" t="s">
        <v>1537</v>
      </c>
      <c r="L129" s="23"/>
      <c r="M129" s="2">
        <v>0</v>
      </c>
      <c r="N129" s="2">
        <v>22.880000114440854</v>
      </c>
      <c r="O129" s="2">
        <v>81</v>
      </c>
      <c r="P129" s="2">
        <v>49.119999885559054</v>
      </c>
      <c r="Q129" s="2"/>
      <c r="R129" s="2"/>
      <c r="S129" s="2"/>
      <c r="T129" s="2"/>
      <c r="U129" s="116">
        <f t="shared" si="2"/>
        <v>152.99999999999991</v>
      </c>
      <c r="V129" s="324"/>
      <c r="W129" s="324"/>
      <c r="X129" s="324"/>
      <c r="Y129" s="324"/>
      <c r="Z129" s="324"/>
      <c r="AA129" s="324"/>
      <c r="AB129" s="324"/>
      <c r="AC129" s="324"/>
      <c r="AD129" s="324"/>
      <c r="AE129" s="324"/>
      <c r="AF129" s="324"/>
      <c r="AG129" s="324"/>
      <c r="AH129" s="140">
        <f t="shared" si="3"/>
        <v>0</v>
      </c>
    </row>
    <row r="130" spans="1:34" ht="12.95" customHeight="1" x14ac:dyDescent="0.25">
      <c r="A130" s="202"/>
      <c r="B130" s="22" t="s">
        <v>57</v>
      </c>
      <c r="C130" s="34" t="s">
        <v>41</v>
      </c>
      <c r="D130" s="22" t="s">
        <v>512</v>
      </c>
      <c r="E130" s="22" t="s">
        <v>62</v>
      </c>
      <c r="F130" s="25" t="s">
        <v>1756</v>
      </c>
      <c r="G130" s="373" t="s">
        <v>1759</v>
      </c>
      <c r="H130" s="37" t="s">
        <v>1761</v>
      </c>
      <c r="I130" s="23" t="s">
        <v>1757</v>
      </c>
      <c r="J130" s="23"/>
      <c r="K130" s="23"/>
      <c r="L130" s="23"/>
      <c r="M130" s="2"/>
      <c r="N130" s="2"/>
      <c r="O130" s="2"/>
      <c r="P130" s="2"/>
      <c r="Q130" s="2"/>
      <c r="R130" s="2"/>
      <c r="S130" s="2"/>
      <c r="T130" s="2">
        <v>125</v>
      </c>
      <c r="U130" s="116">
        <f t="shared" si="2"/>
        <v>125</v>
      </c>
      <c r="V130" s="324"/>
      <c r="W130" s="324"/>
      <c r="X130" s="324"/>
      <c r="Y130" s="324"/>
      <c r="Z130" s="324"/>
      <c r="AA130" s="324"/>
      <c r="AB130" s="324"/>
      <c r="AC130" s="324"/>
      <c r="AD130" s="324"/>
      <c r="AE130" s="324"/>
      <c r="AF130" s="324"/>
      <c r="AG130" s="324"/>
      <c r="AH130" s="140">
        <f t="shared" si="3"/>
        <v>0</v>
      </c>
    </row>
    <row r="131" spans="1:34" ht="12.95" customHeight="1" x14ac:dyDescent="0.25">
      <c r="A131" s="202"/>
      <c r="B131" s="22" t="s">
        <v>57</v>
      </c>
      <c r="C131" s="34" t="s">
        <v>41</v>
      </c>
      <c r="D131" s="22" t="s">
        <v>1622</v>
      </c>
      <c r="E131" s="22" t="s">
        <v>1623</v>
      </c>
      <c r="F131" s="25" t="s">
        <v>1624</v>
      </c>
      <c r="G131" s="402" t="s">
        <v>1662</v>
      </c>
      <c r="H131" s="385" t="s">
        <v>1663</v>
      </c>
      <c r="I131" s="23" t="s">
        <v>1625</v>
      </c>
      <c r="J131" s="23"/>
      <c r="K131" s="23"/>
      <c r="L131" s="23"/>
      <c r="M131" s="2">
        <v>0</v>
      </c>
      <c r="N131" s="2"/>
      <c r="O131" s="2"/>
      <c r="P131" s="2">
        <v>60</v>
      </c>
      <c r="Q131" s="2"/>
      <c r="R131" s="2"/>
      <c r="S131" s="2"/>
      <c r="T131" s="2"/>
      <c r="U131" s="116">
        <f t="shared" si="2"/>
        <v>60</v>
      </c>
      <c r="V131" s="324"/>
      <c r="W131" s="324"/>
      <c r="X131" s="324"/>
      <c r="Y131" s="324"/>
      <c r="Z131" s="324"/>
      <c r="AA131" s="324"/>
      <c r="AB131" s="324"/>
      <c r="AC131" s="324"/>
      <c r="AD131" s="324"/>
      <c r="AE131" s="324"/>
      <c r="AF131" s="324"/>
      <c r="AG131" s="324"/>
      <c r="AH131" s="140">
        <f t="shared" si="3"/>
        <v>0</v>
      </c>
    </row>
    <row r="132" spans="1:34" ht="12.75" customHeight="1" x14ac:dyDescent="0.25">
      <c r="A132" s="202"/>
      <c r="B132" s="22" t="s">
        <v>57</v>
      </c>
      <c r="C132" s="34" t="s">
        <v>41</v>
      </c>
      <c r="D132" s="22" t="s">
        <v>187</v>
      </c>
      <c r="E132" s="22" t="s">
        <v>56</v>
      </c>
      <c r="F132" s="25" t="s">
        <v>183</v>
      </c>
      <c r="G132" s="373" t="s">
        <v>565</v>
      </c>
      <c r="H132" s="327"/>
      <c r="I132" s="23" t="s">
        <v>184</v>
      </c>
      <c r="J132" s="23" t="s">
        <v>185</v>
      </c>
      <c r="K132" s="23" t="s">
        <v>186</v>
      </c>
      <c r="L132" s="23"/>
      <c r="M132" s="2">
        <v>0</v>
      </c>
      <c r="N132" s="2"/>
      <c r="O132" s="2">
        <f>150-36</f>
        <v>114</v>
      </c>
      <c r="P132" s="2"/>
      <c r="Q132" s="2"/>
      <c r="R132" s="2"/>
      <c r="S132" s="2"/>
      <c r="T132" s="2"/>
      <c r="U132" s="116">
        <f t="shared" si="2"/>
        <v>114</v>
      </c>
      <c r="V132" s="324"/>
      <c r="W132" s="324"/>
      <c r="X132" s="324"/>
      <c r="Y132" s="324"/>
      <c r="Z132" s="324"/>
      <c r="AA132" s="324"/>
      <c r="AB132" s="324"/>
      <c r="AC132" s="324"/>
      <c r="AD132" s="324"/>
      <c r="AE132" s="324"/>
      <c r="AF132" s="324"/>
      <c r="AG132" s="324"/>
      <c r="AH132" s="140">
        <f t="shared" si="3"/>
        <v>0</v>
      </c>
    </row>
    <row r="133" spans="1:34" ht="12.95" customHeight="1" x14ac:dyDescent="0.25">
      <c r="A133" s="202"/>
      <c r="B133" s="22" t="s">
        <v>57</v>
      </c>
      <c r="C133" s="34" t="s">
        <v>41</v>
      </c>
      <c r="D133" s="22" t="s">
        <v>318</v>
      </c>
      <c r="E133" s="22" t="s">
        <v>56</v>
      </c>
      <c r="F133" s="25" t="s">
        <v>1035</v>
      </c>
      <c r="G133" s="373" t="s">
        <v>1538</v>
      </c>
      <c r="H133" s="37" t="s">
        <v>1539</v>
      </c>
      <c r="I133" s="23" t="s">
        <v>1036</v>
      </c>
      <c r="J133" s="23" t="s">
        <v>1039</v>
      </c>
      <c r="K133" s="23" t="s">
        <v>1037</v>
      </c>
      <c r="L133" s="23"/>
      <c r="M133" s="2">
        <v>0</v>
      </c>
      <c r="N133" s="2">
        <v>7.8109999999999999</v>
      </c>
      <c r="O133" s="2">
        <v>2.2000000000000002</v>
      </c>
      <c r="P133" s="2">
        <v>9.9890000000000008</v>
      </c>
      <c r="Q133" s="2"/>
      <c r="R133" s="2"/>
      <c r="S133" s="2"/>
      <c r="T133" s="2"/>
      <c r="U133" s="116">
        <f t="shared" si="2"/>
        <v>20</v>
      </c>
      <c r="V133" s="324"/>
      <c r="W133" s="324"/>
      <c r="X133" s="324"/>
      <c r="Y133" s="324"/>
      <c r="Z133" s="324"/>
      <c r="AA133" s="324"/>
      <c r="AB133" s="324"/>
      <c r="AC133" s="324"/>
      <c r="AD133" s="324"/>
      <c r="AE133" s="324"/>
      <c r="AF133" s="324"/>
      <c r="AG133" s="324"/>
      <c r="AH133" s="140">
        <f t="shared" si="3"/>
        <v>0</v>
      </c>
    </row>
    <row r="134" spans="1:34" ht="12.95" customHeight="1" x14ac:dyDescent="0.25">
      <c r="A134" s="202"/>
      <c r="B134" s="22" t="s">
        <v>57</v>
      </c>
      <c r="C134" s="34" t="s">
        <v>41</v>
      </c>
      <c r="D134" s="22" t="s">
        <v>58</v>
      </c>
      <c r="E134" s="22" t="s">
        <v>56</v>
      </c>
      <c r="F134" s="25" t="s">
        <v>1034</v>
      </c>
      <c r="G134" s="373" t="s">
        <v>565</v>
      </c>
      <c r="H134" s="37"/>
      <c r="I134" s="23" t="s">
        <v>885</v>
      </c>
      <c r="J134" s="23" t="s">
        <v>883</v>
      </c>
      <c r="K134" s="23" t="s">
        <v>884</v>
      </c>
      <c r="L134" s="23"/>
      <c r="M134" s="2">
        <v>0</v>
      </c>
      <c r="N134" s="2"/>
      <c r="O134" s="2"/>
      <c r="P134" s="2"/>
      <c r="Q134" s="2"/>
      <c r="R134" s="2"/>
      <c r="S134" s="2"/>
      <c r="T134" s="2"/>
      <c r="U134" s="116">
        <f t="shared" si="2"/>
        <v>0</v>
      </c>
      <c r="V134" s="324"/>
      <c r="W134" s="324"/>
      <c r="X134" s="324"/>
      <c r="Y134" s="324"/>
      <c r="Z134" s="324"/>
      <c r="AA134" s="324"/>
      <c r="AB134" s="324"/>
      <c r="AC134" s="324"/>
      <c r="AD134" s="324"/>
      <c r="AE134" s="324"/>
      <c r="AF134" s="324">
        <v>63</v>
      </c>
      <c r="AG134" s="324"/>
      <c r="AH134" s="140">
        <f t="shared" si="3"/>
        <v>63</v>
      </c>
    </row>
    <row r="135" spans="1:34" ht="12.95" customHeight="1" x14ac:dyDescent="0.25">
      <c r="A135" s="202"/>
      <c r="B135" s="22" t="s">
        <v>57</v>
      </c>
      <c r="C135" s="34" t="s">
        <v>41</v>
      </c>
      <c r="D135" s="22" t="s">
        <v>58</v>
      </c>
      <c r="E135" s="22" t="s">
        <v>56</v>
      </c>
      <c r="F135" s="25" t="s">
        <v>1034</v>
      </c>
      <c r="G135" s="373" t="s">
        <v>565</v>
      </c>
      <c r="H135" s="37"/>
      <c r="I135" s="23" t="s">
        <v>1083</v>
      </c>
      <c r="J135" s="23" t="s">
        <v>882</v>
      </c>
      <c r="K135" s="23" t="s">
        <v>450</v>
      </c>
      <c r="L135" s="23"/>
      <c r="M135" s="2">
        <v>0</v>
      </c>
      <c r="N135" s="2"/>
      <c r="O135" s="2"/>
      <c r="P135" s="2"/>
      <c r="Q135" s="2"/>
      <c r="R135" s="2"/>
      <c r="S135" s="2"/>
      <c r="T135" s="2"/>
      <c r="U135" s="116">
        <f t="shared" si="2"/>
        <v>0</v>
      </c>
      <c r="V135" s="324"/>
      <c r="W135" s="324"/>
      <c r="X135" s="324"/>
      <c r="Y135" s="324"/>
      <c r="Z135" s="324"/>
      <c r="AA135" s="324"/>
      <c r="AB135" s="324"/>
      <c r="AC135" s="324"/>
      <c r="AD135" s="324"/>
      <c r="AE135" s="324"/>
      <c r="AF135" s="324">
        <v>50</v>
      </c>
      <c r="AG135" s="324"/>
      <c r="AH135" s="140">
        <f t="shared" si="3"/>
        <v>50</v>
      </c>
    </row>
    <row r="136" spans="1:34" ht="12.95" customHeight="1" x14ac:dyDescent="0.25">
      <c r="A136" s="202"/>
      <c r="B136" s="22" t="s">
        <v>57</v>
      </c>
      <c r="C136" s="34" t="s">
        <v>41</v>
      </c>
      <c r="D136" s="22" t="s">
        <v>58</v>
      </c>
      <c r="E136" s="22" t="s">
        <v>56</v>
      </c>
      <c r="F136" s="25" t="s">
        <v>292</v>
      </c>
      <c r="G136" s="373" t="s">
        <v>565</v>
      </c>
      <c r="H136" s="37"/>
      <c r="I136" s="23" t="s">
        <v>304</v>
      </c>
      <c r="J136" s="23" t="s">
        <v>305</v>
      </c>
      <c r="K136" s="23" t="s">
        <v>306</v>
      </c>
      <c r="L136" s="23"/>
      <c r="M136" s="2">
        <v>0</v>
      </c>
      <c r="N136" s="2"/>
      <c r="O136" s="2"/>
      <c r="P136" s="2"/>
      <c r="Q136" s="2"/>
      <c r="R136" s="2"/>
      <c r="S136" s="2"/>
      <c r="T136" s="2"/>
      <c r="U136" s="116">
        <f t="shared" ref="U136:U199" si="4">SUM(M136:T136)</f>
        <v>0</v>
      </c>
      <c r="V136" s="324"/>
      <c r="W136" s="324"/>
      <c r="X136" s="324"/>
      <c r="Y136" s="324"/>
      <c r="Z136" s="324"/>
      <c r="AA136" s="324"/>
      <c r="AB136" s="324"/>
      <c r="AC136" s="324"/>
      <c r="AD136" s="324">
        <v>100</v>
      </c>
      <c r="AE136" s="324"/>
      <c r="AF136" s="324"/>
      <c r="AG136" s="324"/>
      <c r="AH136" s="140">
        <f t="shared" ref="AH136:AH200" si="5">SUM(V136:AG136)</f>
        <v>100</v>
      </c>
    </row>
    <row r="137" spans="1:34" ht="12.95" customHeight="1" x14ac:dyDescent="0.25">
      <c r="A137" s="202"/>
      <c r="B137" s="22" t="s">
        <v>57</v>
      </c>
      <c r="C137" s="34" t="s">
        <v>41</v>
      </c>
      <c r="D137" s="22" t="s">
        <v>58</v>
      </c>
      <c r="E137" s="22" t="s">
        <v>56</v>
      </c>
      <c r="F137" s="25" t="s">
        <v>292</v>
      </c>
      <c r="G137" s="373" t="s">
        <v>1654</v>
      </c>
      <c r="H137" s="37" t="s">
        <v>1655</v>
      </c>
      <c r="I137" s="23" t="s">
        <v>647</v>
      </c>
      <c r="J137" s="23" t="s">
        <v>648</v>
      </c>
      <c r="K137" s="23" t="s">
        <v>649</v>
      </c>
      <c r="L137" s="23" t="s">
        <v>1771</v>
      </c>
      <c r="M137" s="2">
        <v>0</v>
      </c>
      <c r="N137" s="2"/>
      <c r="O137" s="2"/>
      <c r="P137" s="2"/>
      <c r="Q137" s="2"/>
      <c r="R137" s="2"/>
      <c r="S137" s="2"/>
      <c r="T137" s="2">
        <f>1000+45+15+84+65</f>
        <v>1209</v>
      </c>
      <c r="U137" s="116">
        <f t="shared" si="4"/>
        <v>1209</v>
      </c>
      <c r="V137" s="324"/>
      <c r="W137" s="324"/>
      <c r="X137" s="324"/>
      <c r="Y137" s="324"/>
      <c r="Z137" s="324"/>
      <c r="AA137" s="324"/>
      <c r="AB137" s="324"/>
      <c r="AC137" s="324"/>
      <c r="AD137" s="324">
        <v>62</v>
      </c>
      <c r="AE137" s="324"/>
      <c r="AF137" s="324"/>
      <c r="AG137" s="324"/>
      <c r="AH137" s="140">
        <f t="shared" si="5"/>
        <v>62</v>
      </c>
    </row>
    <row r="138" spans="1:34" ht="12.95" customHeight="1" x14ac:dyDescent="0.25">
      <c r="A138" s="202"/>
      <c r="B138" s="22" t="s">
        <v>57</v>
      </c>
      <c r="C138" s="34" t="s">
        <v>41</v>
      </c>
      <c r="D138" s="22" t="s">
        <v>58</v>
      </c>
      <c r="E138" s="22" t="s">
        <v>56</v>
      </c>
      <c r="F138" s="25" t="s">
        <v>292</v>
      </c>
      <c r="G138" s="373" t="s">
        <v>565</v>
      </c>
      <c r="H138" s="37"/>
      <c r="I138" s="23" t="s">
        <v>307</v>
      </c>
      <c r="J138" s="23" t="s">
        <v>308</v>
      </c>
      <c r="K138" s="23" t="s">
        <v>309</v>
      </c>
      <c r="L138" s="23"/>
      <c r="M138" s="2">
        <v>0</v>
      </c>
      <c r="N138" s="2"/>
      <c r="O138" s="2"/>
      <c r="P138" s="2"/>
      <c r="Q138" s="2"/>
      <c r="R138" s="2"/>
      <c r="S138" s="2"/>
      <c r="T138" s="2"/>
      <c r="U138" s="116">
        <f t="shared" si="4"/>
        <v>0</v>
      </c>
      <c r="V138" s="324"/>
      <c r="W138" s="324"/>
      <c r="X138" s="324"/>
      <c r="Y138" s="324"/>
      <c r="Z138" s="324"/>
      <c r="AA138" s="324"/>
      <c r="AB138" s="324"/>
      <c r="AC138" s="324"/>
      <c r="AD138" s="324">
        <v>200</v>
      </c>
      <c r="AE138" s="324"/>
      <c r="AF138" s="324"/>
      <c r="AG138" s="324"/>
      <c r="AH138" s="140">
        <f t="shared" si="5"/>
        <v>200</v>
      </c>
    </row>
    <row r="139" spans="1:34" ht="12" customHeight="1" x14ac:dyDescent="0.25">
      <c r="A139" s="202"/>
      <c r="B139" s="22" t="s">
        <v>57</v>
      </c>
      <c r="C139" s="34" t="s">
        <v>41</v>
      </c>
      <c r="D139" s="22" t="s">
        <v>58</v>
      </c>
      <c r="E139" s="22" t="s">
        <v>56</v>
      </c>
      <c r="F139" s="25" t="s">
        <v>1618</v>
      </c>
      <c r="G139" s="373" t="s">
        <v>1619</v>
      </c>
      <c r="H139" s="386" t="s">
        <v>1620</v>
      </c>
      <c r="I139" s="23" t="s">
        <v>1621</v>
      </c>
      <c r="J139" s="23"/>
      <c r="K139" s="23"/>
      <c r="L139" s="23"/>
      <c r="M139" s="2">
        <v>0</v>
      </c>
      <c r="N139" s="2"/>
      <c r="O139" s="2"/>
      <c r="P139" s="2">
        <v>23.331</v>
      </c>
      <c r="Q139" s="2"/>
      <c r="R139" s="2"/>
      <c r="S139" s="2"/>
      <c r="T139" s="2"/>
      <c r="U139" s="116">
        <f t="shared" si="4"/>
        <v>23.331</v>
      </c>
      <c r="V139" s="324"/>
      <c r="W139" s="324"/>
      <c r="X139" s="324"/>
      <c r="Y139" s="324"/>
      <c r="Z139" s="324"/>
      <c r="AA139" s="324"/>
      <c r="AB139" s="324"/>
      <c r="AC139" s="324"/>
      <c r="AD139" s="324"/>
      <c r="AE139" s="324"/>
      <c r="AF139" s="324"/>
      <c r="AG139" s="324"/>
      <c r="AH139" s="140">
        <f t="shared" si="5"/>
        <v>0</v>
      </c>
    </row>
    <row r="140" spans="1:34" ht="12.95" customHeight="1" x14ac:dyDescent="0.25">
      <c r="A140" s="202"/>
      <c r="B140" s="22" t="s">
        <v>57</v>
      </c>
      <c r="C140" s="34" t="s">
        <v>41</v>
      </c>
      <c r="D140" s="22" t="s">
        <v>586</v>
      </c>
      <c r="E140" s="22" t="s">
        <v>56</v>
      </c>
      <c r="F140" s="25" t="s">
        <v>1763</v>
      </c>
      <c r="G140" s="373" t="s">
        <v>565</v>
      </c>
      <c r="H140" s="37"/>
      <c r="I140" s="23" t="s">
        <v>1764</v>
      </c>
      <c r="J140" s="23"/>
      <c r="K140" s="23"/>
      <c r="L140" s="23"/>
      <c r="M140" s="2"/>
      <c r="N140" s="2"/>
      <c r="O140" s="2"/>
      <c r="P140" s="2"/>
      <c r="Q140" s="2"/>
      <c r="R140" s="2"/>
      <c r="S140" s="2"/>
      <c r="T140" s="2"/>
      <c r="U140" s="116">
        <f t="shared" si="4"/>
        <v>0</v>
      </c>
      <c r="V140" s="324"/>
      <c r="W140" s="324"/>
      <c r="X140" s="324"/>
      <c r="Y140" s="324"/>
      <c r="Z140" s="324">
        <v>500</v>
      </c>
      <c r="AA140" s="324"/>
      <c r="AB140" s="324"/>
      <c r="AC140" s="324"/>
      <c r="AD140" s="324"/>
      <c r="AE140" s="324"/>
      <c r="AF140" s="324"/>
      <c r="AG140" s="324"/>
      <c r="AH140" s="140">
        <f t="shared" si="5"/>
        <v>500</v>
      </c>
    </row>
    <row r="141" spans="1:34" ht="12.75" customHeight="1" x14ac:dyDescent="0.25">
      <c r="A141" s="202"/>
      <c r="B141" s="22" t="s">
        <v>57</v>
      </c>
      <c r="C141" s="34" t="s">
        <v>41</v>
      </c>
      <c r="D141" s="22" t="s">
        <v>58</v>
      </c>
      <c r="E141" s="22" t="s">
        <v>56</v>
      </c>
      <c r="F141" s="25" t="s">
        <v>292</v>
      </c>
      <c r="G141" s="378" t="s">
        <v>1152</v>
      </c>
      <c r="H141" s="136" t="s">
        <v>1486</v>
      </c>
      <c r="I141" s="379" t="s">
        <v>476</v>
      </c>
      <c r="J141" s="23" t="s">
        <v>477</v>
      </c>
      <c r="K141" s="23" t="s">
        <v>478</v>
      </c>
      <c r="L141" s="23" t="s">
        <v>1778</v>
      </c>
      <c r="M141" s="2">
        <v>0</v>
      </c>
      <c r="N141" s="2"/>
      <c r="O141" s="2"/>
      <c r="P141" s="2"/>
      <c r="Q141" s="2"/>
      <c r="R141" s="2">
        <v>6</v>
      </c>
      <c r="S141" s="2">
        <v>2</v>
      </c>
      <c r="T141" s="2">
        <v>16</v>
      </c>
      <c r="U141" s="116">
        <f t="shared" si="4"/>
        <v>24</v>
      </c>
      <c r="V141" s="324"/>
      <c r="W141" s="324"/>
      <c r="X141" s="324"/>
      <c r="Y141" s="324"/>
      <c r="Z141" s="324"/>
      <c r="AA141" s="324"/>
      <c r="AB141" s="324"/>
      <c r="AC141" s="324"/>
      <c r="AD141" s="324">
        <v>55</v>
      </c>
      <c r="AE141" s="324">
        <v>100</v>
      </c>
      <c r="AF141" s="324">
        <v>55</v>
      </c>
      <c r="AG141" s="324"/>
      <c r="AH141" s="140">
        <f t="shared" si="5"/>
        <v>210</v>
      </c>
    </row>
    <row r="142" spans="1:34" ht="12.75" customHeight="1" x14ac:dyDescent="0.25">
      <c r="A142" s="202"/>
      <c r="B142" s="22" t="s">
        <v>57</v>
      </c>
      <c r="C142" s="34" t="s">
        <v>41</v>
      </c>
      <c r="D142" s="22" t="s">
        <v>58</v>
      </c>
      <c r="E142" s="22" t="s">
        <v>56</v>
      </c>
      <c r="F142" s="25" t="s">
        <v>292</v>
      </c>
      <c r="G142" s="378" t="s">
        <v>1153</v>
      </c>
      <c r="H142" s="136" t="s">
        <v>1306</v>
      </c>
      <c r="I142" s="379" t="s">
        <v>472</v>
      </c>
      <c r="J142" s="23" t="s">
        <v>473</v>
      </c>
      <c r="K142" s="23" t="s">
        <v>474</v>
      </c>
      <c r="L142" s="23" t="s">
        <v>1773</v>
      </c>
      <c r="M142" s="2"/>
      <c r="N142" s="2"/>
      <c r="O142" s="2"/>
      <c r="P142" s="2"/>
      <c r="Q142" s="2"/>
      <c r="R142" s="2">
        <v>16</v>
      </c>
      <c r="S142" s="2">
        <v>29</v>
      </c>
      <c r="T142" s="2">
        <v>7</v>
      </c>
      <c r="U142" s="116">
        <f t="shared" si="4"/>
        <v>52</v>
      </c>
      <c r="V142" s="324"/>
      <c r="W142" s="324"/>
      <c r="X142" s="324"/>
      <c r="Y142" s="324"/>
      <c r="Z142" s="324"/>
      <c r="AA142" s="324"/>
      <c r="AB142" s="324"/>
      <c r="AC142" s="324"/>
      <c r="AD142" s="324">
        <v>50</v>
      </c>
      <c r="AE142" s="324">
        <v>100</v>
      </c>
      <c r="AF142" s="324">
        <v>48</v>
      </c>
      <c r="AG142" s="324"/>
      <c r="AH142" s="140">
        <f t="shared" si="5"/>
        <v>198</v>
      </c>
    </row>
    <row r="143" spans="1:34" ht="12.75" customHeight="1" x14ac:dyDescent="0.25">
      <c r="A143" s="202"/>
      <c r="B143" s="22" t="s">
        <v>57</v>
      </c>
      <c r="C143" s="34" t="s">
        <v>41</v>
      </c>
      <c r="D143" s="22" t="s">
        <v>187</v>
      </c>
      <c r="E143" s="22" t="s">
        <v>56</v>
      </c>
      <c r="F143" s="25" t="s">
        <v>183</v>
      </c>
      <c r="G143" s="373" t="s">
        <v>565</v>
      </c>
      <c r="H143" s="37"/>
      <c r="I143" s="23" t="s">
        <v>593</v>
      </c>
      <c r="J143" s="23" t="s">
        <v>218</v>
      </c>
      <c r="K143" s="23" t="s">
        <v>219</v>
      </c>
      <c r="L143" s="23"/>
      <c r="M143" s="2">
        <v>0</v>
      </c>
      <c r="N143" s="2"/>
      <c r="O143" s="2"/>
      <c r="P143" s="2"/>
      <c r="Q143" s="2"/>
      <c r="R143" s="2"/>
      <c r="S143" s="2"/>
      <c r="T143" s="2"/>
      <c r="U143" s="116">
        <f t="shared" si="4"/>
        <v>0</v>
      </c>
      <c r="V143" s="324"/>
      <c r="W143" s="324"/>
      <c r="X143" s="324"/>
      <c r="Y143" s="324"/>
      <c r="Z143" s="324"/>
      <c r="AA143" s="324"/>
      <c r="AB143" s="324"/>
      <c r="AC143" s="324"/>
      <c r="AD143" s="324"/>
      <c r="AE143" s="324"/>
      <c r="AF143" s="324"/>
      <c r="AG143" s="324"/>
      <c r="AH143" s="140">
        <f t="shared" si="5"/>
        <v>0</v>
      </c>
    </row>
    <row r="144" spans="1:34" ht="12.75" customHeight="1" x14ac:dyDescent="0.25">
      <c r="A144" s="202"/>
      <c r="B144" s="22" t="s">
        <v>57</v>
      </c>
      <c r="C144" s="34" t="s">
        <v>41</v>
      </c>
      <c r="D144" s="22" t="s">
        <v>58</v>
      </c>
      <c r="E144" s="22" t="s">
        <v>56</v>
      </c>
      <c r="F144" s="25" t="s">
        <v>1040</v>
      </c>
      <c r="G144" s="373" t="s">
        <v>565</v>
      </c>
      <c r="H144" s="37"/>
      <c r="I144" s="23" t="s">
        <v>314</v>
      </c>
      <c r="J144" s="23" t="s">
        <v>620</v>
      </c>
      <c r="K144" s="23" t="s">
        <v>621</v>
      </c>
      <c r="L144" s="23" t="s">
        <v>1774</v>
      </c>
      <c r="M144" s="2">
        <v>0</v>
      </c>
      <c r="N144" s="2"/>
      <c r="O144" s="2"/>
      <c r="P144" s="2"/>
      <c r="Q144" s="2"/>
      <c r="R144" s="2"/>
      <c r="S144" s="2"/>
      <c r="T144" s="2"/>
      <c r="U144" s="116">
        <f t="shared" si="4"/>
        <v>0</v>
      </c>
      <c r="V144" s="324"/>
      <c r="W144" s="324"/>
      <c r="X144" s="324"/>
      <c r="Y144" s="324"/>
      <c r="Z144" s="324"/>
      <c r="AA144" s="324"/>
      <c r="AB144" s="324"/>
      <c r="AC144" s="324"/>
      <c r="AD144" s="324"/>
      <c r="AE144" s="324"/>
      <c r="AF144" s="324"/>
      <c r="AG144" s="324"/>
      <c r="AH144" s="140">
        <f t="shared" si="5"/>
        <v>0</v>
      </c>
    </row>
    <row r="145" spans="1:34" ht="12.75" customHeight="1" x14ac:dyDescent="0.25">
      <c r="A145" s="202"/>
      <c r="B145" s="22" t="s">
        <v>57</v>
      </c>
      <c r="C145" s="34" t="s">
        <v>41</v>
      </c>
      <c r="D145" s="22" t="s">
        <v>58</v>
      </c>
      <c r="E145" s="22" t="s">
        <v>56</v>
      </c>
      <c r="F145" s="25" t="s">
        <v>1040</v>
      </c>
      <c r="G145" s="373" t="s">
        <v>565</v>
      </c>
      <c r="H145" s="37"/>
      <c r="I145" s="23" t="s">
        <v>846</v>
      </c>
      <c r="J145" s="23" t="s">
        <v>847</v>
      </c>
      <c r="K145" s="23" t="s">
        <v>848</v>
      </c>
      <c r="L145" s="23" t="s">
        <v>1777</v>
      </c>
      <c r="M145" s="2">
        <v>0</v>
      </c>
      <c r="N145" s="2"/>
      <c r="O145" s="2"/>
      <c r="P145" s="2"/>
      <c r="Q145" s="2"/>
      <c r="R145" s="2">
        <v>0</v>
      </c>
      <c r="S145" s="2">
        <f>60-45-15</f>
        <v>0</v>
      </c>
      <c r="T145" s="2"/>
      <c r="U145" s="116">
        <f t="shared" si="4"/>
        <v>0</v>
      </c>
      <c r="V145" s="324"/>
      <c r="W145" s="324"/>
      <c r="X145" s="324"/>
      <c r="Y145" s="324"/>
      <c r="Z145" s="324"/>
      <c r="AA145" s="324">
        <v>60</v>
      </c>
      <c r="AB145" s="324"/>
      <c r="AC145" s="324"/>
      <c r="AD145" s="324"/>
      <c r="AE145" s="324"/>
      <c r="AF145" s="324"/>
      <c r="AG145" s="324"/>
      <c r="AH145" s="140">
        <f t="shared" si="5"/>
        <v>60</v>
      </c>
    </row>
    <row r="146" spans="1:34" ht="12.75" customHeight="1" x14ac:dyDescent="0.25">
      <c r="A146" s="202"/>
      <c r="B146" s="22" t="s">
        <v>57</v>
      </c>
      <c r="C146" s="34" t="s">
        <v>41</v>
      </c>
      <c r="D146" s="22" t="s">
        <v>58</v>
      </c>
      <c r="E146" s="22" t="s">
        <v>56</v>
      </c>
      <c r="F146" s="25" t="s">
        <v>292</v>
      </c>
      <c r="G146" s="373" t="s">
        <v>565</v>
      </c>
      <c r="H146" s="37"/>
      <c r="I146" s="23" t="s">
        <v>468</v>
      </c>
      <c r="J146" s="23" t="s">
        <v>469</v>
      </c>
      <c r="K146" s="23" t="s">
        <v>470</v>
      </c>
      <c r="L146" s="23"/>
      <c r="M146" s="2">
        <v>0</v>
      </c>
      <c r="N146" s="2"/>
      <c r="O146" s="2"/>
      <c r="P146" s="2"/>
      <c r="Q146" s="2"/>
      <c r="R146" s="2"/>
      <c r="S146" s="2"/>
      <c r="T146" s="2">
        <v>191</v>
      </c>
      <c r="U146" s="116">
        <f t="shared" si="4"/>
        <v>191</v>
      </c>
      <c r="V146" s="324"/>
      <c r="W146" s="324"/>
      <c r="X146" s="324"/>
      <c r="Y146" s="324"/>
      <c r="Z146" s="324"/>
      <c r="AA146" s="324"/>
      <c r="AB146" s="324"/>
      <c r="AC146" s="324"/>
      <c r="AD146" s="324"/>
      <c r="AE146" s="324"/>
      <c r="AF146" s="324"/>
      <c r="AG146" s="324"/>
      <c r="AH146" s="140">
        <f t="shared" si="5"/>
        <v>0</v>
      </c>
    </row>
    <row r="147" spans="1:34" ht="12.75" customHeight="1" x14ac:dyDescent="0.25">
      <c r="A147" s="202"/>
      <c r="B147" s="22" t="s">
        <v>57</v>
      </c>
      <c r="C147" s="34" t="s">
        <v>41</v>
      </c>
      <c r="D147" s="22" t="s">
        <v>58</v>
      </c>
      <c r="E147" s="22" t="s">
        <v>56</v>
      </c>
      <c r="F147" s="25" t="s">
        <v>292</v>
      </c>
      <c r="G147" s="373" t="s">
        <v>565</v>
      </c>
      <c r="H147" s="37"/>
      <c r="I147" s="23" t="s">
        <v>595</v>
      </c>
      <c r="J147" s="23" t="s">
        <v>594</v>
      </c>
      <c r="K147" s="23" t="s">
        <v>475</v>
      </c>
      <c r="L147" s="23" t="s">
        <v>1780</v>
      </c>
      <c r="M147" s="2">
        <v>0</v>
      </c>
      <c r="N147" s="2"/>
      <c r="O147" s="2"/>
      <c r="P147" s="2"/>
      <c r="Q147" s="2"/>
      <c r="R147" s="2">
        <v>30</v>
      </c>
      <c r="S147" s="2">
        <v>30</v>
      </c>
      <c r="T147" s="2"/>
      <c r="U147" s="116">
        <f t="shared" si="4"/>
        <v>60</v>
      </c>
      <c r="V147" s="324"/>
      <c r="W147" s="324"/>
      <c r="X147" s="324"/>
      <c r="Y147" s="324">
        <v>25</v>
      </c>
      <c r="Z147" s="324">
        <v>30</v>
      </c>
      <c r="AA147" s="324"/>
      <c r="AB147" s="324">
        <v>30</v>
      </c>
      <c r="AC147" s="324"/>
      <c r="AD147" s="324"/>
      <c r="AE147" s="324"/>
      <c r="AF147" s="324"/>
      <c r="AG147" s="324"/>
      <c r="AH147" s="140">
        <f t="shared" si="5"/>
        <v>85</v>
      </c>
    </row>
    <row r="148" spans="1:34" ht="12.75" customHeight="1" x14ac:dyDescent="0.25">
      <c r="A148" s="202"/>
      <c r="B148" s="22" t="s">
        <v>57</v>
      </c>
      <c r="C148" s="34" t="s">
        <v>41</v>
      </c>
      <c r="D148" s="22" t="s">
        <v>58</v>
      </c>
      <c r="E148" s="22" t="s">
        <v>56</v>
      </c>
      <c r="F148" s="25" t="s">
        <v>1040</v>
      </c>
      <c r="G148" s="373" t="s">
        <v>565</v>
      </c>
      <c r="H148" s="37"/>
      <c r="I148" s="23" t="s">
        <v>315</v>
      </c>
      <c r="J148" s="23" t="s">
        <v>316</v>
      </c>
      <c r="K148" s="23" t="s">
        <v>317</v>
      </c>
      <c r="L148" s="23"/>
      <c r="M148" s="2">
        <v>0</v>
      </c>
      <c r="N148" s="2"/>
      <c r="O148" s="2"/>
      <c r="P148" s="2"/>
      <c r="Q148" s="2"/>
      <c r="R148" s="2"/>
      <c r="S148" s="2"/>
      <c r="T148" s="2"/>
      <c r="U148" s="116">
        <f t="shared" si="4"/>
        <v>0</v>
      </c>
      <c r="V148" s="324"/>
      <c r="W148" s="324"/>
      <c r="X148" s="324"/>
      <c r="Y148" s="324"/>
      <c r="Z148" s="324"/>
      <c r="AA148" s="324"/>
      <c r="AB148" s="324"/>
      <c r="AC148" s="324"/>
      <c r="AD148" s="324"/>
      <c r="AE148" s="324"/>
      <c r="AF148" s="324"/>
      <c r="AG148" s="324"/>
      <c r="AH148" s="140">
        <f t="shared" si="5"/>
        <v>0</v>
      </c>
    </row>
    <row r="149" spans="1:34" ht="12.75" customHeight="1" x14ac:dyDescent="0.25">
      <c r="A149" s="202"/>
      <c r="B149" s="22" t="s">
        <v>57</v>
      </c>
      <c r="C149" s="34" t="s">
        <v>41</v>
      </c>
      <c r="D149" s="22" t="s">
        <v>58</v>
      </c>
      <c r="E149" s="22" t="s">
        <v>56</v>
      </c>
      <c r="F149" s="25" t="s">
        <v>433</v>
      </c>
      <c r="G149" s="373" t="s">
        <v>565</v>
      </c>
      <c r="H149" s="37"/>
      <c r="I149" s="23" t="s">
        <v>638</v>
      </c>
      <c r="J149" s="23" t="s">
        <v>635</v>
      </c>
      <c r="K149" s="23" t="s">
        <v>633</v>
      </c>
      <c r="L149" s="23"/>
      <c r="M149" s="2">
        <v>0</v>
      </c>
      <c r="N149" s="2"/>
      <c r="O149" s="2"/>
      <c r="P149" s="2"/>
      <c r="Q149" s="2"/>
      <c r="R149" s="2"/>
      <c r="S149" s="2"/>
      <c r="T149" s="2"/>
      <c r="U149" s="116">
        <f t="shared" si="4"/>
        <v>0</v>
      </c>
      <c r="V149" s="324"/>
      <c r="W149" s="324"/>
      <c r="X149" s="324"/>
      <c r="Y149" s="324"/>
      <c r="Z149" s="324"/>
      <c r="AA149" s="324"/>
      <c r="AB149" s="324"/>
      <c r="AC149" s="324"/>
      <c r="AD149" s="324"/>
      <c r="AE149" s="324"/>
      <c r="AF149" s="324"/>
      <c r="AG149" s="324"/>
      <c r="AH149" s="140">
        <f t="shared" si="5"/>
        <v>0</v>
      </c>
    </row>
    <row r="150" spans="1:34" ht="12.75" customHeight="1" x14ac:dyDescent="0.25">
      <c r="A150" s="202"/>
      <c r="B150" s="22" t="s">
        <v>57</v>
      </c>
      <c r="C150" s="34" t="s">
        <v>41</v>
      </c>
      <c r="D150" s="22" t="s">
        <v>58</v>
      </c>
      <c r="E150" s="22" t="s">
        <v>56</v>
      </c>
      <c r="F150" s="25" t="s">
        <v>433</v>
      </c>
      <c r="G150" s="373" t="s">
        <v>565</v>
      </c>
      <c r="H150" s="37"/>
      <c r="I150" s="23" t="s">
        <v>444</v>
      </c>
      <c r="J150" s="23" t="s">
        <v>445</v>
      </c>
      <c r="K150" s="23" t="s">
        <v>446</v>
      </c>
      <c r="L150" s="23" t="s">
        <v>1779</v>
      </c>
      <c r="M150" s="2">
        <v>0</v>
      </c>
      <c r="N150" s="2"/>
      <c r="O150" s="2"/>
      <c r="P150" s="2"/>
      <c r="Q150" s="2"/>
      <c r="R150" s="2"/>
      <c r="S150" s="2"/>
      <c r="T150" s="2"/>
      <c r="U150" s="116">
        <f t="shared" si="4"/>
        <v>0</v>
      </c>
      <c r="V150" s="324"/>
      <c r="W150" s="324"/>
      <c r="X150" s="324"/>
      <c r="Y150" s="324"/>
      <c r="Z150" s="324"/>
      <c r="AA150" s="324"/>
      <c r="AB150" s="324"/>
      <c r="AC150" s="324"/>
      <c r="AD150" s="324"/>
      <c r="AE150" s="324"/>
      <c r="AF150" s="324"/>
      <c r="AG150" s="324">
        <v>120</v>
      </c>
      <c r="AH150" s="140">
        <f t="shared" si="5"/>
        <v>120</v>
      </c>
    </row>
    <row r="151" spans="1:34" ht="12.75" customHeight="1" x14ac:dyDescent="0.25">
      <c r="A151" s="202"/>
      <c r="B151" s="22" t="s">
        <v>57</v>
      </c>
      <c r="C151" s="34" t="s">
        <v>41</v>
      </c>
      <c r="D151" s="22" t="s">
        <v>58</v>
      </c>
      <c r="E151" s="22" t="s">
        <v>56</v>
      </c>
      <c r="F151" s="25" t="s">
        <v>292</v>
      </c>
      <c r="G151" s="373" t="s">
        <v>565</v>
      </c>
      <c r="H151" s="37"/>
      <c r="I151" s="23" t="s">
        <v>310</v>
      </c>
      <c r="J151" s="23" t="s">
        <v>311</v>
      </c>
      <c r="K151" s="23" t="s">
        <v>312</v>
      </c>
      <c r="L151" s="23" t="s">
        <v>1776</v>
      </c>
      <c r="M151" s="2">
        <v>0</v>
      </c>
      <c r="N151" s="2"/>
      <c r="O151" s="2"/>
      <c r="P151" s="2"/>
      <c r="Q151" s="2"/>
      <c r="R151" s="2"/>
      <c r="S151" s="2"/>
      <c r="T151" s="2"/>
      <c r="U151" s="116">
        <f t="shared" si="4"/>
        <v>0</v>
      </c>
      <c r="V151" s="324"/>
      <c r="W151" s="324"/>
      <c r="X151" s="324"/>
      <c r="Y151" s="324"/>
      <c r="Z151" s="324"/>
      <c r="AA151" s="324"/>
      <c r="AB151" s="324"/>
      <c r="AC151" s="324">
        <v>80</v>
      </c>
      <c r="AD151" s="324"/>
      <c r="AE151" s="324"/>
      <c r="AF151" s="324"/>
      <c r="AG151" s="324"/>
      <c r="AH151" s="140">
        <f t="shared" si="5"/>
        <v>80</v>
      </c>
    </row>
    <row r="152" spans="1:34" ht="12.75" customHeight="1" x14ac:dyDescent="0.25">
      <c r="A152" s="202"/>
      <c r="B152" s="22" t="s">
        <v>57</v>
      </c>
      <c r="C152" s="34" t="s">
        <v>41</v>
      </c>
      <c r="D152" s="22" t="s">
        <v>61</v>
      </c>
      <c r="E152" s="22" t="s">
        <v>226</v>
      </c>
      <c r="F152" s="25" t="s">
        <v>259</v>
      </c>
      <c r="G152" s="373" t="s">
        <v>565</v>
      </c>
      <c r="H152" s="37"/>
      <c r="I152" s="23" t="s">
        <v>260</v>
      </c>
      <c r="J152" s="23" t="s">
        <v>261</v>
      </c>
      <c r="K152" s="23" t="s">
        <v>262</v>
      </c>
      <c r="L152" s="23"/>
      <c r="M152" s="2">
        <v>0</v>
      </c>
      <c r="N152" s="2"/>
      <c r="O152" s="2"/>
      <c r="P152" s="2"/>
      <c r="Q152" s="2"/>
      <c r="R152" s="2"/>
      <c r="S152" s="2"/>
      <c r="T152" s="2"/>
      <c r="U152" s="116">
        <f t="shared" si="4"/>
        <v>0</v>
      </c>
      <c r="V152" s="324"/>
      <c r="W152" s="324"/>
      <c r="X152" s="324"/>
      <c r="Y152" s="324"/>
      <c r="Z152" s="324"/>
      <c r="AA152" s="324"/>
      <c r="AB152" s="324"/>
      <c r="AC152" s="324"/>
      <c r="AD152" s="324"/>
      <c r="AE152" s="324"/>
      <c r="AF152" s="324"/>
      <c r="AG152" s="324">
        <v>21</v>
      </c>
      <c r="AH152" s="140">
        <f t="shared" si="5"/>
        <v>21</v>
      </c>
    </row>
    <row r="153" spans="1:34" ht="12.75" customHeight="1" x14ac:dyDescent="0.25">
      <c r="A153" s="202"/>
      <c r="B153" s="22" t="s">
        <v>57</v>
      </c>
      <c r="C153" s="34" t="s">
        <v>41</v>
      </c>
      <c r="D153" s="22" t="s">
        <v>61</v>
      </c>
      <c r="E153" s="22" t="s">
        <v>226</v>
      </c>
      <c r="F153" s="25" t="s">
        <v>1542</v>
      </c>
      <c r="G153" s="373" t="s">
        <v>1518</v>
      </c>
      <c r="H153" s="37" t="s">
        <v>1520</v>
      </c>
      <c r="I153" s="23" t="s">
        <v>1543</v>
      </c>
      <c r="J153" s="23" t="s">
        <v>1544</v>
      </c>
      <c r="K153" s="23" t="s">
        <v>230</v>
      </c>
      <c r="L153" s="23"/>
      <c r="M153" s="2">
        <v>0</v>
      </c>
      <c r="N153" s="2"/>
      <c r="O153" s="2"/>
      <c r="P153" s="2">
        <f>513-361</f>
        <v>152</v>
      </c>
      <c r="Q153" s="2"/>
      <c r="R153" s="2"/>
      <c r="S153" s="2"/>
      <c r="T153" s="2"/>
      <c r="U153" s="116">
        <f t="shared" si="4"/>
        <v>152</v>
      </c>
      <c r="V153" s="324"/>
      <c r="W153" s="324"/>
      <c r="X153" s="324">
        <v>161</v>
      </c>
      <c r="Y153" s="324">
        <v>200</v>
      </c>
      <c r="Z153" s="324"/>
      <c r="AA153" s="324"/>
      <c r="AB153" s="324"/>
      <c r="AC153" s="324"/>
      <c r="AD153" s="324"/>
      <c r="AE153" s="324"/>
      <c r="AF153" s="324"/>
      <c r="AG153" s="324"/>
      <c r="AH153" s="140">
        <f t="shared" si="5"/>
        <v>361</v>
      </c>
    </row>
    <row r="154" spans="1:34" ht="12.75" customHeight="1" x14ac:dyDescent="0.25">
      <c r="A154" s="202"/>
      <c r="B154" s="22" t="s">
        <v>57</v>
      </c>
      <c r="C154" s="34" t="s">
        <v>41</v>
      </c>
      <c r="D154" s="22" t="s">
        <v>61</v>
      </c>
      <c r="E154" s="22" t="s">
        <v>226</v>
      </c>
      <c r="F154" s="25" t="s">
        <v>1542</v>
      </c>
      <c r="G154" s="373" t="s">
        <v>565</v>
      </c>
      <c r="H154" s="37"/>
      <c r="I154" s="23" t="s">
        <v>1611</v>
      </c>
      <c r="J154" s="23" t="s">
        <v>1543</v>
      </c>
      <c r="K154" s="23" t="s">
        <v>230</v>
      </c>
      <c r="L154" s="23"/>
      <c r="M154" s="2">
        <v>0</v>
      </c>
      <c r="N154" s="2"/>
      <c r="O154" s="2"/>
      <c r="P154" s="2"/>
      <c r="Q154" s="2"/>
      <c r="R154" s="2"/>
      <c r="S154" s="2"/>
      <c r="T154" s="2"/>
      <c r="U154" s="116">
        <f t="shared" si="4"/>
        <v>0</v>
      </c>
      <c r="V154" s="324"/>
      <c r="W154" s="324"/>
      <c r="X154" s="324"/>
      <c r="Y154" s="324"/>
      <c r="Z154" s="324"/>
      <c r="AA154" s="324"/>
      <c r="AB154" s="324"/>
      <c r="AC154" s="324"/>
      <c r="AD154" s="324"/>
      <c r="AE154" s="324"/>
      <c r="AF154" s="324"/>
      <c r="AG154" s="324">
        <v>8</v>
      </c>
      <c r="AH154" s="140">
        <f t="shared" si="5"/>
        <v>8</v>
      </c>
    </row>
    <row r="155" spans="1:34" ht="12.75" customHeight="1" x14ac:dyDescent="0.25">
      <c r="A155" s="202"/>
      <c r="B155" s="22" t="s">
        <v>57</v>
      </c>
      <c r="C155" s="34" t="s">
        <v>41</v>
      </c>
      <c r="D155" s="22" t="s">
        <v>61</v>
      </c>
      <c r="E155" s="22" t="s">
        <v>226</v>
      </c>
      <c r="F155" s="25" t="s">
        <v>1542</v>
      </c>
      <c r="G155" s="373" t="s">
        <v>565</v>
      </c>
      <c r="H155" s="37"/>
      <c r="I155" s="23" t="s">
        <v>288</v>
      </c>
      <c r="J155" s="23" t="s">
        <v>289</v>
      </c>
      <c r="K155" s="23" t="s">
        <v>290</v>
      </c>
      <c r="L155" s="23"/>
      <c r="M155" s="2">
        <v>0</v>
      </c>
      <c r="N155" s="2"/>
      <c r="O155" s="2"/>
      <c r="P155" s="2"/>
      <c r="Q155" s="2"/>
      <c r="R155" s="2"/>
      <c r="S155" s="2"/>
      <c r="T155" s="2"/>
      <c r="U155" s="116">
        <f t="shared" si="4"/>
        <v>0</v>
      </c>
      <c r="V155" s="324"/>
      <c r="W155" s="324"/>
      <c r="X155" s="324"/>
      <c r="Y155" s="324"/>
      <c r="Z155" s="324"/>
      <c r="AA155" s="324"/>
      <c r="AB155" s="324"/>
      <c r="AC155" s="324"/>
      <c r="AD155" s="324"/>
      <c r="AE155" s="324"/>
      <c r="AF155" s="324"/>
      <c r="AG155" s="324"/>
      <c r="AH155" s="140">
        <f t="shared" si="5"/>
        <v>0</v>
      </c>
    </row>
    <row r="156" spans="1:34" ht="12.75" customHeight="1" x14ac:dyDescent="0.25">
      <c r="A156" s="202"/>
      <c r="B156" s="22" t="s">
        <v>57</v>
      </c>
      <c r="C156" s="34" t="s">
        <v>41</v>
      </c>
      <c r="D156" s="22" t="s">
        <v>55</v>
      </c>
      <c r="E156" s="22" t="s">
        <v>56</v>
      </c>
      <c r="F156" s="25" t="s">
        <v>616</v>
      </c>
      <c r="G156" s="373" t="s">
        <v>565</v>
      </c>
      <c r="H156" s="37"/>
      <c r="I156" s="23" t="s">
        <v>85</v>
      </c>
      <c r="J156" s="23" t="s">
        <v>86</v>
      </c>
      <c r="K156" s="23" t="s">
        <v>79</v>
      </c>
      <c r="L156" s="23"/>
      <c r="M156" s="2">
        <v>0</v>
      </c>
      <c r="N156" s="2"/>
      <c r="O156" s="2"/>
      <c r="P156" s="2"/>
      <c r="Q156" s="2"/>
      <c r="R156" s="2"/>
      <c r="S156" s="2"/>
      <c r="T156" s="2"/>
      <c r="U156" s="116">
        <f t="shared" si="4"/>
        <v>0</v>
      </c>
      <c r="V156" s="324"/>
      <c r="W156" s="324">
        <v>51.1</v>
      </c>
      <c r="X156" s="324"/>
      <c r="Y156" s="324"/>
      <c r="Z156" s="324"/>
      <c r="AA156" s="324"/>
      <c r="AB156" s="324"/>
      <c r="AC156" s="324"/>
      <c r="AD156" s="324"/>
      <c r="AE156" s="324"/>
      <c r="AF156" s="324"/>
      <c r="AG156" s="324"/>
      <c r="AH156" s="140">
        <f t="shared" si="5"/>
        <v>51.1</v>
      </c>
    </row>
    <row r="157" spans="1:34" ht="12.75" customHeight="1" x14ac:dyDescent="0.25">
      <c r="A157" s="202"/>
      <c r="B157" s="22" t="s">
        <v>57</v>
      </c>
      <c r="C157" s="34" t="s">
        <v>41</v>
      </c>
      <c r="D157" s="22" t="s">
        <v>55</v>
      </c>
      <c r="E157" s="22" t="s">
        <v>56</v>
      </c>
      <c r="F157" s="25" t="s">
        <v>613</v>
      </c>
      <c r="G157" s="373" t="s">
        <v>565</v>
      </c>
      <c r="H157" s="37"/>
      <c r="I157" s="23" t="s">
        <v>83</v>
      </c>
      <c r="J157" s="23" t="s">
        <v>84</v>
      </c>
      <c r="K157" s="23" t="s">
        <v>79</v>
      </c>
      <c r="L157" s="23"/>
      <c r="M157" s="2">
        <v>0</v>
      </c>
      <c r="N157" s="2"/>
      <c r="O157" s="2"/>
      <c r="P157" s="2"/>
      <c r="Q157" s="2"/>
      <c r="R157" s="2"/>
      <c r="S157" s="2"/>
      <c r="T157" s="2">
        <v>16</v>
      </c>
      <c r="U157" s="116">
        <f t="shared" si="4"/>
        <v>16</v>
      </c>
      <c r="V157" s="324"/>
      <c r="W157" s="324">
        <v>66.37</v>
      </c>
      <c r="X157" s="324"/>
      <c r="Y157" s="324"/>
      <c r="Z157" s="324"/>
      <c r="AA157" s="324"/>
      <c r="AB157" s="324"/>
      <c r="AC157" s="324"/>
      <c r="AD157" s="324"/>
      <c r="AE157" s="324">
        <v>103.00284166100001</v>
      </c>
      <c r="AF157" s="324">
        <v>125.19</v>
      </c>
      <c r="AG157" s="324">
        <v>227.02715833899987</v>
      </c>
      <c r="AH157" s="140">
        <f t="shared" si="5"/>
        <v>521.58999999999992</v>
      </c>
    </row>
    <row r="158" spans="1:34" ht="12.75" customHeight="1" x14ac:dyDescent="0.25">
      <c r="A158" s="328"/>
      <c r="B158" s="22" t="s">
        <v>57</v>
      </c>
      <c r="C158" s="34" t="s">
        <v>41</v>
      </c>
      <c r="D158" s="22" t="s">
        <v>55</v>
      </c>
      <c r="E158" s="22" t="s">
        <v>56</v>
      </c>
      <c r="F158" s="25" t="s">
        <v>613</v>
      </c>
      <c r="G158" s="373" t="s">
        <v>565</v>
      </c>
      <c r="H158" s="37"/>
      <c r="I158" s="23" t="s">
        <v>80</v>
      </c>
      <c r="J158" s="23" t="s">
        <v>81</v>
      </c>
      <c r="K158" s="23" t="s">
        <v>79</v>
      </c>
      <c r="L158" s="23"/>
      <c r="M158" s="2">
        <v>0</v>
      </c>
      <c r="N158" s="2"/>
      <c r="O158" s="2"/>
      <c r="P158" s="2"/>
      <c r="Q158" s="2"/>
      <c r="R158" s="2"/>
      <c r="S158" s="2"/>
      <c r="T158" s="2"/>
      <c r="U158" s="116">
        <f t="shared" si="4"/>
        <v>0</v>
      </c>
      <c r="V158" s="324"/>
      <c r="W158" s="324"/>
      <c r="X158" s="324"/>
      <c r="Y158" s="324"/>
      <c r="Z158" s="324"/>
      <c r="AA158" s="324"/>
      <c r="AB158" s="324">
        <v>30</v>
      </c>
      <c r="AC158" s="324"/>
      <c r="AD158" s="324"/>
      <c r="AE158" s="324">
        <v>70</v>
      </c>
      <c r="AF158" s="324"/>
      <c r="AG158" s="324"/>
      <c r="AH158" s="140">
        <f t="shared" si="5"/>
        <v>100</v>
      </c>
    </row>
    <row r="159" spans="1:34" ht="12.75" customHeight="1" x14ac:dyDescent="0.25">
      <c r="A159" s="328"/>
      <c r="B159" s="22" t="s">
        <v>57</v>
      </c>
      <c r="C159" s="34" t="s">
        <v>41</v>
      </c>
      <c r="D159" s="22" t="s">
        <v>55</v>
      </c>
      <c r="E159" s="22" t="s">
        <v>56</v>
      </c>
      <c r="F159" s="25" t="s">
        <v>611</v>
      </c>
      <c r="G159" s="373" t="s">
        <v>565</v>
      </c>
      <c r="H159" s="37"/>
      <c r="I159" s="23" t="s">
        <v>1792</v>
      </c>
      <c r="J159" s="23"/>
      <c r="K159" s="23"/>
      <c r="L159" s="23"/>
      <c r="M159" s="2"/>
      <c r="N159" s="2"/>
      <c r="O159" s="2"/>
      <c r="P159" s="2"/>
      <c r="Q159" s="2"/>
      <c r="R159" s="2"/>
      <c r="S159" s="2"/>
      <c r="T159" s="2">
        <v>100</v>
      </c>
      <c r="U159" s="116">
        <f t="shared" si="4"/>
        <v>100</v>
      </c>
      <c r="V159" s="324"/>
      <c r="W159" s="324"/>
      <c r="X159" s="324"/>
      <c r="Y159" s="324">
        <v>49.5</v>
      </c>
      <c r="Z159" s="324">
        <v>116</v>
      </c>
      <c r="AA159" s="324">
        <v>100</v>
      </c>
      <c r="AB159" s="324">
        <v>150</v>
      </c>
      <c r="AC159" s="324">
        <v>70</v>
      </c>
      <c r="AD159" s="324">
        <v>93.4</v>
      </c>
      <c r="AE159" s="324"/>
      <c r="AF159" s="324"/>
      <c r="AG159" s="324"/>
      <c r="AH159" s="140">
        <f t="shared" si="5"/>
        <v>578.9</v>
      </c>
    </row>
    <row r="160" spans="1:34" ht="12.75" customHeight="1" x14ac:dyDescent="0.25">
      <c r="A160" s="202"/>
      <c r="B160" s="22" t="s">
        <v>57</v>
      </c>
      <c r="C160" s="34" t="s">
        <v>41</v>
      </c>
      <c r="D160" s="22" t="s">
        <v>55</v>
      </c>
      <c r="E160" s="22" t="s">
        <v>56</v>
      </c>
      <c r="F160" s="25" t="s">
        <v>611</v>
      </c>
      <c r="G160" s="373" t="s">
        <v>1613</v>
      </c>
      <c r="H160" s="37" t="s">
        <v>1614</v>
      </c>
      <c r="I160" s="94" t="s">
        <v>60</v>
      </c>
      <c r="J160" s="23" t="s">
        <v>587</v>
      </c>
      <c r="K160" s="23" t="s">
        <v>74</v>
      </c>
      <c r="L160" s="23"/>
      <c r="M160" s="2">
        <v>0</v>
      </c>
      <c r="N160" s="2"/>
      <c r="O160" s="2"/>
      <c r="P160" s="2"/>
      <c r="Q160" s="2">
        <v>10</v>
      </c>
      <c r="R160" s="2">
        <v>70</v>
      </c>
      <c r="S160" s="2"/>
      <c r="T160" s="2">
        <v>20</v>
      </c>
      <c r="U160" s="116">
        <f t="shared" si="4"/>
        <v>100</v>
      </c>
      <c r="V160" s="324"/>
      <c r="W160" s="324">
        <v>181.11600000000001</v>
      </c>
      <c r="X160" s="324"/>
      <c r="Y160" s="324">
        <v>246.62400000000002</v>
      </c>
      <c r="Z160" s="324"/>
      <c r="AA160" s="324"/>
      <c r="AB160" s="324"/>
      <c r="AC160" s="324"/>
      <c r="AD160" s="324"/>
      <c r="AE160" s="324">
        <v>20.659999999999982</v>
      </c>
      <c r="AF160" s="324">
        <v>60.96</v>
      </c>
      <c r="AG160" s="324">
        <v>100.31284166100014</v>
      </c>
      <c r="AH160" s="140">
        <f t="shared" si="5"/>
        <v>609.67284166100012</v>
      </c>
    </row>
    <row r="161" spans="1:34" ht="12.75" customHeight="1" x14ac:dyDescent="0.25">
      <c r="A161" s="202"/>
      <c r="B161" s="22" t="s">
        <v>57</v>
      </c>
      <c r="C161" s="34" t="s">
        <v>41</v>
      </c>
      <c r="D161" s="22" t="s">
        <v>55</v>
      </c>
      <c r="E161" s="22" t="s">
        <v>56</v>
      </c>
      <c r="F161" s="25" t="s">
        <v>616</v>
      </c>
      <c r="G161" s="373" t="s">
        <v>565</v>
      </c>
      <c r="H161" s="37"/>
      <c r="I161" s="23" t="s">
        <v>87</v>
      </c>
      <c r="J161" s="23" t="s">
        <v>88</v>
      </c>
      <c r="K161" s="23" t="s">
        <v>79</v>
      </c>
      <c r="L161" s="23"/>
      <c r="M161" s="2">
        <v>0</v>
      </c>
      <c r="N161" s="2"/>
      <c r="O161" s="2"/>
      <c r="P161" s="2"/>
      <c r="Q161" s="2"/>
      <c r="R161" s="2">
        <v>34.07</v>
      </c>
      <c r="S161" s="2"/>
      <c r="T161" s="2">
        <v>82.84</v>
      </c>
      <c r="U161" s="116">
        <f t="shared" si="4"/>
        <v>116.91</v>
      </c>
      <c r="V161" s="324"/>
      <c r="W161" s="324"/>
      <c r="X161" s="324"/>
      <c r="Y161" s="324"/>
      <c r="Z161" s="324"/>
      <c r="AA161" s="324"/>
      <c r="AB161" s="324"/>
      <c r="AC161" s="324">
        <v>102.20399999999999</v>
      </c>
      <c r="AD161" s="324">
        <v>102.20399999999999</v>
      </c>
      <c r="AE161" s="324">
        <v>102.20399999999999</v>
      </c>
      <c r="AF161" s="324">
        <v>102.20399999999999</v>
      </c>
      <c r="AG161" s="324">
        <v>204.40799999999999</v>
      </c>
      <c r="AH161" s="140">
        <f t="shared" si="5"/>
        <v>613.22399999999993</v>
      </c>
    </row>
    <row r="162" spans="1:34" ht="12.75" customHeight="1" x14ac:dyDescent="0.25">
      <c r="A162" s="202"/>
      <c r="B162" s="22" t="s">
        <v>57</v>
      </c>
      <c r="C162" s="34" t="s">
        <v>41</v>
      </c>
      <c r="D162" s="22" t="s">
        <v>55</v>
      </c>
      <c r="E162" s="22" t="s">
        <v>56</v>
      </c>
      <c r="F162" s="25" t="s">
        <v>611</v>
      </c>
      <c r="G162" s="373" t="s">
        <v>565</v>
      </c>
      <c r="H162" s="37"/>
      <c r="I162" s="94" t="s">
        <v>75</v>
      </c>
      <c r="J162" s="23" t="s">
        <v>76</v>
      </c>
      <c r="K162" s="23" t="s">
        <v>77</v>
      </c>
      <c r="L162" s="23"/>
      <c r="M162" s="2">
        <v>0</v>
      </c>
      <c r="N162" s="2"/>
      <c r="O162" s="2">
        <v>0</v>
      </c>
      <c r="P162" s="2">
        <v>0</v>
      </c>
      <c r="Q162" s="2">
        <v>0</v>
      </c>
      <c r="R162" s="2">
        <v>0</v>
      </c>
      <c r="S162" s="2">
        <v>0</v>
      </c>
      <c r="T162" s="2"/>
      <c r="U162" s="116">
        <f t="shared" si="4"/>
        <v>0</v>
      </c>
      <c r="V162" s="324"/>
      <c r="W162" s="324"/>
      <c r="X162" s="324"/>
      <c r="Y162" s="324"/>
      <c r="Z162" s="324"/>
      <c r="AA162" s="324"/>
      <c r="AB162" s="324">
        <v>20</v>
      </c>
      <c r="AC162" s="324">
        <v>60</v>
      </c>
      <c r="AD162" s="324">
        <v>32</v>
      </c>
      <c r="AE162" s="324"/>
      <c r="AF162" s="324"/>
      <c r="AG162" s="324"/>
      <c r="AH162" s="140">
        <f t="shared" si="5"/>
        <v>112</v>
      </c>
    </row>
    <row r="163" spans="1:34" ht="12.75" customHeight="1" x14ac:dyDescent="0.25">
      <c r="A163" s="202"/>
      <c r="B163" s="22" t="s">
        <v>57</v>
      </c>
      <c r="C163" s="34" t="s">
        <v>41</v>
      </c>
      <c r="D163" s="22" t="s">
        <v>55</v>
      </c>
      <c r="E163" s="22" t="s">
        <v>56</v>
      </c>
      <c r="F163" s="25" t="s">
        <v>611</v>
      </c>
      <c r="G163" s="373" t="s">
        <v>1672</v>
      </c>
      <c r="H163" s="37" t="s">
        <v>1673</v>
      </c>
      <c r="I163" s="23" t="s">
        <v>610</v>
      </c>
      <c r="J163" s="23" t="s">
        <v>78</v>
      </c>
      <c r="K163" s="23" t="s">
        <v>612</v>
      </c>
      <c r="L163" s="23"/>
      <c r="M163" s="2">
        <v>0</v>
      </c>
      <c r="N163" s="2"/>
      <c r="O163" s="2"/>
      <c r="P163" s="2"/>
      <c r="Q163" s="2"/>
      <c r="R163" s="2">
        <v>15</v>
      </c>
      <c r="S163" s="2">
        <v>20</v>
      </c>
      <c r="T163" s="2">
        <v>46</v>
      </c>
      <c r="U163" s="116">
        <f t="shared" si="4"/>
        <v>81</v>
      </c>
      <c r="V163" s="324"/>
      <c r="W163" s="324"/>
      <c r="X163" s="324"/>
      <c r="Y163" s="324"/>
      <c r="Z163" s="324"/>
      <c r="AA163" s="324"/>
      <c r="AB163" s="324">
        <v>116.699</v>
      </c>
      <c r="AC163" s="324">
        <v>108.699</v>
      </c>
      <c r="AD163" s="324">
        <v>137.39699999999999</v>
      </c>
      <c r="AE163" s="324">
        <v>206.096</v>
      </c>
      <c r="AF163" s="324">
        <v>137.39699999999999</v>
      </c>
      <c r="AG163" s="324"/>
      <c r="AH163" s="140">
        <f t="shared" si="5"/>
        <v>706.28800000000001</v>
      </c>
    </row>
    <row r="164" spans="1:34" ht="12.75" customHeight="1" x14ac:dyDescent="0.25">
      <c r="A164" s="202"/>
      <c r="B164" s="22" t="s">
        <v>57</v>
      </c>
      <c r="C164" s="34" t="s">
        <v>41</v>
      </c>
      <c r="D164" s="22" t="s">
        <v>55</v>
      </c>
      <c r="E164" s="22" t="s">
        <v>56</v>
      </c>
      <c r="F164" s="25" t="s">
        <v>613</v>
      </c>
      <c r="G164" s="373" t="s">
        <v>565</v>
      </c>
      <c r="H164" s="37"/>
      <c r="I164" s="23" t="s">
        <v>589</v>
      </c>
      <c r="J164" s="23" t="s">
        <v>592</v>
      </c>
      <c r="K164" s="23" t="s">
        <v>79</v>
      </c>
      <c r="L164" s="23"/>
      <c r="M164" s="2">
        <v>0</v>
      </c>
      <c r="N164" s="2"/>
      <c r="O164" s="2"/>
      <c r="P164" s="2"/>
      <c r="Q164" s="2"/>
      <c r="R164" s="2"/>
      <c r="S164" s="2"/>
      <c r="T164" s="2">
        <v>50</v>
      </c>
      <c r="U164" s="116">
        <f t="shared" si="4"/>
        <v>50</v>
      </c>
      <c r="V164" s="324"/>
      <c r="W164" s="324"/>
      <c r="X164" s="324"/>
      <c r="Y164" s="324"/>
      <c r="Z164" s="324"/>
      <c r="AA164" s="324"/>
      <c r="AB164" s="324"/>
      <c r="AC164" s="324">
        <v>35</v>
      </c>
      <c r="AD164" s="324">
        <v>35</v>
      </c>
      <c r="AE164" s="324">
        <v>70</v>
      </c>
      <c r="AF164" s="324">
        <v>70</v>
      </c>
      <c r="AG164" s="324">
        <v>105</v>
      </c>
      <c r="AH164" s="140">
        <f t="shared" si="5"/>
        <v>315</v>
      </c>
    </row>
    <row r="165" spans="1:34" ht="12.75" customHeight="1" x14ac:dyDescent="0.25">
      <c r="A165" s="202"/>
      <c r="B165" s="22" t="s">
        <v>57</v>
      </c>
      <c r="C165" s="34" t="s">
        <v>41</v>
      </c>
      <c r="D165" s="22" t="s">
        <v>55</v>
      </c>
      <c r="E165" s="22" t="s">
        <v>56</v>
      </c>
      <c r="F165" s="25" t="s">
        <v>616</v>
      </c>
      <c r="G165" s="373" t="s">
        <v>565</v>
      </c>
      <c r="H165" s="37"/>
      <c r="I165" s="94" t="s">
        <v>89</v>
      </c>
      <c r="J165" s="23" t="s">
        <v>90</v>
      </c>
      <c r="K165" s="23" t="s">
        <v>79</v>
      </c>
      <c r="L165" s="23"/>
      <c r="M165" s="2">
        <v>0</v>
      </c>
      <c r="N165" s="2"/>
      <c r="O165" s="2">
        <v>0</v>
      </c>
      <c r="P165" s="2"/>
      <c r="Q165" s="2"/>
      <c r="R165" s="2"/>
      <c r="S165" s="2"/>
      <c r="T165" s="2"/>
      <c r="U165" s="116">
        <f t="shared" si="4"/>
        <v>0</v>
      </c>
      <c r="V165" s="324"/>
      <c r="W165" s="324">
        <v>50</v>
      </c>
      <c r="X165" s="324"/>
      <c r="Y165" s="324"/>
      <c r="Z165" s="324"/>
      <c r="AA165" s="324"/>
      <c r="AB165" s="324">
        <v>90</v>
      </c>
      <c r="AC165" s="324"/>
      <c r="AD165" s="324"/>
      <c r="AE165" s="324"/>
      <c r="AF165" s="324"/>
      <c r="AG165" s="324"/>
      <c r="AH165" s="140">
        <f t="shared" si="5"/>
        <v>140</v>
      </c>
    </row>
    <row r="166" spans="1:34" ht="12.75" customHeight="1" x14ac:dyDescent="0.25">
      <c r="A166" s="202"/>
      <c r="B166" s="22" t="s">
        <v>57</v>
      </c>
      <c r="C166" s="34" t="s">
        <v>41</v>
      </c>
      <c r="D166" s="22" t="s">
        <v>55</v>
      </c>
      <c r="E166" s="22" t="s">
        <v>56</v>
      </c>
      <c r="F166" s="25" t="s">
        <v>616</v>
      </c>
      <c r="G166" s="373" t="s">
        <v>565</v>
      </c>
      <c r="H166" s="37"/>
      <c r="I166" s="23" t="s">
        <v>91</v>
      </c>
      <c r="J166" s="23" t="s">
        <v>92</v>
      </c>
      <c r="K166" s="23" t="s">
        <v>79</v>
      </c>
      <c r="L166" s="23"/>
      <c r="M166" s="2">
        <v>0</v>
      </c>
      <c r="N166" s="2"/>
      <c r="O166" s="2"/>
      <c r="P166" s="2"/>
      <c r="Q166" s="2"/>
      <c r="R166" s="2"/>
      <c r="S166" s="2"/>
      <c r="T166" s="2">
        <v>50</v>
      </c>
      <c r="U166" s="116">
        <f t="shared" si="4"/>
        <v>50</v>
      </c>
      <c r="V166" s="324"/>
      <c r="W166" s="324"/>
      <c r="X166" s="324"/>
      <c r="Y166" s="324">
        <v>91.322000000000003</v>
      </c>
      <c r="Z166" s="324">
        <v>101.762</v>
      </c>
      <c r="AA166" s="324">
        <v>95</v>
      </c>
      <c r="AB166" s="324"/>
      <c r="AC166" s="324"/>
      <c r="AD166" s="324"/>
      <c r="AE166" s="324"/>
      <c r="AF166" s="324"/>
      <c r="AG166" s="324"/>
      <c r="AH166" s="140">
        <f t="shared" si="5"/>
        <v>288.084</v>
      </c>
    </row>
    <row r="167" spans="1:34" ht="12.75" customHeight="1" x14ac:dyDescent="0.25">
      <c r="A167" s="202"/>
      <c r="B167" s="22" t="s">
        <v>57</v>
      </c>
      <c r="C167" s="34" t="s">
        <v>41</v>
      </c>
      <c r="D167" s="22" t="s">
        <v>55</v>
      </c>
      <c r="E167" s="22" t="s">
        <v>56</v>
      </c>
      <c r="F167" s="25" t="s">
        <v>616</v>
      </c>
      <c r="G167" s="373" t="s">
        <v>565</v>
      </c>
      <c r="H167" s="37"/>
      <c r="I167" s="23" t="s">
        <v>93</v>
      </c>
      <c r="J167" s="23" t="s">
        <v>94</v>
      </c>
      <c r="K167" s="23" t="s">
        <v>79</v>
      </c>
      <c r="L167" s="23"/>
      <c r="M167" s="2">
        <v>0</v>
      </c>
      <c r="N167" s="2"/>
      <c r="O167" s="2"/>
      <c r="P167" s="2"/>
      <c r="Q167" s="2"/>
      <c r="R167" s="2"/>
      <c r="S167" s="2"/>
      <c r="T167" s="2"/>
      <c r="U167" s="116">
        <f t="shared" si="4"/>
        <v>0</v>
      </c>
      <c r="V167" s="324"/>
      <c r="W167" s="324">
        <v>30</v>
      </c>
      <c r="X167" s="324"/>
      <c r="Y167" s="324">
        <v>71</v>
      </c>
      <c r="Z167" s="324"/>
      <c r="AA167" s="324"/>
      <c r="AB167" s="324"/>
      <c r="AC167" s="324"/>
      <c r="AD167" s="324"/>
      <c r="AE167" s="324"/>
      <c r="AF167" s="324"/>
      <c r="AG167" s="324"/>
      <c r="AH167" s="140">
        <f t="shared" si="5"/>
        <v>101</v>
      </c>
    </row>
    <row r="168" spans="1:34" ht="12.75" customHeight="1" x14ac:dyDescent="0.25">
      <c r="A168" s="202"/>
      <c r="B168" s="22" t="s">
        <v>57</v>
      </c>
      <c r="C168" s="34" t="s">
        <v>41</v>
      </c>
      <c r="D168" s="22" t="s">
        <v>55</v>
      </c>
      <c r="E168" s="22" t="s">
        <v>56</v>
      </c>
      <c r="F168" s="25" t="s">
        <v>616</v>
      </c>
      <c r="G168" s="373" t="s">
        <v>565</v>
      </c>
      <c r="H168" s="37"/>
      <c r="I168" s="23" t="s">
        <v>95</v>
      </c>
      <c r="J168" s="23" t="s">
        <v>96</v>
      </c>
      <c r="K168" s="23" t="s">
        <v>79</v>
      </c>
      <c r="L168" s="23"/>
      <c r="M168" s="2">
        <v>0</v>
      </c>
      <c r="N168" s="2"/>
      <c r="O168" s="2"/>
      <c r="P168" s="2"/>
      <c r="Q168" s="2"/>
      <c r="R168" s="2"/>
      <c r="S168" s="2"/>
      <c r="T168" s="2"/>
      <c r="U168" s="116">
        <f t="shared" si="4"/>
        <v>0</v>
      </c>
      <c r="V168" s="324"/>
      <c r="W168" s="324">
        <v>39.462000000000003</v>
      </c>
      <c r="X168" s="324"/>
      <c r="Y168" s="324">
        <v>92.078000000000003</v>
      </c>
      <c r="Z168" s="324"/>
      <c r="AA168" s="324"/>
      <c r="AB168" s="324"/>
      <c r="AC168" s="324"/>
      <c r="AD168" s="324">
        <v>87.144999999999996</v>
      </c>
      <c r="AE168" s="324">
        <v>87.144999999999996</v>
      </c>
      <c r="AF168" s="324">
        <v>174.29</v>
      </c>
      <c r="AG168" s="324">
        <v>174.29</v>
      </c>
      <c r="AH168" s="140">
        <f t="shared" si="5"/>
        <v>654.41</v>
      </c>
    </row>
    <row r="169" spans="1:34" ht="12.75" customHeight="1" x14ac:dyDescent="0.25">
      <c r="A169" s="202"/>
      <c r="B169" s="22" t="s">
        <v>57</v>
      </c>
      <c r="C169" s="34" t="s">
        <v>41</v>
      </c>
      <c r="D169" s="22" t="s">
        <v>58</v>
      </c>
      <c r="E169" s="22" t="s">
        <v>56</v>
      </c>
      <c r="F169" s="25" t="s">
        <v>292</v>
      </c>
      <c r="G169" s="373" t="s">
        <v>565</v>
      </c>
      <c r="H169" s="37"/>
      <c r="I169" s="23" t="s">
        <v>596</v>
      </c>
      <c r="J169" s="23" t="s">
        <v>643</v>
      </c>
      <c r="K169" s="23" t="s">
        <v>644</v>
      </c>
      <c r="L169" s="23" t="s">
        <v>1775</v>
      </c>
      <c r="M169" s="2">
        <v>0</v>
      </c>
      <c r="N169" s="2"/>
      <c r="O169" s="2"/>
      <c r="P169" s="2"/>
      <c r="Q169" s="2"/>
      <c r="R169" s="2"/>
      <c r="S169" s="2"/>
      <c r="T169" s="2"/>
      <c r="U169" s="116">
        <f t="shared" si="4"/>
        <v>0</v>
      </c>
      <c r="V169" s="324"/>
      <c r="W169" s="324"/>
      <c r="X169" s="324"/>
      <c r="Y169" s="324"/>
      <c r="Z169" s="324"/>
      <c r="AA169" s="324"/>
      <c r="AB169" s="324"/>
      <c r="AC169" s="324"/>
      <c r="AD169" s="324"/>
      <c r="AE169" s="324"/>
      <c r="AF169" s="324"/>
      <c r="AG169" s="324">
        <v>369</v>
      </c>
      <c r="AH169" s="140">
        <f t="shared" si="5"/>
        <v>369</v>
      </c>
    </row>
    <row r="170" spans="1:34" ht="12.75" customHeight="1" x14ac:dyDescent="0.25">
      <c r="A170" s="202"/>
      <c r="B170" s="22" t="s">
        <v>57</v>
      </c>
      <c r="C170" s="34" t="s">
        <v>41</v>
      </c>
      <c r="D170" s="22" t="s">
        <v>58</v>
      </c>
      <c r="E170" s="22" t="s">
        <v>56</v>
      </c>
      <c r="F170" s="25" t="s">
        <v>292</v>
      </c>
      <c r="G170" s="373" t="s">
        <v>565</v>
      </c>
      <c r="H170" s="37"/>
      <c r="I170" s="23" t="s">
        <v>996</v>
      </c>
      <c r="J170" s="23" t="s">
        <v>997</v>
      </c>
      <c r="K170" s="23" t="s">
        <v>644</v>
      </c>
      <c r="L170" s="23"/>
      <c r="M170" s="2">
        <v>0</v>
      </c>
      <c r="N170" s="2"/>
      <c r="O170" s="2"/>
      <c r="P170" s="2"/>
      <c r="Q170" s="2"/>
      <c r="R170" s="2"/>
      <c r="S170" s="2"/>
      <c r="T170" s="2"/>
      <c r="U170" s="116">
        <f t="shared" si="4"/>
        <v>0</v>
      </c>
      <c r="V170" s="324">
        <v>10</v>
      </c>
      <c r="W170" s="324">
        <v>10</v>
      </c>
      <c r="X170" s="324"/>
      <c r="Y170" s="324"/>
      <c r="Z170" s="324"/>
      <c r="AA170" s="324"/>
      <c r="AB170" s="324"/>
      <c r="AC170" s="324"/>
      <c r="AD170" s="324"/>
      <c r="AE170" s="324"/>
      <c r="AF170" s="324"/>
      <c r="AG170" s="324"/>
      <c r="AH170" s="140">
        <f t="shared" si="5"/>
        <v>20</v>
      </c>
    </row>
    <row r="171" spans="1:34" ht="12.75" customHeight="1" x14ac:dyDescent="0.25">
      <c r="A171" s="202"/>
      <c r="B171" s="22" t="s">
        <v>57</v>
      </c>
      <c r="C171" s="34" t="s">
        <v>41</v>
      </c>
      <c r="D171" s="22" t="s">
        <v>58</v>
      </c>
      <c r="E171" s="22" t="s">
        <v>56</v>
      </c>
      <c r="F171" s="383" t="s">
        <v>1656</v>
      </c>
      <c r="G171" s="373" t="s">
        <v>1657</v>
      </c>
      <c r="H171" s="37" t="s">
        <v>1658</v>
      </c>
      <c r="I171" s="23" t="s">
        <v>1659</v>
      </c>
      <c r="J171" s="23"/>
      <c r="K171" s="23"/>
      <c r="L171" s="23"/>
      <c r="M171" s="2">
        <v>0</v>
      </c>
      <c r="N171" s="2"/>
      <c r="O171" s="2">
        <v>16</v>
      </c>
      <c r="P171" s="2"/>
      <c r="Q171" s="2"/>
      <c r="R171" s="2"/>
      <c r="S171" s="2"/>
      <c r="T171" s="2"/>
      <c r="U171" s="116">
        <f t="shared" si="4"/>
        <v>16</v>
      </c>
      <c r="V171" s="324"/>
      <c r="W171" s="324"/>
      <c r="X171" s="324"/>
      <c r="Y171" s="324"/>
      <c r="Z171" s="324"/>
      <c r="AA171" s="324"/>
      <c r="AB171" s="324"/>
      <c r="AC171" s="324"/>
      <c r="AD171" s="324"/>
      <c r="AE171" s="324"/>
      <c r="AF171" s="324"/>
      <c r="AG171" s="324"/>
      <c r="AH171" s="140">
        <f t="shared" si="5"/>
        <v>0</v>
      </c>
    </row>
    <row r="172" spans="1:34" ht="12.75" customHeight="1" x14ac:dyDescent="0.25">
      <c r="A172" s="202"/>
      <c r="B172" s="22" t="s">
        <v>57</v>
      </c>
      <c r="C172" s="34" t="s">
        <v>41</v>
      </c>
      <c r="D172" s="22" t="s">
        <v>55</v>
      </c>
      <c r="E172" s="22" t="s">
        <v>56</v>
      </c>
      <c r="F172" s="25" t="s">
        <v>97</v>
      </c>
      <c r="G172" s="373" t="s">
        <v>565</v>
      </c>
      <c r="H172" s="37"/>
      <c r="I172" s="23" t="s">
        <v>557</v>
      </c>
      <c r="J172" s="23" t="s">
        <v>98</v>
      </c>
      <c r="K172" s="23" t="s">
        <v>99</v>
      </c>
      <c r="L172" s="23"/>
      <c r="M172" s="2">
        <v>0</v>
      </c>
      <c r="N172" s="2"/>
      <c r="O172" s="2"/>
      <c r="P172" s="2"/>
      <c r="Q172" s="2"/>
      <c r="R172" s="2"/>
      <c r="S172" s="2"/>
      <c r="T172" s="2">
        <v>60</v>
      </c>
      <c r="U172" s="116">
        <f t="shared" si="4"/>
        <v>60</v>
      </c>
      <c r="V172" s="324"/>
      <c r="W172" s="324"/>
      <c r="X172" s="324"/>
      <c r="Y172" s="324"/>
      <c r="Z172" s="324"/>
      <c r="AA172" s="324"/>
      <c r="AB172" s="324"/>
      <c r="AC172" s="324"/>
      <c r="AD172" s="324"/>
      <c r="AE172" s="324"/>
      <c r="AF172" s="324"/>
      <c r="AG172" s="324">
        <v>60</v>
      </c>
      <c r="AH172" s="140">
        <f t="shared" si="5"/>
        <v>60</v>
      </c>
    </row>
    <row r="173" spans="1:34" ht="12.75" customHeight="1" x14ac:dyDescent="0.25">
      <c r="A173" s="202"/>
      <c r="B173" s="22" t="s">
        <v>57</v>
      </c>
      <c r="C173" s="34" t="s">
        <v>41</v>
      </c>
      <c r="D173" s="22" t="s">
        <v>58</v>
      </c>
      <c r="E173" s="22" t="s">
        <v>56</v>
      </c>
      <c r="F173" s="25" t="s">
        <v>433</v>
      </c>
      <c r="G173" s="373" t="s">
        <v>565</v>
      </c>
      <c r="H173" s="37"/>
      <c r="I173" s="23" t="s">
        <v>637</v>
      </c>
      <c r="J173" s="23" t="s">
        <v>634</v>
      </c>
      <c r="K173" s="23" t="s">
        <v>633</v>
      </c>
      <c r="L173" s="23"/>
      <c r="M173" s="2">
        <v>0</v>
      </c>
      <c r="N173" s="2"/>
      <c r="O173" s="2"/>
      <c r="P173" s="2"/>
      <c r="Q173" s="2"/>
      <c r="R173" s="2"/>
      <c r="S173" s="2"/>
      <c r="T173" s="2"/>
      <c r="U173" s="116">
        <f t="shared" si="4"/>
        <v>0</v>
      </c>
      <c r="V173" s="324"/>
      <c r="W173" s="324"/>
      <c r="X173" s="324"/>
      <c r="Y173" s="324"/>
      <c r="Z173" s="324"/>
      <c r="AA173" s="324"/>
      <c r="AB173" s="324"/>
      <c r="AC173" s="324"/>
      <c r="AD173" s="324"/>
      <c r="AE173" s="324"/>
      <c r="AF173" s="324"/>
      <c r="AG173" s="324">
        <v>250</v>
      </c>
      <c r="AH173" s="140">
        <f t="shared" si="5"/>
        <v>250</v>
      </c>
    </row>
    <row r="174" spans="1:34" ht="12.75" customHeight="1" x14ac:dyDescent="0.25">
      <c r="A174" s="202"/>
      <c r="B174" s="22" t="s">
        <v>57</v>
      </c>
      <c r="C174" s="34" t="s">
        <v>41</v>
      </c>
      <c r="D174" s="22" t="s">
        <v>58</v>
      </c>
      <c r="E174" s="22" t="s">
        <v>56</v>
      </c>
      <c r="F174" s="25" t="s">
        <v>292</v>
      </c>
      <c r="G174" s="373" t="s">
        <v>565</v>
      </c>
      <c r="H174" s="37"/>
      <c r="I174" s="23" t="s">
        <v>579</v>
      </c>
      <c r="J174" s="23" t="s">
        <v>578</v>
      </c>
      <c r="K174" s="23" t="s">
        <v>482</v>
      </c>
      <c r="L174" s="94" t="s">
        <v>1775</v>
      </c>
      <c r="M174" s="2">
        <v>0</v>
      </c>
      <c r="N174" s="2"/>
      <c r="O174" s="2"/>
      <c r="P174" s="2"/>
      <c r="Q174" s="2"/>
      <c r="R174" s="2"/>
      <c r="S174" s="2"/>
      <c r="T174" s="2"/>
      <c r="U174" s="116">
        <f t="shared" si="4"/>
        <v>0</v>
      </c>
      <c r="V174" s="324"/>
      <c r="W174" s="324"/>
      <c r="X174" s="324"/>
      <c r="Y174" s="324"/>
      <c r="Z174" s="324"/>
      <c r="AA174" s="324"/>
      <c r="AB174" s="324"/>
      <c r="AC174" s="324"/>
      <c r="AD174" s="324">
        <v>40</v>
      </c>
      <c r="AE174" s="324">
        <v>48</v>
      </c>
      <c r="AF174" s="324">
        <v>50</v>
      </c>
      <c r="AG174" s="324">
        <v>55</v>
      </c>
      <c r="AH174" s="140">
        <f t="shared" si="5"/>
        <v>193</v>
      </c>
    </row>
    <row r="175" spans="1:34" ht="12.75" customHeight="1" x14ac:dyDescent="0.25">
      <c r="A175" s="202"/>
      <c r="B175" s="22" t="s">
        <v>57</v>
      </c>
      <c r="C175" s="34" t="s">
        <v>41</v>
      </c>
      <c r="D175" s="22" t="s">
        <v>55</v>
      </c>
      <c r="E175" s="22" t="s">
        <v>56</v>
      </c>
      <c r="F175" s="25" t="s">
        <v>611</v>
      </c>
      <c r="G175" s="373" t="s">
        <v>565</v>
      </c>
      <c r="H175" s="37"/>
      <c r="I175" s="23" t="s">
        <v>588</v>
      </c>
      <c r="J175" s="23" t="s">
        <v>590</v>
      </c>
      <c r="K175" s="23" t="s">
        <v>591</v>
      </c>
      <c r="L175" s="23"/>
      <c r="M175" s="2">
        <v>0</v>
      </c>
      <c r="N175" s="2"/>
      <c r="O175" s="2"/>
      <c r="P175" s="2"/>
      <c r="Q175" s="2"/>
      <c r="R175" s="2"/>
      <c r="S175" s="2"/>
      <c r="T175" s="2">
        <v>48</v>
      </c>
      <c r="U175" s="116">
        <f t="shared" si="4"/>
        <v>48</v>
      </c>
      <c r="V175" s="324"/>
      <c r="W175" s="324"/>
      <c r="X175" s="324"/>
      <c r="Y175" s="324"/>
      <c r="Z175" s="324"/>
      <c r="AA175" s="324"/>
      <c r="AB175" s="324">
        <v>68.698999999999998</v>
      </c>
      <c r="AC175" s="324"/>
      <c r="AD175" s="324"/>
      <c r="AE175" s="324"/>
      <c r="AF175" s="324"/>
      <c r="AG175" s="324"/>
      <c r="AH175" s="140">
        <f t="shared" si="5"/>
        <v>68.698999999999998</v>
      </c>
    </row>
    <row r="176" spans="1:34" ht="12.75" customHeight="1" x14ac:dyDescent="0.25">
      <c r="A176" s="202"/>
      <c r="B176" s="22" t="s">
        <v>57</v>
      </c>
      <c r="C176" s="34" t="s">
        <v>41</v>
      </c>
      <c r="D176" s="22" t="s">
        <v>58</v>
      </c>
      <c r="E176" s="22" t="s">
        <v>56</v>
      </c>
      <c r="F176" s="25" t="s">
        <v>433</v>
      </c>
      <c r="G176" s="373" t="s">
        <v>565</v>
      </c>
      <c r="H176" s="37"/>
      <c r="I176" s="23" t="s">
        <v>636</v>
      </c>
      <c r="J176" s="23" t="s">
        <v>632</v>
      </c>
      <c r="K176" s="23" t="s">
        <v>633</v>
      </c>
      <c r="L176" s="23" t="s">
        <v>1772</v>
      </c>
      <c r="M176" s="2">
        <v>0</v>
      </c>
      <c r="N176" s="2"/>
      <c r="O176" s="2"/>
      <c r="P176" s="2"/>
      <c r="Q176" s="2"/>
      <c r="R176" s="2"/>
      <c r="S176" s="2"/>
      <c r="T176" s="2">
        <v>7</v>
      </c>
      <c r="U176" s="116">
        <f t="shared" si="4"/>
        <v>7</v>
      </c>
      <c r="V176" s="324"/>
      <c r="W176" s="324">
        <v>93</v>
      </c>
      <c r="X176" s="324">
        <v>100</v>
      </c>
      <c r="Y176" s="324">
        <v>100</v>
      </c>
      <c r="Z176" s="324">
        <v>100</v>
      </c>
      <c r="AA176" s="324"/>
      <c r="AB176" s="324"/>
      <c r="AC176" s="324"/>
      <c r="AD176" s="324"/>
      <c r="AE176" s="324"/>
      <c r="AF176" s="324"/>
      <c r="AG176" s="324"/>
      <c r="AH176" s="140">
        <f t="shared" si="5"/>
        <v>393</v>
      </c>
    </row>
    <row r="177" spans="1:34" ht="12.75" customHeight="1" x14ac:dyDescent="0.25">
      <c r="A177" s="202"/>
      <c r="B177" s="22" t="s">
        <v>57</v>
      </c>
      <c r="C177" s="34" t="s">
        <v>42</v>
      </c>
      <c r="D177" s="22" t="s">
        <v>318</v>
      </c>
      <c r="E177" s="22" t="s">
        <v>56</v>
      </c>
      <c r="F177" s="25" t="s">
        <v>1061</v>
      </c>
      <c r="G177" s="373" t="s">
        <v>565</v>
      </c>
      <c r="H177" s="37" t="s">
        <v>59</v>
      </c>
      <c r="I177" s="23" t="s">
        <v>447</v>
      </c>
      <c r="J177" s="23" t="s">
        <v>448</v>
      </c>
      <c r="K177" s="23" t="s">
        <v>449</v>
      </c>
      <c r="L177" s="23"/>
      <c r="M177" s="2">
        <v>0</v>
      </c>
      <c r="N177" s="2">
        <v>0</v>
      </c>
      <c r="O177" s="2">
        <v>0</v>
      </c>
      <c r="P177" s="2">
        <v>0</v>
      </c>
      <c r="Q177" s="2">
        <v>100</v>
      </c>
      <c r="R177" s="2" t="s">
        <v>716</v>
      </c>
      <c r="S177" s="2">
        <v>300</v>
      </c>
      <c r="T177" s="2" t="s">
        <v>716</v>
      </c>
      <c r="U177" s="116">
        <f t="shared" si="4"/>
        <v>400</v>
      </c>
      <c r="V177" s="324">
        <v>0</v>
      </c>
      <c r="W177" s="324">
        <v>0</v>
      </c>
      <c r="X177" s="324">
        <v>0</v>
      </c>
      <c r="Y177" s="324">
        <v>0</v>
      </c>
      <c r="Z177" s="324">
        <v>0</v>
      </c>
      <c r="AA177" s="324">
        <v>0</v>
      </c>
      <c r="AB177" s="324">
        <v>0</v>
      </c>
      <c r="AC177" s="324">
        <v>0</v>
      </c>
      <c r="AD177" s="324">
        <v>0</v>
      </c>
      <c r="AE177" s="324">
        <v>0</v>
      </c>
      <c r="AF177" s="324">
        <v>0</v>
      </c>
      <c r="AG177" s="324">
        <v>0</v>
      </c>
      <c r="AH177" s="140">
        <f t="shared" si="5"/>
        <v>0</v>
      </c>
    </row>
    <row r="178" spans="1:34" ht="12.75" customHeight="1" x14ac:dyDescent="0.25">
      <c r="A178" s="202"/>
      <c r="B178" s="22" t="s">
        <v>57</v>
      </c>
      <c r="C178" s="34" t="s">
        <v>42</v>
      </c>
      <c r="D178" s="22" t="s">
        <v>318</v>
      </c>
      <c r="E178" s="22" t="s">
        <v>56</v>
      </c>
      <c r="F178" s="25" t="s">
        <v>1604</v>
      </c>
      <c r="G178" s="373" t="s">
        <v>1192</v>
      </c>
      <c r="H178" s="37" t="s">
        <v>1193</v>
      </c>
      <c r="I178" s="23" t="s">
        <v>580</v>
      </c>
      <c r="J178" s="23" t="s">
        <v>717</v>
      </c>
      <c r="K178" s="23" t="s">
        <v>581</v>
      </c>
      <c r="L178" s="23"/>
      <c r="M178" s="2">
        <v>0</v>
      </c>
      <c r="N178" s="2">
        <v>367</v>
      </c>
      <c r="O178" s="2">
        <v>0</v>
      </c>
      <c r="P178" s="2">
        <v>0</v>
      </c>
      <c r="Q178" s="2">
        <v>0</v>
      </c>
      <c r="R178" s="2">
        <v>0</v>
      </c>
      <c r="S178" s="2">
        <v>0</v>
      </c>
      <c r="T178" s="2">
        <v>0</v>
      </c>
      <c r="U178" s="116">
        <f t="shared" si="4"/>
        <v>367</v>
      </c>
      <c r="V178" s="324">
        <v>0</v>
      </c>
      <c r="W178" s="324">
        <v>0</v>
      </c>
      <c r="X178" s="324">
        <v>0</v>
      </c>
      <c r="Y178" s="324">
        <v>0</v>
      </c>
      <c r="Z178" s="324">
        <v>0</v>
      </c>
      <c r="AA178" s="324">
        <v>0</v>
      </c>
      <c r="AB178" s="324">
        <v>0</v>
      </c>
      <c r="AC178" s="324">
        <v>0</v>
      </c>
      <c r="AD178" s="324">
        <v>0</v>
      </c>
      <c r="AE178" s="324">
        <v>0</v>
      </c>
      <c r="AF178" s="324">
        <v>0</v>
      </c>
      <c r="AG178" s="324">
        <v>0</v>
      </c>
      <c r="AH178" s="140">
        <f t="shared" si="5"/>
        <v>0</v>
      </c>
    </row>
    <row r="179" spans="1:34" ht="12.75" customHeight="1" x14ac:dyDescent="0.25">
      <c r="A179" s="202"/>
      <c r="B179" s="22" t="s">
        <v>57</v>
      </c>
      <c r="C179" s="34" t="s">
        <v>42</v>
      </c>
      <c r="D179" s="22" t="s">
        <v>318</v>
      </c>
      <c r="E179" s="22" t="s">
        <v>56</v>
      </c>
      <c r="F179" s="25" t="s">
        <v>1061</v>
      </c>
      <c r="G179" s="373" t="s">
        <v>565</v>
      </c>
      <c r="H179" s="37" t="s">
        <v>59</v>
      </c>
      <c r="I179" s="23" t="s">
        <v>724</v>
      </c>
      <c r="J179" s="23" t="s">
        <v>725</v>
      </c>
      <c r="K179" s="23" t="s">
        <v>726</v>
      </c>
      <c r="L179" s="23"/>
      <c r="M179" s="2">
        <v>0</v>
      </c>
      <c r="N179" s="2">
        <v>0</v>
      </c>
      <c r="O179" s="2">
        <v>12.346</v>
      </c>
      <c r="P179" s="2"/>
      <c r="Q179" s="2">
        <v>0</v>
      </c>
      <c r="R179" s="2">
        <v>12.346</v>
      </c>
      <c r="S179" s="2">
        <v>0</v>
      </c>
      <c r="T179" s="2">
        <v>0</v>
      </c>
      <c r="U179" s="116">
        <f t="shared" si="4"/>
        <v>24.692</v>
      </c>
      <c r="V179" s="324">
        <v>0</v>
      </c>
      <c r="W179" s="324">
        <v>0</v>
      </c>
      <c r="X179" s="324">
        <v>0</v>
      </c>
      <c r="Y179" s="324">
        <v>0</v>
      </c>
      <c r="Z179" s="324">
        <v>0</v>
      </c>
      <c r="AA179" s="324">
        <v>0</v>
      </c>
      <c r="AB179" s="324">
        <v>0</v>
      </c>
      <c r="AC179" s="324">
        <v>0</v>
      </c>
      <c r="AD179" s="324">
        <v>0</v>
      </c>
      <c r="AE179" s="324">
        <v>0</v>
      </c>
      <c r="AF179" s="324">
        <v>0</v>
      </c>
      <c r="AG179" s="324">
        <v>38.408999999999999</v>
      </c>
      <c r="AH179" s="140">
        <f t="shared" si="5"/>
        <v>38.408999999999999</v>
      </c>
    </row>
    <row r="180" spans="1:34" ht="12.75" customHeight="1" x14ac:dyDescent="0.25">
      <c r="A180" s="202"/>
      <c r="B180" s="22" t="s">
        <v>57</v>
      </c>
      <c r="C180" s="34" t="s">
        <v>42</v>
      </c>
      <c r="D180" s="22" t="s">
        <v>318</v>
      </c>
      <c r="E180" s="22" t="s">
        <v>56</v>
      </c>
      <c r="F180" s="25" t="s">
        <v>1061</v>
      </c>
      <c r="G180" s="373" t="s">
        <v>565</v>
      </c>
      <c r="H180" s="37" t="s">
        <v>59</v>
      </c>
      <c r="I180" s="23" t="s">
        <v>727</v>
      </c>
      <c r="J180" s="23" t="s">
        <v>728</v>
      </c>
      <c r="K180" s="23" t="s">
        <v>729</v>
      </c>
      <c r="L180" s="23"/>
      <c r="M180" s="2">
        <v>0</v>
      </c>
      <c r="N180" s="2">
        <v>0</v>
      </c>
      <c r="O180" s="2">
        <v>0</v>
      </c>
      <c r="P180" s="2">
        <v>0</v>
      </c>
      <c r="Q180" s="2">
        <v>0</v>
      </c>
      <c r="R180" s="2">
        <v>62.261200000000002</v>
      </c>
      <c r="S180" s="2">
        <v>0</v>
      </c>
      <c r="T180" s="2">
        <v>0</v>
      </c>
      <c r="U180" s="116">
        <f t="shared" si="4"/>
        <v>62.261200000000002</v>
      </c>
      <c r="V180" s="324">
        <v>0</v>
      </c>
      <c r="W180" s="324">
        <v>0</v>
      </c>
      <c r="X180" s="324">
        <v>0</v>
      </c>
      <c r="Y180" s="324">
        <v>0</v>
      </c>
      <c r="Z180" s="324">
        <v>0</v>
      </c>
      <c r="AA180" s="324">
        <v>0</v>
      </c>
      <c r="AB180" s="324">
        <v>0</v>
      </c>
      <c r="AC180" s="324">
        <v>0</v>
      </c>
      <c r="AD180" s="324">
        <v>0</v>
      </c>
      <c r="AE180" s="324">
        <v>0</v>
      </c>
      <c r="AF180" s="324">
        <v>0</v>
      </c>
      <c r="AG180" s="324">
        <v>265.02199999999999</v>
      </c>
      <c r="AH180" s="140">
        <f t="shared" si="5"/>
        <v>265.02199999999999</v>
      </c>
    </row>
    <row r="181" spans="1:34" ht="12.75" customHeight="1" x14ac:dyDescent="0.25">
      <c r="A181" s="202"/>
      <c r="B181" s="22" t="s">
        <v>57</v>
      </c>
      <c r="C181" s="34" t="s">
        <v>42</v>
      </c>
      <c r="D181" s="22" t="s">
        <v>318</v>
      </c>
      <c r="E181" s="22" t="s">
        <v>56</v>
      </c>
      <c r="F181" s="25" t="s">
        <v>1061</v>
      </c>
      <c r="G181" s="373" t="s">
        <v>565</v>
      </c>
      <c r="H181" s="37" t="s">
        <v>59</v>
      </c>
      <c r="I181" s="23" t="s">
        <v>730</v>
      </c>
      <c r="J181" s="23" t="s">
        <v>731</v>
      </c>
      <c r="K181" s="23" t="s">
        <v>726</v>
      </c>
      <c r="L181" s="23"/>
      <c r="M181" s="2">
        <v>0</v>
      </c>
      <c r="N181" s="2">
        <v>0</v>
      </c>
      <c r="O181" s="2">
        <v>17.946000000000002</v>
      </c>
      <c r="P181" s="2">
        <v>0</v>
      </c>
      <c r="Q181" s="2">
        <v>0</v>
      </c>
      <c r="R181" s="2">
        <v>0</v>
      </c>
      <c r="S181" s="2">
        <v>0</v>
      </c>
      <c r="T181" s="2">
        <v>0</v>
      </c>
      <c r="U181" s="116">
        <f t="shared" si="4"/>
        <v>17.946000000000002</v>
      </c>
      <c r="V181" s="324">
        <v>0</v>
      </c>
      <c r="W181" s="324">
        <v>0</v>
      </c>
      <c r="X181" s="324">
        <v>0</v>
      </c>
      <c r="Y181" s="324">
        <v>0</v>
      </c>
      <c r="Z181" s="324">
        <v>0</v>
      </c>
      <c r="AA181" s="324">
        <v>0</v>
      </c>
      <c r="AB181" s="324">
        <v>0</v>
      </c>
      <c r="AC181" s="324">
        <v>0</v>
      </c>
      <c r="AD181" s="324">
        <v>0</v>
      </c>
      <c r="AE181" s="324">
        <v>0</v>
      </c>
      <c r="AF181" s="324">
        <v>0</v>
      </c>
      <c r="AG181" s="324">
        <v>27.916</v>
      </c>
      <c r="AH181" s="140">
        <f t="shared" si="5"/>
        <v>27.916</v>
      </c>
    </row>
    <row r="182" spans="1:34" ht="12.75" customHeight="1" x14ac:dyDescent="0.25">
      <c r="A182" s="202"/>
      <c r="B182" s="22" t="s">
        <v>57</v>
      </c>
      <c r="C182" s="34" t="s">
        <v>42</v>
      </c>
      <c r="D182" s="22" t="s">
        <v>318</v>
      </c>
      <c r="E182" s="22" t="s">
        <v>56</v>
      </c>
      <c r="F182" s="25" t="s">
        <v>1061</v>
      </c>
      <c r="G182" s="373" t="s">
        <v>1705</v>
      </c>
      <c r="H182" s="37" t="s">
        <v>59</v>
      </c>
      <c r="I182" s="23" t="s">
        <v>732</v>
      </c>
      <c r="J182" s="23" t="s">
        <v>733</v>
      </c>
      <c r="K182" s="23" t="s">
        <v>734</v>
      </c>
      <c r="L182" s="23"/>
      <c r="M182" s="2">
        <v>0</v>
      </c>
      <c r="N182" s="2">
        <v>0</v>
      </c>
      <c r="O182" s="2">
        <v>0.46800000000000003</v>
      </c>
      <c r="P182" s="2">
        <v>0</v>
      </c>
      <c r="Q182" s="2">
        <v>0</v>
      </c>
      <c r="R182" s="2">
        <v>0</v>
      </c>
      <c r="S182" s="2">
        <v>0</v>
      </c>
      <c r="T182" s="2">
        <v>0</v>
      </c>
      <c r="U182" s="116">
        <f t="shared" si="4"/>
        <v>0.46800000000000003</v>
      </c>
      <c r="V182" s="324">
        <v>0</v>
      </c>
      <c r="W182" s="324">
        <v>0</v>
      </c>
      <c r="X182" s="324">
        <v>0</v>
      </c>
      <c r="Y182" s="324">
        <v>0</v>
      </c>
      <c r="Z182" s="324">
        <v>0</v>
      </c>
      <c r="AA182" s="324">
        <v>0</v>
      </c>
      <c r="AB182" s="324">
        <v>0</v>
      </c>
      <c r="AC182" s="324">
        <v>0</v>
      </c>
      <c r="AD182" s="324">
        <v>0</v>
      </c>
      <c r="AE182" s="324">
        <v>0</v>
      </c>
      <c r="AF182" s="324">
        <v>0</v>
      </c>
      <c r="AG182" s="324">
        <v>0.72799999999999998</v>
      </c>
      <c r="AH182" s="140">
        <f t="shared" si="5"/>
        <v>0.72799999999999998</v>
      </c>
    </row>
    <row r="183" spans="1:34" ht="12.75" customHeight="1" x14ac:dyDescent="0.25">
      <c r="A183" s="202"/>
      <c r="B183" s="22" t="s">
        <v>57</v>
      </c>
      <c r="C183" s="34" t="s">
        <v>42</v>
      </c>
      <c r="D183" s="22" t="s">
        <v>318</v>
      </c>
      <c r="E183" s="22" t="s">
        <v>56</v>
      </c>
      <c r="F183" s="25" t="s">
        <v>1061</v>
      </c>
      <c r="G183" s="373" t="s">
        <v>565</v>
      </c>
      <c r="H183" s="37" t="s">
        <v>59</v>
      </c>
      <c r="I183" s="23" t="s">
        <v>735</v>
      </c>
      <c r="J183" s="23" t="s">
        <v>735</v>
      </c>
      <c r="K183" s="23" t="s">
        <v>726</v>
      </c>
      <c r="L183" s="23"/>
      <c r="M183" s="2">
        <v>0</v>
      </c>
      <c r="N183" s="2">
        <v>0</v>
      </c>
      <c r="O183" s="2">
        <v>16.963000000000001</v>
      </c>
      <c r="P183" s="2">
        <v>0</v>
      </c>
      <c r="Q183" s="2">
        <v>0</v>
      </c>
      <c r="R183" s="2">
        <v>0</v>
      </c>
      <c r="S183" s="2">
        <v>0</v>
      </c>
      <c r="T183" s="2">
        <v>0</v>
      </c>
      <c r="U183" s="116">
        <f t="shared" si="4"/>
        <v>16.963000000000001</v>
      </c>
      <c r="V183" s="324">
        <v>0</v>
      </c>
      <c r="W183" s="324">
        <v>0</v>
      </c>
      <c r="X183" s="324">
        <v>0</v>
      </c>
      <c r="Y183" s="324">
        <v>0</v>
      </c>
      <c r="Z183" s="324">
        <v>0</v>
      </c>
      <c r="AA183" s="324">
        <v>0</v>
      </c>
      <c r="AB183" s="324">
        <v>0</v>
      </c>
      <c r="AC183" s="324">
        <v>0</v>
      </c>
      <c r="AD183" s="324">
        <v>0</v>
      </c>
      <c r="AE183" s="324">
        <v>0</v>
      </c>
      <c r="AF183" s="324">
        <v>0</v>
      </c>
      <c r="AG183" s="324">
        <v>26.387</v>
      </c>
      <c r="AH183" s="140">
        <f t="shared" si="5"/>
        <v>26.387</v>
      </c>
    </row>
    <row r="184" spans="1:34" ht="12.75" customHeight="1" x14ac:dyDescent="0.25">
      <c r="A184" s="202"/>
      <c r="B184" s="22" t="s">
        <v>57</v>
      </c>
      <c r="C184" s="34" t="s">
        <v>42</v>
      </c>
      <c r="D184" s="22" t="s">
        <v>318</v>
      </c>
      <c r="E184" s="22" t="s">
        <v>56</v>
      </c>
      <c r="F184" s="25" t="s">
        <v>1061</v>
      </c>
      <c r="G184" s="373" t="s">
        <v>565</v>
      </c>
      <c r="H184" s="37" t="s">
        <v>59</v>
      </c>
      <c r="I184" s="23" t="s">
        <v>736</v>
      </c>
      <c r="J184" s="23" t="s">
        <v>737</v>
      </c>
      <c r="K184" s="23" t="s">
        <v>738</v>
      </c>
      <c r="L184" s="23"/>
      <c r="M184" s="2">
        <v>0</v>
      </c>
      <c r="N184" s="2">
        <v>0</v>
      </c>
      <c r="O184" s="2">
        <v>13.95</v>
      </c>
      <c r="P184" s="2"/>
      <c r="Q184" s="2">
        <v>0</v>
      </c>
      <c r="R184" s="2">
        <v>13.95</v>
      </c>
      <c r="S184" s="2">
        <v>0</v>
      </c>
      <c r="T184" s="2">
        <v>0</v>
      </c>
      <c r="U184" s="116">
        <f t="shared" si="4"/>
        <v>27.9</v>
      </c>
      <c r="V184" s="324">
        <v>0</v>
      </c>
      <c r="W184" s="324">
        <v>0</v>
      </c>
      <c r="X184" s="324">
        <v>0</v>
      </c>
      <c r="Y184" s="324">
        <v>0</v>
      </c>
      <c r="Z184" s="324">
        <v>0</v>
      </c>
      <c r="AA184" s="324">
        <v>0</v>
      </c>
      <c r="AB184" s="324">
        <v>0</v>
      </c>
      <c r="AC184" s="324">
        <v>0</v>
      </c>
      <c r="AD184" s="324">
        <v>0</v>
      </c>
      <c r="AE184" s="324">
        <v>0</v>
      </c>
      <c r="AF184" s="324">
        <v>0</v>
      </c>
      <c r="AG184" s="324">
        <v>43.399000000000001</v>
      </c>
      <c r="AH184" s="140">
        <f t="shared" si="5"/>
        <v>43.399000000000001</v>
      </c>
    </row>
    <row r="185" spans="1:34" ht="12.75" customHeight="1" x14ac:dyDescent="0.25">
      <c r="A185" s="202"/>
      <c r="B185" s="22" t="s">
        <v>57</v>
      </c>
      <c r="C185" s="34" t="s">
        <v>42</v>
      </c>
      <c r="D185" s="22" t="s">
        <v>318</v>
      </c>
      <c r="E185" s="22" t="s">
        <v>56</v>
      </c>
      <c r="F185" s="390" t="s">
        <v>1061</v>
      </c>
      <c r="G185" s="373" t="s">
        <v>565</v>
      </c>
      <c r="H185" s="37" t="s">
        <v>59</v>
      </c>
      <c r="I185" s="23" t="s">
        <v>739</v>
      </c>
      <c r="J185" s="23" t="s">
        <v>740</v>
      </c>
      <c r="K185" s="23" t="s">
        <v>726</v>
      </c>
      <c r="L185" s="23"/>
      <c r="M185" s="2">
        <v>0</v>
      </c>
      <c r="N185" s="2">
        <v>0</v>
      </c>
      <c r="O185" s="2">
        <v>35</v>
      </c>
      <c r="P185" s="2"/>
      <c r="Q185" s="2">
        <v>0</v>
      </c>
      <c r="R185" s="2">
        <v>34.883000000000003</v>
      </c>
      <c r="S185" s="2">
        <v>0</v>
      </c>
      <c r="T185" s="2">
        <v>0</v>
      </c>
      <c r="U185" s="116">
        <f t="shared" si="4"/>
        <v>69.88300000000001</v>
      </c>
      <c r="V185" s="324">
        <v>0</v>
      </c>
      <c r="W185" s="324">
        <v>0</v>
      </c>
      <c r="X185" s="324">
        <v>0</v>
      </c>
      <c r="Y185" s="324">
        <v>0</v>
      </c>
      <c r="Z185" s="324">
        <v>0</v>
      </c>
      <c r="AA185" s="324">
        <v>0</v>
      </c>
      <c r="AB185" s="324">
        <v>0</v>
      </c>
      <c r="AC185" s="324">
        <v>0</v>
      </c>
      <c r="AD185" s="324">
        <v>0</v>
      </c>
      <c r="AE185" s="324">
        <v>0</v>
      </c>
      <c r="AF185" s="324">
        <v>0</v>
      </c>
      <c r="AG185" s="324">
        <v>108.526</v>
      </c>
      <c r="AH185" s="140">
        <f t="shared" si="5"/>
        <v>108.526</v>
      </c>
    </row>
    <row r="186" spans="1:34" ht="12.75" customHeight="1" x14ac:dyDescent="0.25">
      <c r="A186" s="202"/>
      <c r="B186" s="22" t="s">
        <v>57</v>
      </c>
      <c r="C186" s="34" t="s">
        <v>42</v>
      </c>
      <c r="D186" s="22" t="s">
        <v>318</v>
      </c>
      <c r="E186" s="22" t="s">
        <v>56</v>
      </c>
      <c r="F186" s="25" t="s">
        <v>1604</v>
      </c>
      <c r="G186" s="373" t="s">
        <v>1312</v>
      </c>
      <c r="H186" s="37" t="s">
        <v>1314</v>
      </c>
      <c r="I186" s="23" t="s">
        <v>1313</v>
      </c>
      <c r="J186" s="23" t="s">
        <v>1606</v>
      </c>
      <c r="K186" s="23" t="s">
        <v>1609</v>
      </c>
      <c r="L186" s="23"/>
      <c r="M186" s="2">
        <v>0</v>
      </c>
      <c r="N186" s="2">
        <v>0</v>
      </c>
      <c r="O186" s="2">
        <v>0</v>
      </c>
      <c r="P186" s="2">
        <v>0</v>
      </c>
      <c r="Q186" s="2">
        <v>43.06</v>
      </c>
      <c r="R186" s="2">
        <v>64.864800000000002</v>
      </c>
      <c r="S186" s="2">
        <v>0</v>
      </c>
      <c r="T186" s="2">
        <v>0</v>
      </c>
      <c r="U186" s="116">
        <f t="shared" si="4"/>
        <v>107.9248</v>
      </c>
      <c r="V186" s="324"/>
      <c r="W186" s="324"/>
      <c r="X186" s="324"/>
      <c r="Y186" s="324"/>
      <c r="Z186" s="324"/>
      <c r="AA186" s="324"/>
      <c r="AB186" s="324"/>
      <c r="AC186" s="324"/>
      <c r="AD186" s="324"/>
      <c r="AE186" s="324"/>
      <c r="AF186" s="324"/>
      <c r="AG186" s="324"/>
      <c r="AH186" s="140">
        <f t="shared" si="5"/>
        <v>0</v>
      </c>
    </row>
    <row r="187" spans="1:34" ht="12.75" customHeight="1" x14ac:dyDescent="0.25">
      <c r="A187" s="202"/>
      <c r="B187" s="22" t="s">
        <v>57</v>
      </c>
      <c r="C187" s="34" t="s">
        <v>42</v>
      </c>
      <c r="D187" s="22" t="s">
        <v>318</v>
      </c>
      <c r="E187" s="22" t="s">
        <v>56</v>
      </c>
      <c r="F187" s="25" t="s">
        <v>1061</v>
      </c>
      <c r="G187" s="373" t="s">
        <v>1668</v>
      </c>
      <c r="H187" s="37" t="s">
        <v>1669</v>
      </c>
      <c r="I187" s="23" t="s">
        <v>745</v>
      </c>
      <c r="J187" s="23" t="s">
        <v>746</v>
      </c>
      <c r="K187" s="23" t="s">
        <v>726</v>
      </c>
      <c r="L187" s="23"/>
      <c r="M187" s="2">
        <v>0</v>
      </c>
      <c r="N187" s="2"/>
      <c r="O187" s="2">
        <v>0</v>
      </c>
      <c r="P187" s="2">
        <v>0</v>
      </c>
      <c r="Q187" s="2">
        <v>1755</v>
      </c>
      <c r="R187" s="2">
        <v>0</v>
      </c>
      <c r="S187" s="2">
        <v>1170</v>
      </c>
      <c r="T187" s="2">
        <v>0</v>
      </c>
      <c r="U187" s="116">
        <f t="shared" si="4"/>
        <v>2925</v>
      </c>
      <c r="V187" s="324">
        <v>0</v>
      </c>
      <c r="W187" s="324">
        <v>0</v>
      </c>
      <c r="X187" s="324">
        <v>0</v>
      </c>
      <c r="Y187" s="324">
        <v>0</v>
      </c>
      <c r="Z187" s="324">
        <v>0</v>
      </c>
      <c r="AA187" s="324">
        <v>2000</v>
      </c>
      <c r="AB187" s="324">
        <v>0</v>
      </c>
      <c r="AC187" s="324">
        <v>0</v>
      </c>
      <c r="AD187" s="324">
        <v>0</v>
      </c>
      <c r="AE187" s="324">
        <v>0</v>
      </c>
      <c r="AF187" s="324">
        <v>0</v>
      </c>
      <c r="AG187" s="324">
        <v>2550</v>
      </c>
      <c r="AH187" s="140">
        <f t="shared" si="5"/>
        <v>4550</v>
      </c>
    </row>
    <row r="188" spans="1:34" ht="12.75" customHeight="1" x14ac:dyDescent="0.25">
      <c r="A188" s="202"/>
      <c r="B188" s="22" t="s">
        <v>57</v>
      </c>
      <c r="C188" s="34" t="s">
        <v>42</v>
      </c>
      <c r="D188" s="22" t="s">
        <v>318</v>
      </c>
      <c r="E188" s="22" t="s">
        <v>56</v>
      </c>
      <c r="F188" s="25" t="s">
        <v>1061</v>
      </c>
      <c r="G188" s="373" t="s">
        <v>565</v>
      </c>
      <c r="H188" s="37" t="s">
        <v>59</v>
      </c>
      <c r="I188" s="23" t="s">
        <v>743</v>
      </c>
      <c r="J188" s="23" t="s">
        <v>744</v>
      </c>
      <c r="K188" s="23" t="s">
        <v>726</v>
      </c>
      <c r="L188" s="23"/>
      <c r="M188" s="2">
        <v>0</v>
      </c>
      <c r="N188" s="2"/>
      <c r="O188" s="2">
        <v>0</v>
      </c>
      <c r="P188" s="2">
        <v>8.4369999999999994</v>
      </c>
      <c r="Q188" s="2">
        <v>0</v>
      </c>
      <c r="R188" s="2">
        <v>0</v>
      </c>
      <c r="S188" s="2">
        <v>0</v>
      </c>
      <c r="T188" s="2">
        <v>0</v>
      </c>
      <c r="U188" s="116">
        <f t="shared" si="4"/>
        <v>8.4369999999999994</v>
      </c>
      <c r="V188" s="324">
        <v>0</v>
      </c>
      <c r="W188" s="324">
        <v>0</v>
      </c>
      <c r="X188" s="324">
        <v>0</v>
      </c>
      <c r="Y188" s="324">
        <v>0</v>
      </c>
      <c r="Z188" s="324">
        <v>0</v>
      </c>
      <c r="AA188" s="324">
        <v>0</v>
      </c>
      <c r="AB188" s="324">
        <v>0</v>
      </c>
      <c r="AC188" s="324">
        <v>0</v>
      </c>
      <c r="AD188" s="324">
        <v>0</v>
      </c>
      <c r="AE188" s="324">
        <v>0</v>
      </c>
      <c r="AF188" s="324">
        <v>0</v>
      </c>
      <c r="AG188" s="324">
        <v>13.124000000000001</v>
      </c>
      <c r="AH188" s="140">
        <f t="shared" si="5"/>
        <v>13.124000000000001</v>
      </c>
    </row>
    <row r="189" spans="1:34" ht="12.75" customHeight="1" x14ac:dyDescent="0.25">
      <c r="A189" s="202"/>
      <c r="B189" s="22" t="s">
        <v>57</v>
      </c>
      <c r="C189" s="34" t="s">
        <v>42</v>
      </c>
      <c r="D189" s="22" t="s">
        <v>318</v>
      </c>
      <c r="E189" s="22" t="s">
        <v>56</v>
      </c>
      <c r="F189" s="25" t="s">
        <v>1061</v>
      </c>
      <c r="G189" s="373" t="s">
        <v>565</v>
      </c>
      <c r="H189" s="37" t="s">
        <v>59</v>
      </c>
      <c r="I189" s="23" t="s">
        <v>718</v>
      </c>
      <c r="J189" s="23" t="s">
        <v>719</v>
      </c>
      <c r="K189" s="23" t="s">
        <v>720</v>
      </c>
      <c r="L189" s="23"/>
      <c r="M189" s="2">
        <v>0</v>
      </c>
      <c r="N189" s="2">
        <v>0</v>
      </c>
      <c r="O189" s="2">
        <v>14</v>
      </c>
      <c r="P189" s="2"/>
      <c r="Q189" s="2">
        <v>0</v>
      </c>
      <c r="R189" s="2">
        <v>15.228</v>
      </c>
      <c r="S189" s="2">
        <v>0</v>
      </c>
      <c r="T189" s="2">
        <v>0</v>
      </c>
      <c r="U189" s="116">
        <f t="shared" si="4"/>
        <v>29.228000000000002</v>
      </c>
      <c r="V189" s="324">
        <v>0</v>
      </c>
      <c r="W189" s="324">
        <v>0</v>
      </c>
      <c r="X189" s="324">
        <v>0</v>
      </c>
      <c r="Y189" s="324">
        <v>0</v>
      </c>
      <c r="Z189" s="324">
        <v>0</v>
      </c>
      <c r="AA189" s="324">
        <v>0</v>
      </c>
      <c r="AB189" s="324">
        <v>0</v>
      </c>
      <c r="AC189" s="324">
        <v>0</v>
      </c>
      <c r="AD189" s="324">
        <v>0</v>
      </c>
      <c r="AE189" s="324">
        <v>0</v>
      </c>
      <c r="AF189" s="324">
        <v>0</v>
      </c>
      <c r="AG189" s="324">
        <v>45.465000000000003</v>
      </c>
      <c r="AH189" s="140">
        <f t="shared" si="5"/>
        <v>45.465000000000003</v>
      </c>
    </row>
    <row r="190" spans="1:34" ht="12.75" customHeight="1" x14ac:dyDescent="0.25">
      <c r="A190" s="202"/>
      <c r="B190" s="22" t="s">
        <v>57</v>
      </c>
      <c r="C190" s="34" t="s">
        <v>42</v>
      </c>
      <c r="D190" s="387" t="s">
        <v>1058</v>
      </c>
      <c r="E190" s="22" t="s">
        <v>56</v>
      </c>
      <c r="F190" s="392" t="s">
        <v>1783</v>
      </c>
      <c r="G190" s="373" t="s">
        <v>565</v>
      </c>
      <c r="H190" s="37" t="s">
        <v>59</v>
      </c>
      <c r="I190" s="389" t="s">
        <v>1784</v>
      </c>
      <c r="J190" s="23"/>
      <c r="K190" s="23"/>
      <c r="L190" s="23"/>
      <c r="M190" s="2"/>
      <c r="N190" s="2"/>
      <c r="O190" s="2"/>
      <c r="P190" s="2"/>
      <c r="Q190" s="2"/>
      <c r="R190" s="2"/>
      <c r="S190" s="2"/>
      <c r="T190" s="2">
        <v>42.9</v>
      </c>
      <c r="U190" s="116">
        <f t="shared" si="4"/>
        <v>42.9</v>
      </c>
      <c r="V190" s="324"/>
      <c r="W190" s="324"/>
      <c r="X190" s="324"/>
      <c r="Y190" s="324"/>
      <c r="Z190" s="324"/>
      <c r="AA190" s="324"/>
      <c r="AB190" s="324"/>
      <c r="AC190" s="324"/>
      <c r="AD190" s="324"/>
      <c r="AE190" s="324"/>
      <c r="AF190" s="324"/>
      <c r="AG190" s="324"/>
      <c r="AH190" s="140">
        <f t="shared" si="5"/>
        <v>0</v>
      </c>
    </row>
    <row r="191" spans="1:34" ht="12.75" customHeight="1" x14ac:dyDescent="0.25">
      <c r="A191" s="202"/>
      <c r="B191" s="22" t="s">
        <v>57</v>
      </c>
      <c r="C191" s="34" t="s">
        <v>42</v>
      </c>
      <c r="D191" s="22" t="s">
        <v>318</v>
      </c>
      <c r="E191" s="22" t="s">
        <v>56</v>
      </c>
      <c r="F191" s="25" t="s">
        <v>1061</v>
      </c>
      <c r="G191" s="373" t="s">
        <v>565</v>
      </c>
      <c r="H191" s="37" t="s">
        <v>59</v>
      </c>
      <c r="I191" s="23" t="s">
        <v>721</v>
      </c>
      <c r="J191" s="23" t="s">
        <v>722</v>
      </c>
      <c r="K191" s="23" t="s">
        <v>723</v>
      </c>
      <c r="L191" s="23"/>
      <c r="M191" s="2">
        <v>0</v>
      </c>
      <c r="N191" s="2">
        <v>0</v>
      </c>
      <c r="O191" s="2">
        <v>0.9</v>
      </c>
      <c r="P191" s="2">
        <v>0</v>
      </c>
      <c r="Q191" s="2">
        <v>0</v>
      </c>
      <c r="R191" s="2">
        <v>0</v>
      </c>
      <c r="S191" s="2">
        <v>0</v>
      </c>
      <c r="T191" s="2">
        <v>0</v>
      </c>
      <c r="U191" s="116">
        <f t="shared" si="4"/>
        <v>0.9</v>
      </c>
      <c r="V191" s="324">
        <v>0</v>
      </c>
      <c r="W191" s="324">
        <v>0</v>
      </c>
      <c r="X191" s="324">
        <v>0</v>
      </c>
      <c r="Y191" s="324">
        <v>0</v>
      </c>
      <c r="Z191" s="324">
        <v>0</v>
      </c>
      <c r="AA191" s="324">
        <v>0</v>
      </c>
      <c r="AB191" s="324">
        <v>0</v>
      </c>
      <c r="AC191" s="324">
        <v>0</v>
      </c>
      <c r="AD191" s="324">
        <v>0</v>
      </c>
      <c r="AE191" s="324">
        <v>0</v>
      </c>
      <c r="AF191" s="324">
        <v>0</v>
      </c>
      <c r="AG191" s="324">
        <v>1.4</v>
      </c>
      <c r="AH191" s="140">
        <f t="shared" si="5"/>
        <v>1.4</v>
      </c>
    </row>
    <row r="192" spans="1:34" ht="12.75" customHeight="1" x14ac:dyDescent="0.25">
      <c r="A192" s="202"/>
      <c r="B192" s="22" t="s">
        <v>57</v>
      </c>
      <c r="C192" s="34" t="s">
        <v>42</v>
      </c>
      <c r="D192" s="22" t="s">
        <v>318</v>
      </c>
      <c r="E192" s="22" t="s">
        <v>56</v>
      </c>
      <c r="F192" s="25" t="s">
        <v>1061</v>
      </c>
      <c r="G192" s="373" t="s">
        <v>565</v>
      </c>
      <c r="H192" s="37" t="s">
        <v>59</v>
      </c>
      <c r="I192" s="23" t="s">
        <v>741</v>
      </c>
      <c r="J192" s="23" t="s">
        <v>742</v>
      </c>
      <c r="K192" s="23" t="s">
        <v>726</v>
      </c>
      <c r="L192" s="23"/>
      <c r="M192" s="2">
        <v>0</v>
      </c>
      <c r="N192" s="2">
        <v>0</v>
      </c>
      <c r="O192" s="2">
        <v>0</v>
      </c>
      <c r="P192" s="2">
        <v>53.244999999999997</v>
      </c>
      <c r="Q192" s="2">
        <v>0</v>
      </c>
      <c r="R192" s="2">
        <v>0</v>
      </c>
      <c r="S192" s="2">
        <v>0</v>
      </c>
      <c r="T192" s="2">
        <v>0</v>
      </c>
      <c r="U192" s="116">
        <f t="shared" si="4"/>
        <v>53.244999999999997</v>
      </c>
      <c r="V192" s="324">
        <v>0</v>
      </c>
      <c r="W192" s="324">
        <v>0</v>
      </c>
      <c r="X192" s="324">
        <v>0</v>
      </c>
      <c r="Y192" s="324">
        <v>0</v>
      </c>
      <c r="Z192" s="324">
        <v>0</v>
      </c>
      <c r="AA192" s="324">
        <v>0</v>
      </c>
      <c r="AB192" s="324">
        <v>0</v>
      </c>
      <c r="AC192" s="324">
        <v>0</v>
      </c>
      <c r="AD192" s="324">
        <v>0</v>
      </c>
      <c r="AE192" s="324">
        <v>0</v>
      </c>
      <c r="AF192" s="324">
        <v>0</v>
      </c>
      <c r="AG192" s="324">
        <v>82.825999999999993</v>
      </c>
      <c r="AH192" s="140">
        <f t="shared" si="5"/>
        <v>82.825999999999993</v>
      </c>
    </row>
    <row r="193" spans="1:34" ht="12.75" customHeight="1" x14ac:dyDescent="0.25">
      <c r="A193" s="202"/>
      <c r="B193" s="22" t="s">
        <v>57</v>
      </c>
      <c r="C193" s="34" t="s">
        <v>43</v>
      </c>
      <c r="D193" s="22" t="s">
        <v>1058</v>
      </c>
      <c r="E193" s="22" t="s">
        <v>62</v>
      </c>
      <c r="F193" s="25" t="s">
        <v>1062</v>
      </c>
      <c r="G193" s="373" t="s">
        <v>565</v>
      </c>
      <c r="H193" s="37" t="s">
        <v>59</v>
      </c>
      <c r="I193" s="23" t="s">
        <v>520</v>
      </c>
      <c r="J193" s="23" t="s">
        <v>518</v>
      </c>
      <c r="K193" s="23" t="s">
        <v>519</v>
      </c>
      <c r="L193" s="23"/>
      <c r="M193" s="2">
        <v>0</v>
      </c>
      <c r="N193" s="2">
        <v>0</v>
      </c>
      <c r="O193" s="2">
        <v>0</v>
      </c>
      <c r="P193" s="2">
        <v>0</v>
      </c>
      <c r="Q193" s="2">
        <v>0</v>
      </c>
      <c r="R193" s="2">
        <v>0</v>
      </c>
      <c r="S193" s="2">
        <v>0</v>
      </c>
      <c r="T193" s="2">
        <v>0</v>
      </c>
      <c r="U193" s="116">
        <f t="shared" si="4"/>
        <v>0</v>
      </c>
      <c r="V193" s="324">
        <v>0</v>
      </c>
      <c r="W193" s="324">
        <v>0</v>
      </c>
      <c r="X193" s="324">
        <v>0</v>
      </c>
      <c r="Y193" s="324"/>
      <c r="Z193" s="324">
        <v>0</v>
      </c>
      <c r="AA193" s="324">
        <v>0</v>
      </c>
      <c r="AB193" s="324">
        <v>0</v>
      </c>
      <c r="AC193" s="324">
        <v>1000</v>
      </c>
      <c r="AD193" s="324">
        <v>0</v>
      </c>
      <c r="AE193" s="324">
        <v>0</v>
      </c>
      <c r="AF193" s="324">
        <v>0</v>
      </c>
      <c r="AG193" s="324">
        <v>0</v>
      </c>
      <c r="AH193" s="140">
        <f t="shared" si="5"/>
        <v>1000</v>
      </c>
    </row>
    <row r="194" spans="1:34" ht="12.75" customHeight="1" x14ac:dyDescent="0.25">
      <c r="A194" s="202"/>
      <c r="B194" s="22" t="s">
        <v>57</v>
      </c>
      <c r="C194" s="34" t="s">
        <v>43</v>
      </c>
      <c r="D194" s="22" t="s">
        <v>1059</v>
      </c>
      <c r="E194" s="22" t="s">
        <v>56</v>
      </c>
      <c r="F194" s="25" t="s">
        <v>1065</v>
      </c>
      <c r="G194" s="373" t="s">
        <v>711</v>
      </c>
      <c r="H194" s="37" t="s">
        <v>1321</v>
      </c>
      <c r="I194" s="23" t="s">
        <v>712</v>
      </c>
      <c r="J194" s="23" t="s">
        <v>396</v>
      </c>
      <c r="K194" s="23" t="s">
        <v>397</v>
      </c>
      <c r="L194" s="23"/>
      <c r="M194" s="2">
        <v>0</v>
      </c>
      <c r="N194" s="2">
        <v>0</v>
      </c>
      <c r="O194" s="2"/>
      <c r="P194" s="2">
        <v>0</v>
      </c>
      <c r="Q194" s="2">
        <v>0</v>
      </c>
      <c r="R194" s="2">
        <v>0</v>
      </c>
      <c r="S194" s="2">
        <v>0</v>
      </c>
      <c r="T194" s="2">
        <v>0</v>
      </c>
      <c r="U194" s="116">
        <f t="shared" si="4"/>
        <v>0</v>
      </c>
      <c r="V194" s="324">
        <v>0</v>
      </c>
      <c r="W194" s="324">
        <v>0</v>
      </c>
      <c r="X194" s="324">
        <v>280</v>
      </c>
      <c r="Y194" s="324">
        <v>0</v>
      </c>
      <c r="Z194" s="324">
        <v>0</v>
      </c>
      <c r="AA194" s="324">
        <v>0</v>
      </c>
      <c r="AB194" s="324">
        <v>0</v>
      </c>
      <c r="AC194" s="324">
        <v>0</v>
      </c>
      <c r="AD194" s="324">
        <v>0</v>
      </c>
      <c r="AE194" s="324">
        <v>0</v>
      </c>
      <c r="AF194" s="324">
        <v>0</v>
      </c>
      <c r="AG194" s="324">
        <v>0</v>
      </c>
      <c r="AH194" s="140">
        <f t="shared" si="5"/>
        <v>280</v>
      </c>
    </row>
    <row r="195" spans="1:34" ht="12.75" customHeight="1" x14ac:dyDescent="0.25">
      <c r="A195" s="202"/>
      <c r="B195" s="22" t="s">
        <v>57</v>
      </c>
      <c r="C195" s="34" t="s">
        <v>43</v>
      </c>
      <c r="D195" s="22" t="s">
        <v>1058</v>
      </c>
      <c r="E195" s="22" t="s">
        <v>62</v>
      </c>
      <c r="F195" s="25" t="s">
        <v>1062</v>
      </c>
      <c r="G195" s="373" t="s">
        <v>565</v>
      </c>
      <c r="H195" s="37" t="s">
        <v>59</v>
      </c>
      <c r="I195" s="23" t="s">
        <v>998</v>
      </c>
      <c r="J195" s="23" t="s">
        <v>518</v>
      </c>
      <c r="K195" s="23" t="s">
        <v>519</v>
      </c>
      <c r="L195" s="23"/>
      <c r="M195" s="2">
        <v>0</v>
      </c>
      <c r="N195" s="2">
        <v>0</v>
      </c>
      <c r="O195" s="2">
        <v>0</v>
      </c>
      <c r="P195" s="2">
        <v>0</v>
      </c>
      <c r="Q195" s="2">
        <v>0</v>
      </c>
      <c r="R195" s="2">
        <v>0</v>
      </c>
      <c r="S195" s="2">
        <v>0</v>
      </c>
      <c r="T195" s="2">
        <v>0</v>
      </c>
      <c r="U195" s="116">
        <f t="shared" si="4"/>
        <v>0</v>
      </c>
      <c r="V195" s="324">
        <v>0</v>
      </c>
      <c r="W195" s="324">
        <v>0</v>
      </c>
      <c r="X195" s="324">
        <v>0</v>
      </c>
      <c r="Y195" s="324"/>
      <c r="Z195" s="324">
        <v>0</v>
      </c>
      <c r="AA195" s="324">
        <v>0</v>
      </c>
      <c r="AB195" s="324">
        <v>0</v>
      </c>
      <c r="AC195" s="324">
        <v>4000</v>
      </c>
      <c r="AD195" s="324">
        <v>0</v>
      </c>
      <c r="AE195" s="324">
        <v>0</v>
      </c>
      <c r="AF195" s="324">
        <v>0</v>
      </c>
      <c r="AG195" s="324">
        <v>0</v>
      </c>
      <c r="AH195" s="140">
        <f t="shared" si="5"/>
        <v>4000</v>
      </c>
    </row>
    <row r="196" spans="1:34" ht="12.75" customHeight="1" x14ac:dyDescent="0.25">
      <c r="A196" s="202"/>
      <c r="B196" s="22" t="s">
        <v>57</v>
      </c>
      <c r="C196" s="34" t="s">
        <v>43</v>
      </c>
      <c r="D196" s="22" t="s">
        <v>1058</v>
      </c>
      <c r="E196" s="22" t="s">
        <v>62</v>
      </c>
      <c r="F196" s="25" t="s">
        <v>1062</v>
      </c>
      <c r="G196" s="373" t="s">
        <v>565</v>
      </c>
      <c r="H196" s="37" t="s">
        <v>59</v>
      </c>
      <c r="I196" s="23" t="s">
        <v>517</v>
      </c>
      <c r="J196" s="23" t="s">
        <v>518</v>
      </c>
      <c r="K196" s="23" t="s">
        <v>519</v>
      </c>
      <c r="L196" s="23"/>
      <c r="M196" s="2">
        <v>0</v>
      </c>
      <c r="N196" s="2">
        <v>0</v>
      </c>
      <c r="O196" s="2">
        <v>0</v>
      </c>
      <c r="P196" s="2">
        <v>0</v>
      </c>
      <c r="Q196" s="2">
        <v>0</v>
      </c>
      <c r="R196" s="2">
        <v>0</v>
      </c>
      <c r="S196" s="2">
        <v>0</v>
      </c>
      <c r="T196" s="2">
        <v>0</v>
      </c>
      <c r="U196" s="116">
        <f t="shared" si="4"/>
        <v>0</v>
      </c>
      <c r="V196" s="324">
        <v>0</v>
      </c>
      <c r="W196" s="324">
        <v>0</v>
      </c>
      <c r="X196" s="324">
        <v>0</v>
      </c>
      <c r="Y196" s="324"/>
      <c r="Z196" s="324">
        <v>0</v>
      </c>
      <c r="AA196" s="324">
        <v>0</v>
      </c>
      <c r="AB196" s="324">
        <v>0</v>
      </c>
      <c r="AC196" s="324">
        <v>10000</v>
      </c>
      <c r="AD196" s="324">
        <v>0</v>
      </c>
      <c r="AE196" s="324">
        <v>0</v>
      </c>
      <c r="AF196" s="324">
        <v>0</v>
      </c>
      <c r="AG196" s="324">
        <v>0</v>
      </c>
      <c r="AH196" s="140">
        <f t="shared" si="5"/>
        <v>10000</v>
      </c>
    </row>
    <row r="197" spans="1:34" ht="12.75" customHeight="1" x14ac:dyDescent="0.25">
      <c r="A197" s="202"/>
      <c r="B197" s="22" t="s">
        <v>57</v>
      </c>
      <c r="C197" s="34" t="s">
        <v>43</v>
      </c>
      <c r="D197" s="22" t="s">
        <v>1058</v>
      </c>
      <c r="E197" s="22" t="s">
        <v>56</v>
      </c>
      <c r="F197" s="25" t="s">
        <v>1062</v>
      </c>
      <c r="G197" s="373" t="s">
        <v>1462</v>
      </c>
      <c r="H197" s="37" t="s">
        <v>1464</v>
      </c>
      <c r="I197" s="23" t="s">
        <v>1717</v>
      </c>
      <c r="J197" s="23" t="s">
        <v>322</v>
      </c>
      <c r="K197" s="23" t="s">
        <v>323</v>
      </c>
      <c r="L197" s="23"/>
      <c r="M197" s="2">
        <v>0</v>
      </c>
      <c r="N197" s="2">
        <v>0</v>
      </c>
      <c r="O197" s="2">
        <v>0</v>
      </c>
      <c r="P197" s="2">
        <v>4184</v>
      </c>
      <c r="Q197" s="2">
        <v>0</v>
      </c>
      <c r="R197" s="2">
        <v>0</v>
      </c>
      <c r="S197" s="2">
        <v>0</v>
      </c>
      <c r="T197" s="2">
        <v>0</v>
      </c>
      <c r="U197" s="116">
        <f t="shared" si="4"/>
        <v>4184</v>
      </c>
      <c r="V197" s="324">
        <v>0</v>
      </c>
      <c r="W197" s="324">
        <v>0</v>
      </c>
      <c r="X197" s="324">
        <v>50</v>
      </c>
      <c r="Y197" s="324">
        <v>0</v>
      </c>
      <c r="Z197" s="324">
        <v>0</v>
      </c>
      <c r="AA197" s="324">
        <v>0</v>
      </c>
      <c r="AB197" s="324">
        <v>50</v>
      </c>
      <c r="AC197" s="324">
        <v>0</v>
      </c>
      <c r="AD197" s="324">
        <v>0</v>
      </c>
      <c r="AE197" s="324">
        <v>50</v>
      </c>
      <c r="AF197" s="324">
        <v>0</v>
      </c>
      <c r="AG197" s="324">
        <v>100</v>
      </c>
      <c r="AH197" s="140">
        <f t="shared" si="5"/>
        <v>250</v>
      </c>
    </row>
    <row r="198" spans="1:34" ht="12.75" customHeight="1" x14ac:dyDescent="0.25">
      <c r="A198" s="202"/>
      <c r="B198" s="22" t="s">
        <v>57</v>
      </c>
      <c r="C198" s="34" t="s">
        <v>43</v>
      </c>
      <c r="D198" s="22" t="s">
        <v>1058</v>
      </c>
      <c r="E198" s="22" t="s">
        <v>56</v>
      </c>
      <c r="F198" s="25" t="s">
        <v>1062</v>
      </c>
      <c r="G198" s="373" t="s">
        <v>565</v>
      </c>
      <c r="H198" s="37" t="s">
        <v>59</v>
      </c>
      <c r="I198" s="23" t="s">
        <v>1785</v>
      </c>
      <c r="J198" s="23"/>
      <c r="K198" s="23"/>
      <c r="L198" s="23"/>
      <c r="M198" s="2"/>
      <c r="N198" s="2"/>
      <c r="O198" s="2"/>
      <c r="P198" s="2">
        <v>30</v>
      </c>
      <c r="Q198" s="2"/>
      <c r="R198" s="2"/>
      <c r="S198" s="2"/>
      <c r="T198" s="2"/>
      <c r="U198" s="116">
        <f t="shared" si="4"/>
        <v>30</v>
      </c>
      <c r="V198" s="324"/>
      <c r="W198" s="324"/>
      <c r="X198" s="324"/>
      <c r="Y198" s="324"/>
      <c r="Z198" s="324"/>
      <c r="AA198" s="324"/>
      <c r="AB198" s="324"/>
      <c r="AC198" s="324"/>
      <c r="AD198" s="324"/>
      <c r="AE198" s="324"/>
      <c r="AF198" s="324"/>
      <c r="AG198" s="324">
        <v>6</v>
      </c>
      <c r="AH198" s="140">
        <f t="shared" si="5"/>
        <v>6</v>
      </c>
    </row>
    <row r="199" spans="1:34" ht="12.75" customHeight="1" x14ac:dyDescent="0.25">
      <c r="A199" s="202"/>
      <c r="B199" s="22" t="s">
        <v>57</v>
      </c>
      <c r="C199" s="34" t="s">
        <v>44</v>
      </c>
      <c r="D199" s="22" t="s">
        <v>1059</v>
      </c>
      <c r="E199" s="22" t="s">
        <v>56</v>
      </c>
      <c r="F199" s="390" t="s">
        <v>1063</v>
      </c>
      <c r="G199" s="373" t="s">
        <v>1010</v>
      </c>
      <c r="H199" s="37" t="s">
        <v>1380</v>
      </c>
      <c r="I199" s="23" t="s">
        <v>1011</v>
      </c>
      <c r="J199" s="121" t="s">
        <v>1012</v>
      </c>
      <c r="K199" s="121" t="s">
        <v>1013</v>
      </c>
      <c r="L199" s="23"/>
      <c r="M199" s="2">
        <v>599.97772216796875</v>
      </c>
      <c r="N199" s="2">
        <v>0</v>
      </c>
      <c r="O199" s="2">
        <v>0</v>
      </c>
      <c r="P199" s="2">
        <v>0</v>
      </c>
      <c r="Q199" s="2">
        <v>0</v>
      </c>
      <c r="R199" s="2">
        <v>0</v>
      </c>
      <c r="S199" s="2">
        <v>0</v>
      </c>
      <c r="T199" s="2">
        <v>0</v>
      </c>
      <c r="U199" s="116">
        <f t="shared" si="4"/>
        <v>599.97772216796875</v>
      </c>
      <c r="V199" s="324">
        <v>0</v>
      </c>
      <c r="W199" s="324">
        <v>0</v>
      </c>
      <c r="X199" s="324">
        <v>0</v>
      </c>
      <c r="Y199" s="324">
        <v>0</v>
      </c>
      <c r="Z199" s="324">
        <v>0</v>
      </c>
      <c r="AA199" s="324">
        <v>0</v>
      </c>
      <c r="AB199" s="324">
        <v>0</v>
      </c>
      <c r="AC199" s="324">
        <v>0</v>
      </c>
      <c r="AD199" s="324">
        <v>0</v>
      </c>
      <c r="AE199" s="324">
        <v>0</v>
      </c>
      <c r="AF199" s="324">
        <v>0</v>
      </c>
      <c r="AG199" s="324">
        <v>0</v>
      </c>
      <c r="AH199" s="140">
        <f t="shared" si="5"/>
        <v>0</v>
      </c>
    </row>
    <row r="200" spans="1:34" ht="12.75" customHeight="1" x14ac:dyDescent="0.25">
      <c r="A200" s="202"/>
      <c r="B200" s="22" t="s">
        <v>57</v>
      </c>
      <c r="C200" s="34" t="s">
        <v>44</v>
      </c>
      <c r="D200" s="22" t="s">
        <v>318</v>
      </c>
      <c r="E200" s="22" t="s">
        <v>56</v>
      </c>
      <c r="F200" s="25" t="s">
        <v>1066</v>
      </c>
      <c r="G200" s="373" t="s">
        <v>565</v>
      </c>
      <c r="H200" s="37" t="s">
        <v>59</v>
      </c>
      <c r="I200" s="23" t="s">
        <v>1014</v>
      </c>
      <c r="J200" s="23" t="s">
        <v>841</v>
      </c>
      <c r="K200" s="23" t="s">
        <v>842</v>
      </c>
      <c r="L200" s="23"/>
      <c r="M200" s="2">
        <v>0</v>
      </c>
      <c r="N200" s="2">
        <v>0</v>
      </c>
      <c r="O200" s="2">
        <v>0</v>
      </c>
      <c r="P200" s="2">
        <v>0</v>
      </c>
      <c r="Q200" s="2">
        <v>0</v>
      </c>
      <c r="R200" s="2">
        <v>0</v>
      </c>
      <c r="S200" s="2">
        <v>0</v>
      </c>
      <c r="T200" s="2">
        <v>0</v>
      </c>
      <c r="U200" s="116">
        <f t="shared" ref="U200:U263" si="6">SUM(M200:T200)</f>
        <v>0</v>
      </c>
      <c r="V200" s="324">
        <v>0</v>
      </c>
      <c r="W200" s="324">
        <v>0</v>
      </c>
      <c r="X200" s="324">
        <v>0</v>
      </c>
      <c r="Y200" s="324">
        <v>0</v>
      </c>
      <c r="Z200" s="324">
        <v>0</v>
      </c>
      <c r="AA200" s="324">
        <v>0</v>
      </c>
      <c r="AB200" s="324">
        <v>0</v>
      </c>
      <c r="AC200" s="324">
        <v>0</v>
      </c>
      <c r="AD200" s="324">
        <v>0</v>
      </c>
      <c r="AE200" s="324">
        <v>0</v>
      </c>
      <c r="AF200" s="324">
        <v>0</v>
      </c>
      <c r="AG200" s="324">
        <v>0</v>
      </c>
      <c r="AH200" s="140">
        <f t="shared" si="5"/>
        <v>0</v>
      </c>
    </row>
    <row r="201" spans="1:34" ht="12.75" customHeight="1" x14ac:dyDescent="0.25">
      <c r="A201" s="202"/>
      <c r="B201" s="22" t="s">
        <v>57</v>
      </c>
      <c r="C201" s="34" t="s">
        <v>44</v>
      </c>
      <c r="D201" s="22" t="s">
        <v>1059</v>
      </c>
      <c r="E201" s="22" t="s">
        <v>56</v>
      </c>
      <c r="F201" s="25" t="s">
        <v>1063</v>
      </c>
      <c r="G201" s="373" t="s">
        <v>565</v>
      </c>
      <c r="H201" s="37" t="s">
        <v>59</v>
      </c>
      <c r="I201" s="23" t="s">
        <v>377</v>
      </c>
      <c r="J201" s="23" t="s">
        <v>378</v>
      </c>
      <c r="K201" s="23" t="s">
        <v>761</v>
      </c>
      <c r="L201" s="23"/>
      <c r="M201" s="2">
        <v>0</v>
      </c>
      <c r="N201" s="2">
        <v>0</v>
      </c>
      <c r="O201" s="2">
        <v>0</v>
      </c>
      <c r="P201" s="2">
        <v>0</v>
      </c>
      <c r="Q201" s="2">
        <v>0</v>
      </c>
      <c r="R201" s="2">
        <v>0</v>
      </c>
      <c r="S201" s="2">
        <v>0</v>
      </c>
      <c r="T201" s="2">
        <v>0</v>
      </c>
      <c r="U201" s="116">
        <f t="shared" si="6"/>
        <v>0</v>
      </c>
      <c r="V201" s="324">
        <v>0</v>
      </c>
      <c r="W201" s="324">
        <v>0</v>
      </c>
      <c r="X201" s="324">
        <v>0</v>
      </c>
      <c r="Y201" s="324">
        <v>0</v>
      </c>
      <c r="Z201" s="324">
        <v>0</v>
      </c>
      <c r="AA201" s="324">
        <v>0</v>
      </c>
      <c r="AB201" s="324">
        <v>0</v>
      </c>
      <c r="AC201" s="324">
        <v>0</v>
      </c>
      <c r="AD201" s="324">
        <v>0</v>
      </c>
      <c r="AE201" s="324">
        <v>0</v>
      </c>
      <c r="AF201" s="324">
        <v>300</v>
      </c>
      <c r="AG201" s="324">
        <v>0</v>
      </c>
      <c r="AH201" s="140">
        <f t="shared" ref="AH201:AH264" si="7">SUM(V201:AG201)</f>
        <v>300</v>
      </c>
    </row>
    <row r="202" spans="1:34" ht="12.75" customHeight="1" x14ac:dyDescent="0.25">
      <c r="A202" s="202"/>
      <c r="B202" s="22" t="s">
        <v>57</v>
      </c>
      <c r="C202" s="34" t="s">
        <v>44</v>
      </c>
      <c r="D202" s="22" t="s">
        <v>1058</v>
      </c>
      <c r="E202" s="22" t="s">
        <v>56</v>
      </c>
      <c r="F202" s="25" t="s">
        <v>1062</v>
      </c>
      <c r="G202" s="373" t="s">
        <v>565</v>
      </c>
      <c r="H202" s="37" t="s">
        <v>59</v>
      </c>
      <c r="I202" s="23" t="s">
        <v>814</v>
      </c>
      <c r="J202" s="23" t="s">
        <v>815</v>
      </c>
      <c r="K202" s="23" t="s">
        <v>816</v>
      </c>
      <c r="L202" s="23"/>
      <c r="M202" s="2">
        <v>0</v>
      </c>
      <c r="N202" s="2">
        <v>0</v>
      </c>
      <c r="O202" s="2">
        <v>0</v>
      </c>
      <c r="P202" s="2">
        <v>0</v>
      </c>
      <c r="Q202" s="2">
        <v>0</v>
      </c>
      <c r="R202" s="2">
        <v>0</v>
      </c>
      <c r="S202" s="2">
        <v>0</v>
      </c>
      <c r="T202" s="2">
        <v>0</v>
      </c>
      <c r="U202" s="116">
        <f t="shared" si="6"/>
        <v>0</v>
      </c>
      <c r="V202" s="324">
        <v>0</v>
      </c>
      <c r="W202" s="324">
        <v>0</v>
      </c>
      <c r="X202" s="324">
        <v>1500</v>
      </c>
      <c r="Y202" s="324">
        <v>0</v>
      </c>
      <c r="Z202" s="324">
        <v>0</v>
      </c>
      <c r="AA202" s="324">
        <v>0</v>
      </c>
      <c r="AB202" s="324">
        <v>0</v>
      </c>
      <c r="AC202" s="324">
        <v>0</v>
      </c>
      <c r="AD202" s="324">
        <v>0</v>
      </c>
      <c r="AE202" s="324">
        <v>0</v>
      </c>
      <c r="AF202" s="324">
        <v>0</v>
      </c>
      <c r="AG202" s="324">
        <v>0</v>
      </c>
      <c r="AH202" s="140">
        <f t="shared" si="7"/>
        <v>1500</v>
      </c>
    </row>
    <row r="203" spans="1:34" ht="12.75" customHeight="1" x14ac:dyDescent="0.25">
      <c r="A203" s="202"/>
      <c r="B203" s="22" t="s">
        <v>57</v>
      </c>
      <c r="C203" s="34" t="s">
        <v>44</v>
      </c>
      <c r="D203" s="22" t="s">
        <v>1059</v>
      </c>
      <c r="E203" s="22" t="s">
        <v>56</v>
      </c>
      <c r="F203" s="25" t="s">
        <v>1063</v>
      </c>
      <c r="G203" s="373" t="s">
        <v>565</v>
      </c>
      <c r="H203" s="37" t="s">
        <v>59</v>
      </c>
      <c r="I203" s="23" t="s">
        <v>412</v>
      </c>
      <c r="J203" s="23" t="s">
        <v>784</v>
      </c>
      <c r="K203" s="23" t="s">
        <v>785</v>
      </c>
      <c r="L203" s="23"/>
      <c r="M203" s="2">
        <v>0</v>
      </c>
      <c r="N203" s="2">
        <v>0</v>
      </c>
      <c r="O203" s="2">
        <v>0</v>
      </c>
      <c r="P203" s="2">
        <v>0</v>
      </c>
      <c r="Q203" s="2">
        <v>0</v>
      </c>
      <c r="R203" s="2">
        <v>0</v>
      </c>
      <c r="S203" s="2">
        <v>0</v>
      </c>
      <c r="T203" s="2">
        <v>0</v>
      </c>
      <c r="U203" s="116">
        <f t="shared" si="6"/>
        <v>0</v>
      </c>
      <c r="V203" s="324">
        <v>0</v>
      </c>
      <c r="W203" s="324">
        <v>0</v>
      </c>
      <c r="X203" s="324">
        <v>0</v>
      </c>
      <c r="Y203" s="324">
        <v>0</v>
      </c>
      <c r="Z203" s="324">
        <v>0</v>
      </c>
      <c r="AA203" s="324">
        <v>0</v>
      </c>
      <c r="AB203" s="324">
        <v>0</v>
      </c>
      <c r="AC203" s="324">
        <v>0</v>
      </c>
      <c r="AD203" s="324">
        <v>0</v>
      </c>
      <c r="AE203" s="324">
        <v>0</v>
      </c>
      <c r="AF203" s="324">
        <v>0</v>
      </c>
      <c r="AG203" s="324">
        <v>0</v>
      </c>
      <c r="AH203" s="140">
        <f t="shared" si="7"/>
        <v>0</v>
      </c>
    </row>
    <row r="204" spans="1:34" ht="12.75" customHeight="1" x14ac:dyDescent="0.25">
      <c r="A204" s="202"/>
      <c r="B204" s="22" t="s">
        <v>57</v>
      </c>
      <c r="C204" s="34" t="s">
        <v>44</v>
      </c>
      <c r="D204" s="22" t="s">
        <v>318</v>
      </c>
      <c r="E204" s="22" t="s">
        <v>56</v>
      </c>
      <c r="F204" s="25" t="s">
        <v>1066</v>
      </c>
      <c r="G204" s="373" t="s">
        <v>1167</v>
      </c>
      <c r="H204" s="37" t="s">
        <v>1168</v>
      </c>
      <c r="I204" s="23" t="s">
        <v>1169</v>
      </c>
      <c r="J204" s="23" t="s">
        <v>1170</v>
      </c>
      <c r="K204" s="23" t="s">
        <v>1028</v>
      </c>
      <c r="L204" s="23"/>
      <c r="M204" s="2">
        <v>1236.459716796875</v>
      </c>
      <c r="N204" s="2">
        <v>0</v>
      </c>
      <c r="O204" s="2">
        <v>0</v>
      </c>
      <c r="P204" s="2">
        <v>0</v>
      </c>
      <c r="Q204" s="2">
        <v>0</v>
      </c>
      <c r="R204" s="2">
        <v>0</v>
      </c>
      <c r="S204" s="2">
        <v>0</v>
      </c>
      <c r="T204" s="2">
        <v>0</v>
      </c>
      <c r="U204" s="116">
        <f t="shared" si="6"/>
        <v>1236.459716796875</v>
      </c>
      <c r="V204" s="324">
        <v>0</v>
      </c>
      <c r="W204" s="324">
        <v>0</v>
      </c>
      <c r="X204" s="324">
        <v>0</v>
      </c>
      <c r="Y204" s="324">
        <v>0</v>
      </c>
      <c r="Z204" s="324">
        <v>0</v>
      </c>
      <c r="AA204" s="324">
        <v>0</v>
      </c>
      <c r="AB204" s="324">
        <v>0</v>
      </c>
      <c r="AC204" s="324">
        <v>0</v>
      </c>
      <c r="AD204" s="324">
        <v>0</v>
      </c>
      <c r="AE204" s="324">
        <v>0</v>
      </c>
      <c r="AF204" s="324">
        <v>0</v>
      </c>
      <c r="AG204" s="324">
        <v>0</v>
      </c>
      <c r="AH204" s="140">
        <f t="shared" si="7"/>
        <v>0</v>
      </c>
    </row>
    <row r="205" spans="1:34" ht="12.75" customHeight="1" x14ac:dyDescent="0.25">
      <c r="A205" s="202"/>
      <c r="B205" s="22" t="s">
        <v>57</v>
      </c>
      <c r="C205" s="34" t="s">
        <v>44</v>
      </c>
      <c r="D205" s="22" t="s">
        <v>1058</v>
      </c>
      <c r="E205" s="22" t="s">
        <v>56</v>
      </c>
      <c r="F205" s="25" t="s">
        <v>1062</v>
      </c>
      <c r="G205" s="373" t="s">
        <v>565</v>
      </c>
      <c r="H205" s="37" t="s">
        <v>59</v>
      </c>
      <c r="I205" s="23" t="s">
        <v>353</v>
      </c>
      <c r="J205" s="23" t="s">
        <v>354</v>
      </c>
      <c r="K205" s="23" t="s">
        <v>355</v>
      </c>
      <c r="L205" s="23"/>
      <c r="M205" s="2">
        <v>0</v>
      </c>
      <c r="N205" s="2">
        <v>0</v>
      </c>
      <c r="O205" s="2">
        <v>0</v>
      </c>
      <c r="P205" s="2">
        <v>0</v>
      </c>
      <c r="Q205" s="2">
        <v>0</v>
      </c>
      <c r="R205" s="2">
        <v>0</v>
      </c>
      <c r="S205" s="2">
        <v>0</v>
      </c>
      <c r="T205" s="2">
        <v>0</v>
      </c>
      <c r="U205" s="116">
        <f t="shared" si="6"/>
        <v>0</v>
      </c>
      <c r="V205" s="324">
        <v>0</v>
      </c>
      <c r="W205" s="324">
        <v>0</v>
      </c>
      <c r="X205" s="324">
        <v>0</v>
      </c>
      <c r="Y205" s="324">
        <v>0</v>
      </c>
      <c r="Z205" s="324">
        <v>0</v>
      </c>
      <c r="AA205" s="324">
        <v>0</v>
      </c>
      <c r="AB205" s="324">
        <v>0</v>
      </c>
      <c r="AC205" s="324">
        <v>0</v>
      </c>
      <c r="AD205" s="324">
        <v>0</v>
      </c>
      <c r="AE205" s="324">
        <v>0</v>
      </c>
      <c r="AF205" s="324">
        <v>0</v>
      </c>
      <c r="AG205" s="324">
        <v>500</v>
      </c>
      <c r="AH205" s="140">
        <f t="shared" si="7"/>
        <v>500</v>
      </c>
    </row>
    <row r="206" spans="1:34" ht="12.75" customHeight="1" x14ac:dyDescent="0.25">
      <c r="A206" s="202"/>
      <c r="B206" s="22" t="s">
        <v>57</v>
      </c>
      <c r="C206" s="34" t="s">
        <v>44</v>
      </c>
      <c r="D206" s="22" t="s">
        <v>318</v>
      </c>
      <c r="E206" s="22" t="s">
        <v>56</v>
      </c>
      <c r="F206" s="25" t="s">
        <v>1061</v>
      </c>
      <c r="G206" s="373" t="s">
        <v>565</v>
      </c>
      <c r="H206" s="37" t="s">
        <v>59</v>
      </c>
      <c r="I206" s="23" t="s">
        <v>844</v>
      </c>
      <c r="J206" s="23" t="s">
        <v>59</v>
      </c>
      <c r="K206" s="23" t="s">
        <v>59</v>
      </c>
      <c r="L206" s="23"/>
      <c r="M206" s="2">
        <v>0</v>
      </c>
      <c r="N206" s="2">
        <v>0</v>
      </c>
      <c r="O206" s="2">
        <v>0</v>
      </c>
      <c r="P206" s="2">
        <v>0</v>
      </c>
      <c r="Q206" s="2">
        <v>0</v>
      </c>
      <c r="R206" s="2">
        <v>0</v>
      </c>
      <c r="S206" s="2">
        <v>0</v>
      </c>
      <c r="T206" s="2">
        <v>0</v>
      </c>
      <c r="U206" s="116">
        <f t="shared" si="6"/>
        <v>0</v>
      </c>
      <c r="V206" s="324">
        <v>0</v>
      </c>
      <c r="W206" s="324">
        <v>0</v>
      </c>
      <c r="X206" s="324">
        <v>0</v>
      </c>
      <c r="Y206" s="324">
        <v>0</v>
      </c>
      <c r="Z206" s="324">
        <v>0</v>
      </c>
      <c r="AA206" s="324">
        <v>0</v>
      </c>
      <c r="AB206" s="324">
        <v>0</v>
      </c>
      <c r="AC206" s="324">
        <v>0</v>
      </c>
      <c r="AD206" s="324">
        <v>0</v>
      </c>
      <c r="AE206" s="324">
        <v>0</v>
      </c>
      <c r="AF206" s="324">
        <v>250</v>
      </c>
      <c r="AG206" s="324">
        <v>0</v>
      </c>
      <c r="AH206" s="140">
        <f t="shared" si="7"/>
        <v>250</v>
      </c>
    </row>
    <row r="207" spans="1:34" ht="12.75" customHeight="1" x14ac:dyDescent="0.25">
      <c r="A207" s="202"/>
      <c r="B207" s="22" t="s">
        <v>57</v>
      </c>
      <c r="C207" s="34" t="s">
        <v>44</v>
      </c>
      <c r="D207" s="22" t="s">
        <v>318</v>
      </c>
      <c r="E207" s="22" t="s">
        <v>56</v>
      </c>
      <c r="F207" s="25" t="s">
        <v>1066</v>
      </c>
      <c r="G207" s="373" t="s">
        <v>565</v>
      </c>
      <c r="H207" s="37" t="s">
        <v>59</v>
      </c>
      <c r="I207" s="23" t="s">
        <v>365</v>
      </c>
      <c r="J207" s="23" t="s">
        <v>366</v>
      </c>
      <c r="K207" s="23" t="s">
        <v>1002</v>
      </c>
      <c r="L207" s="23"/>
      <c r="M207" s="2">
        <v>0</v>
      </c>
      <c r="N207" s="2">
        <v>0</v>
      </c>
      <c r="O207" s="2">
        <v>0</v>
      </c>
      <c r="P207" s="2">
        <v>0</v>
      </c>
      <c r="Q207" s="2">
        <v>0</v>
      </c>
      <c r="R207" s="2">
        <v>0</v>
      </c>
      <c r="S207" s="2">
        <v>0</v>
      </c>
      <c r="T207" s="2">
        <v>0</v>
      </c>
      <c r="U207" s="116">
        <f t="shared" si="6"/>
        <v>0</v>
      </c>
      <c r="V207" s="324">
        <v>0</v>
      </c>
      <c r="W207" s="324">
        <v>0</v>
      </c>
      <c r="X207" s="324">
        <v>0</v>
      </c>
      <c r="Y207" s="324">
        <v>0</v>
      </c>
      <c r="Z207" s="324">
        <v>0</v>
      </c>
      <c r="AA207" s="324">
        <v>0</v>
      </c>
      <c r="AB207" s="324">
        <v>0</v>
      </c>
      <c r="AC207" s="324">
        <v>0</v>
      </c>
      <c r="AD207" s="324">
        <v>0</v>
      </c>
      <c r="AE207" s="324">
        <v>0</v>
      </c>
      <c r="AF207" s="324">
        <v>0</v>
      </c>
      <c r="AG207" s="324">
        <v>0</v>
      </c>
      <c r="AH207" s="140">
        <f t="shared" si="7"/>
        <v>0</v>
      </c>
    </row>
    <row r="208" spans="1:34" ht="12.75" customHeight="1" x14ac:dyDescent="0.25">
      <c r="A208" s="202"/>
      <c r="B208" s="22" t="s">
        <v>57</v>
      </c>
      <c r="C208" s="34" t="s">
        <v>44</v>
      </c>
      <c r="D208" s="22" t="s">
        <v>1059</v>
      </c>
      <c r="E208" s="22" t="s">
        <v>62</v>
      </c>
      <c r="F208" s="25" t="s">
        <v>1063</v>
      </c>
      <c r="G208" s="373" t="s">
        <v>565</v>
      </c>
      <c r="H208" s="37" t="s">
        <v>59</v>
      </c>
      <c r="I208" s="23" t="s">
        <v>554</v>
      </c>
      <c r="J208" s="23" t="s">
        <v>555</v>
      </c>
      <c r="K208" s="23" t="s">
        <v>556</v>
      </c>
      <c r="L208" s="23"/>
      <c r="M208" s="2">
        <v>0</v>
      </c>
      <c r="N208" s="2">
        <v>0</v>
      </c>
      <c r="O208" s="2">
        <v>0</v>
      </c>
      <c r="P208" s="2">
        <v>0</v>
      </c>
      <c r="Q208" s="2">
        <v>0</v>
      </c>
      <c r="R208" s="2">
        <v>0</v>
      </c>
      <c r="S208" s="2">
        <v>0</v>
      </c>
      <c r="T208" s="2">
        <v>0</v>
      </c>
      <c r="U208" s="116">
        <f t="shared" si="6"/>
        <v>0</v>
      </c>
      <c r="V208" s="324">
        <v>0</v>
      </c>
      <c r="W208" s="324">
        <v>0</v>
      </c>
      <c r="X208" s="324">
        <v>0</v>
      </c>
      <c r="Y208" s="324">
        <v>0</v>
      </c>
      <c r="Z208" s="324">
        <v>0</v>
      </c>
      <c r="AA208" s="324">
        <v>0</v>
      </c>
      <c r="AB208" s="324">
        <v>3261</v>
      </c>
      <c r="AC208" s="324">
        <v>0</v>
      </c>
      <c r="AD208" s="324">
        <v>0</v>
      </c>
      <c r="AE208" s="324">
        <v>0</v>
      </c>
      <c r="AF208" s="324">
        <v>0</v>
      </c>
      <c r="AG208" s="324">
        <v>0</v>
      </c>
      <c r="AH208" s="140">
        <f t="shared" si="7"/>
        <v>3261</v>
      </c>
    </row>
    <row r="209" spans="1:34" ht="12.75" customHeight="1" x14ac:dyDescent="0.25">
      <c r="A209" s="202"/>
      <c r="B209" s="22" t="s">
        <v>57</v>
      </c>
      <c r="C209" s="34" t="s">
        <v>44</v>
      </c>
      <c r="D209" s="22" t="s">
        <v>1058</v>
      </c>
      <c r="E209" s="22" t="s">
        <v>62</v>
      </c>
      <c r="F209" s="25" t="s">
        <v>1062</v>
      </c>
      <c r="G209" s="373" t="s">
        <v>565</v>
      </c>
      <c r="H209" s="37" t="s">
        <v>59</v>
      </c>
      <c r="I209" s="23" t="s">
        <v>1149</v>
      </c>
      <c r="J209" s="23" t="s">
        <v>528</v>
      </c>
      <c r="K209" s="23" t="s">
        <v>529</v>
      </c>
      <c r="L209" s="23"/>
      <c r="M209" s="2">
        <v>0</v>
      </c>
      <c r="N209" s="2">
        <v>0</v>
      </c>
      <c r="O209" s="2">
        <v>50</v>
      </c>
      <c r="P209" s="2">
        <v>0</v>
      </c>
      <c r="Q209" s="2">
        <v>0</v>
      </c>
      <c r="R209" s="2">
        <v>0</v>
      </c>
      <c r="S209" s="2">
        <v>0</v>
      </c>
      <c r="T209" s="2">
        <v>0</v>
      </c>
      <c r="U209" s="116">
        <f t="shared" si="6"/>
        <v>50</v>
      </c>
      <c r="V209" s="324">
        <v>0</v>
      </c>
      <c r="W209" s="324">
        <v>0</v>
      </c>
      <c r="X209" s="324">
        <v>0</v>
      </c>
      <c r="Y209" s="324">
        <v>0</v>
      </c>
      <c r="Z209" s="324">
        <v>0</v>
      </c>
      <c r="AA209" s="324">
        <v>0</v>
      </c>
      <c r="AB209" s="324">
        <v>0</v>
      </c>
      <c r="AC209" s="324">
        <v>0</v>
      </c>
      <c r="AD209" s="324">
        <v>0</v>
      </c>
      <c r="AE209" s="324">
        <v>0</v>
      </c>
      <c r="AF209" s="324">
        <v>0</v>
      </c>
      <c r="AG209" s="324">
        <v>0</v>
      </c>
      <c r="AH209" s="140">
        <f t="shared" si="7"/>
        <v>0</v>
      </c>
    </row>
    <row r="210" spans="1:34" ht="12.75" customHeight="1" x14ac:dyDescent="0.25">
      <c r="A210" s="202"/>
      <c r="B210" s="22" t="s">
        <v>57</v>
      </c>
      <c r="C210" s="34" t="s">
        <v>44</v>
      </c>
      <c r="D210" s="22" t="s">
        <v>1059</v>
      </c>
      <c r="E210" s="22" t="s">
        <v>56</v>
      </c>
      <c r="F210" s="25" t="s">
        <v>1063</v>
      </c>
      <c r="G210" s="373" t="s">
        <v>1143</v>
      </c>
      <c r="H210" s="37" t="s">
        <v>1391</v>
      </c>
      <c r="I210" s="23" t="s">
        <v>771</v>
      </c>
      <c r="J210" s="23" t="s">
        <v>772</v>
      </c>
      <c r="K210" s="23" t="s">
        <v>773</v>
      </c>
      <c r="L210" s="23"/>
      <c r="M210" s="2">
        <v>0</v>
      </c>
      <c r="N210" s="2">
        <v>0</v>
      </c>
      <c r="O210" s="2">
        <v>16</v>
      </c>
      <c r="P210" s="2">
        <v>0</v>
      </c>
      <c r="Q210" s="2">
        <v>0</v>
      </c>
      <c r="R210" s="2">
        <v>0</v>
      </c>
      <c r="S210" s="2">
        <v>0</v>
      </c>
      <c r="T210" s="2">
        <v>0</v>
      </c>
      <c r="U210" s="116">
        <f t="shared" si="6"/>
        <v>16</v>
      </c>
      <c r="V210" s="324">
        <v>0</v>
      </c>
      <c r="W210" s="324">
        <v>0</v>
      </c>
      <c r="X210" s="324">
        <v>0</v>
      </c>
      <c r="Y210" s="324">
        <v>0</v>
      </c>
      <c r="Z210" s="324">
        <v>0</v>
      </c>
      <c r="AA210" s="324">
        <v>150</v>
      </c>
      <c r="AB210" s="324">
        <v>0</v>
      </c>
      <c r="AC210" s="324">
        <v>0</v>
      </c>
      <c r="AD210" s="324">
        <v>0</v>
      </c>
      <c r="AE210" s="324">
        <v>0</v>
      </c>
      <c r="AF210" s="324">
        <v>0</v>
      </c>
      <c r="AG210" s="324">
        <v>150</v>
      </c>
      <c r="AH210" s="140">
        <f t="shared" si="7"/>
        <v>300</v>
      </c>
    </row>
    <row r="211" spans="1:34" ht="12.75" customHeight="1" x14ac:dyDescent="0.25">
      <c r="A211" s="202"/>
      <c r="B211" s="22" t="s">
        <v>57</v>
      </c>
      <c r="C211" s="34" t="s">
        <v>44</v>
      </c>
      <c r="D211" s="22" t="s">
        <v>1059</v>
      </c>
      <c r="E211" s="22" t="s">
        <v>56</v>
      </c>
      <c r="F211" s="25" t="s">
        <v>1063</v>
      </c>
      <c r="G211" s="373" t="s">
        <v>565</v>
      </c>
      <c r="H211" s="37" t="s">
        <v>59</v>
      </c>
      <c r="I211" s="23" t="s">
        <v>417</v>
      </c>
      <c r="J211" s="23" t="s">
        <v>796</v>
      </c>
      <c r="K211" s="23" t="s">
        <v>797</v>
      </c>
      <c r="L211" s="23"/>
      <c r="M211" s="2">
        <v>0</v>
      </c>
      <c r="N211" s="2">
        <v>0</v>
      </c>
      <c r="O211" s="2">
        <v>0</v>
      </c>
      <c r="P211" s="2">
        <v>0</v>
      </c>
      <c r="Q211" s="2">
        <v>0</v>
      </c>
      <c r="R211" s="2">
        <v>0</v>
      </c>
      <c r="S211" s="2">
        <v>0</v>
      </c>
      <c r="T211" s="2">
        <v>0</v>
      </c>
      <c r="U211" s="116">
        <f t="shared" si="6"/>
        <v>0</v>
      </c>
      <c r="V211" s="324">
        <v>0</v>
      </c>
      <c r="W211" s="324">
        <v>0</v>
      </c>
      <c r="X211" s="324">
        <v>0</v>
      </c>
      <c r="Y211" s="324">
        <v>0</v>
      </c>
      <c r="Z211" s="324">
        <v>0</v>
      </c>
      <c r="AA211" s="324">
        <v>0</v>
      </c>
      <c r="AB211" s="324">
        <v>0</v>
      </c>
      <c r="AC211" s="324">
        <v>0</v>
      </c>
      <c r="AD211" s="324">
        <v>0</v>
      </c>
      <c r="AE211" s="324">
        <v>0</v>
      </c>
      <c r="AF211" s="324">
        <v>0</v>
      </c>
      <c r="AG211" s="324">
        <v>0</v>
      </c>
      <c r="AH211" s="140">
        <f t="shared" si="7"/>
        <v>0</v>
      </c>
    </row>
    <row r="212" spans="1:34" ht="12.75" customHeight="1" x14ac:dyDescent="0.25">
      <c r="A212" s="202"/>
      <c r="B212" s="22" t="s">
        <v>57</v>
      </c>
      <c r="C212" s="34" t="s">
        <v>44</v>
      </c>
      <c r="D212" s="22" t="s">
        <v>1058</v>
      </c>
      <c r="E212" s="22" t="s">
        <v>56</v>
      </c>
      <c r="F212" s="25" t="s">
        <v>1062</v>
      </c>
      <c r="G212" s="373" t="s">
        <v>565</v>
      </c>
      <c r="H212" s="37" t="s">
        <v>59</v>
      </c>
      <c r="I212" s="23" t="s">
        <v>350</v>
      </c>
      <c r="J212" s="23" t="s">
        <v>351</v>
      </c>
      <c r="K212" s="23" t="s">
        <v>352</v>
      </c>
      <c r="L212" s="23"/>
      <c r="M212" s="2">
        <v>0</v>
      </c>
      <c r="N212" s="2">
        <v>0</v>
      </c>
      <c r="O212" s="2">
        <v>0</v>
      </c>
      <c r="P212" s="2">
        <v>0</v>
      </c>
      <c r="Q212" s="2">
        <v>0</v>
      </c>
      <c r="R212" s="2">
        <v>0</v>
      </c>
      <c r="S212" s="2">
        <v>0</v>
      </c>
      <c r="T212" s="2">
        <v>20000</v>
      </c>
      <c r="U212" s="116">
        <f t="shared" si="6"/>
        <v>20000</v>
      </c>
      <c r="V212" s="324">
        <v>0</v>
      </c>
      <c r="W212" s="324">
        <v>0</v>
      </c>
      <c r="X212" s="324">
        <v>0</v>
      </c>
      <c r="Y212" s="324">
        <v>0</v>
      </c>
      <c r="Z212" s="324">
        <v>0</v>
      </c>
      <c r="AA212" s="324">
        <v>0</v>
      </c>
      <c r="AB212" s="324">
        <v>0</v>
      </c>
      <c r="AC212" s="324">
        <v>0</v>
      </c>
      <c r="AD212" s="324">
        <v>0</v>
      </c>
      <c r="AE212" s="324">
        <v>0</v>
      </c>
      <c r="AF212" s="324">
        <v>0</v>
      </c>
      <c r="AG212" s="324">
        <v>0</v>
      </c>
      <c r="AH212" s="140">
        <f t="shared" si="7"/>
        <v>0</v>
      </c>
    </row>
    <row r="213" spans="1:34" ht="12.75" customHeight="1" x14ac:dyDescent="0.25">
      <c r="A213" s="202"/>
      <c r="B213" s="22" t="s">
        <v>57</v>
      </c>
      <c r="C213" s="34" t="s">
        <v>44</v>
      </c>
      <c r="D213" s="22" t="s">
        <v>1058</v>
      </c>
      <c r="E213" s="22" t="s">
        <v>56</v>
      </c>
      <c r="F213" s="25" t="s">
        <v>1062</v>
      </c>
      <c r="G213" s="373" t="s">
        <v>565</v>
      </c>
      <c r="H213" s="37" t="s">
        <v>59</v>
      </c>
      <c r="I213" s="23" t="s">
        <v>356</v>
      </c>
      <c r="J213" s="23" t="s">
        <v>357</v>
      </c>
      <c r="K213" s="23" t="s">
        <v>59</v>
      </c>
      <c r="L213" s="23"/>
      <c r="M213" s="2">
        <v>0</v>
      </c>
      <c r="N213" s="2">
        <v>0</v>
      </c>
      <c r="O213" s="2">
        <v>0</v>
      </c>
      <c r="P213" s="2">
        <v>0</v>
      </c>
      <c r="Q213" s="2">
        <v>0</v>
      </c>
      <c r="R213" s="2">
        <v>0</v>
      </c>
      <c r="S213" s="2">
        <v>0</v>
      </c>
      <c r="T213" s="2">
        <v>0</v>
      </c>
      <c r="U213" s="116">
        <f t="shared" si="6"/>
        <v>0</v>
      </c>
      <c r="V213" s="324">
        <v>0</v>
      </c>
      <c r="W213" s="324">
        <v>0</v>
      </c>
      <c r="X213" s="324">
        <v>0</v>
      </c>
      <c r="Y213" s="324">
        <v>0</v>
      </c>
      <c r="Z213" s="324">
        <v>0</v>
      </c>
      <c r="AA213" s="324">
        <v>0</v>
      </c>
      <c r="AB213" s="324">
        <v>0</v>
      </c>
      <c r="AC213" s="324">
        <v>0</v>
      </c>
      <c r="AD213" s="324">
        <v>0</v>
      </c>
      <c r="AE213" s="324">
        <v>0</v>
      </c>
      <c r="AF213" s="324">
        <v>0</v>
      </c>
      <c r="AG213" s="324">
        <v>0</v>
      </c>
      <c r="AH213" s="140">
        <f t="shared" si="7"/>
        <v>0</v>
      </c>
    </row>
    <row r="214" spans="1:34" ht="12.75" customHeight="1" x14ac:dyDescent="0.25">
      <c r="A214" s="202"/>
      <c r="B214" s="22" t="s">
        <v>57</v>
      </c>
      <c r="C214" s="34" t="s">
        <v>44</v>
      </c>
      <c r="D214" s="22" t="s">
        <v>1059</v>
      </c>
      <c r="E214" s="22" t="s">
        <v>56</v>
      </c>
      <c r="F214" s="25" t="s">
        <v>1063</v>
      </c>
      <c r="G214" s="373" t="s">
        <v>1479</v>
      </c>
      <c r="H214" s="37" t="s">
        <v>1481</v>
      </c>
      <c r="I214" s="23" t="s">
        <v>1480</v>
      </c>
      <c r="J214" s="23" t="s">
        <v>1577</v>
      </c>
      <c r="K214" s="23" t="s">
        <v>1578</v>
      </c>
      <c r="L214" s="23"/>
      <c r="M214" s="2">
        <v>0</v>
      </c>
      <c r="N214" s="2">
        <v>0</v>
      </c>
      <c r="O214" s="2">
        <v>23.5</v>
      </c>
      <c r="P214" s="2">
        <v>23.5</v>
      </c>
      <c r="Q214" s="2">
        <v>23.5</v>
      </c>
      <c r="R214" s="2">
        <v>23.5</v>
      </c>
      <c r="S214" s="2">
        <v>23.5</v>
      </c>
      <c r="T214" s="2">
        <v>23.5</v>
      </c>
      <c r="U214" s="116">
        <f t="shared" si="6"/>
        <v>141</v>
      </c>
      <c r="V214" s="324">
        <v>23.58</v>
      </c>
      <c r="W214" s="324">
        <v>23.58</v>
      </c>
      <c r="X214" s="324">
        <v>23.58</v>
      </c>
      <c r="Y214" s="324">
        <v>23.58</v>
      </c>
      <c r="Z214" s="324">
        <v>23.58</v>
      </c>
      <c r="AA214" s="324">
        <v>23.58</v>
      </c>
      <c r="AB214" s="324">
        <v>23.58</v>
      </c>
      <c r="AC214" s="324">
        <v>23.58</v>
      </c>
      <c r="AD214" s="324">
        <v>23.58</v>
      </c>
      <c r="AE214" s="324">
        <v>23.58</v>
      </c>
      <c r="AF214" s="324">
        <v>23.58</v>
      </c>
      <c r="AG214" s="324">
        <v>23.58</v>
      </c>
      <c r="AH214" s="140">
        <f t="shared" si="7"/>
        <v>282.95999999999992</v>
      </c>
    </row>
    <row r="215" spans="1:34" ht="12.75" customHeight="1" x14ac:dyDescent="0.25">
      <c r="A215" s="202"/>
      <c r="B215" s="22" t="s">
        <v>57</v>
      </c>
      <c r="C215" s="34" t="s">
        <v>44</v>
      </c>
      <c r="D215" s="22" t="s">
        <v>1059</v>
      </c>
      <c r="E215" s="22" t="s">
        <v>56</v>
      </c>
      <c r="F215" s="25" t="s">
        <v>1065</v>
      </c>
      <c r="G215" s="373" t="s">
        <v>563</v>
      </c>
      <c r="H215" s="37" t="s">
        <v>1364</v>
      </c>
      <c r="I215" s="23" t="s">
        <v>374</v>
      </c>
      <c r="J215" s="23" t="s">
        <v>375</v>
      </c>
      <c r="K215" s="23" t="s">
        <v>376</v>
      </c>
      <c r="L215" s="23"/>
      <c r="M215" s="2">
        <v>456.630859375</v>
      </c>
      <c r="N215" s="2">
        <v>350</v>
      </c>
      <c r="O215" s="2">
        <v>160</v>
      </c>
      <c r="P215" s="2">
        <v>600</v>
      </c>
      <c r="Q215" s="2">
        <v>400</v>
      </c>
      <c r="R215" s="2">
        <v>650</v>
      </c>
      <c r="S215" s="2">
        <v>150</v>
      </c>
      <c r="T215" s="2">
        <v>1000</v>
      </c>
      <c r="U215" s="116">
        <f t="shared" si="6"/>
        <v>3766.630859375</v>
      </c>
      <c r="V215" s="324">
        <v>1150</v>
      </c>
      <c r="W215" s="324">
        <v>1261</v>
      </c>
      <c r="X215" s="324">
        <v>1200</v>
      </c>
      <c r="Y215" s="324">
        <v>1250</v>
      </c>
      <c r="Z215" s="324">
        <v>1200</v>
      </c>
      <c r="AA215" s="324">
        <v>1250</v>
      </c>
      <c r="AB215" s="324">
        <v>1200</v>
      </c>
      <c r="AC215" s="324">
        <v>0</v>
      </c>
      <c r="AD215" s="324">
        <v>0</v>
      </c>
      <c r="AE215" s="324">
        <v>0</v>
      </c>
      <c r="AF215" s="324">
        <v>0</v>
      </c>
      <c r="AG215" s="324">
        <v>0</v>
      </c>
      <c r="AH215" s="140">
        <f t="shared" si="7"/>
        <v>8511</v>
      </c>
    </row>
    <row r="216" spans="1:34" ht="12.75" customHeight="1" x14ac:dyDescent="0.25">
      <c r="A216" s="202"/>
      <c r="B216" s="22" t="s">
        <v>57</v>
      </c>
      <c r="C216" s="34" t="s">
        <v>44</v>
      </c>
      <c r="D216" s="22" t="s">
        <v>1059</v>
      </c>
      <c r="E216" s="22" t="s">
        <v>56</v>
      </c>
      <c r="F216" s="25" t="s">
        <v>1063</v>
      </c>
      <c r="G216" s="373" t="s">
        <v>565</v>
      </c>
      <c r="H216" s="37" t="s">
        <v>59</v>
      </c>
      <c r="I216" s="23" t="s">
        <v>1138</v>
      </c>
      <c r="J216" s="23" t="s">
        <v>790</v>
      </c>
      <c r="K216" s="23" t="s">
        <v>791</v>
      </c>
      <c r="L216" s="23"/>
      <c r="M216" s="2">
        <v>0</v>
      </c>
      <c r="N216" s="2">
        <v>0</v>
      </c>
      <c r="O216" s="2">
        <v>0</v>
      </c>
      <c r="P216" s="2">
        <v>0</v>
      </c>
      <c r="Q216" s="2">
        <v>0</v>
      </c>
      <c r="R216" s="2">
        <v>0</v>
      </c>
      <c r="S216" s="2">
        <v>0</v>
      </c>
      <c r="T216" s="2">
        <v>0</v>
      </c>
      <c r="U216" s="116">
        <f t="shared" si="6"/>
        <v>0</v>
      </c>
      <c r="V216" s="324">
        <v>0</v>
      </c>
      <c r="W216" s="324">
        <v>0</v>
      </c>
      <c r="X216" s="324">
        <v>0</v>
      </c>
      <c r="Y216" s="324">
        <v>150</v>
      </c>
      <c r="Z216" s="324">
        <v>0</v>
      </c>
      <c r="AA216" s="324">
        <v>0</v>
      </c>
      <c r="AB216" s="324">
        <v>0</v>
      </c>
      <c r="AC216" s="324">
        <v>159</v>
      </c>
      <c r="AD216" s="324">
        <v>0</v>
      </c>
      <c r="AE216" s="324">
        <v>0</v>
      </c>
      <c r="AF216" s="324">
        <v>0</v>
      </c>
      <c r="AG216" s="324">
        <v>250</v>
      </c>
      <c r="AH216" s="140">
        <f t="shared" si="7"/>
        <v>559</v>
      </c>
    </row>
    <row r="217" spans="1:34" ht="12.75" customHeight="1" x14ac:dyDescent="0.25">
      <c r="A217" s="202"/>
      <c r="B217" s="22" t="s">
        <v>57</v>
      </c>
      <c r="C217" s="34" t="s">
        <v>44</v>
      </c>
      <c r="D217" s="22" t="s">
        <v>1059</v>
      </c>
      <c r="E217" s="22" t="s">
        <v>56</v>
      </c>
      <c r="F217" s="25" t="s">
        <v>1063</v>
      </c>
      <c r="G217" s="373" t="s">
        <v>1144</v>
      </c>
      <c r="H217" s="37" t="s">
        <v>1383</v>
      </c>
      <c r="I217" s="23" t="s">
        <v>1145</v>
      </c>
      <c r="J217" s="23" t="s">
        <v>756</v>
      </c>
      <c r="K217" s="23" t="s">
        <v>1146</v>
      </c>
      <c r="L217" s="23"/>
      <c r="M217" s="2">
        <v>11.423999786376953</v>
      </c>
      <c r="N217" s="2">
        <v>54</v>
      </c>
      <c r="O217" s="2">
        <v>0</v>
      </c>
      <c r="P217" s="2">
        <v>0</v>
      </c>
      <c r="Q217" s="2">
        <v>42.576000000000001</v>
      </c>
      <c r="R217" s="2">
        <v>54</v>
      </c>
      <c r="S217" s="2">
        <v>0</v>
      </c>
      <c r="T217" s="2">
        <v>54</v>
      </c>
      <c r="U217" s="116">
        <f t="shared" si="6"/>
        <v>215.99999978637695</v>
      </c>
      <c r="V217" s="324">
        <v>0</v>
      </c>
      <c r="W217" s="324">
        <v>0</v>
      </c>
      <c r="X217" s="324">
        <v>36</v>
      </c>
      <c r="Y217" s="324">
        <v>0</v>
      </c>
      <c r="Z217" s="324">
        <v>0</v>
      </c>
      <c r="AA217" s="324">
        <v>36</v>
      </c>
      <c r="AB217" s="324">
        <v>0</v>
      </c>
      <c r="AC217" s="324">
        <v>0</v>
      </c>
      <c r="AD217" s="324">
        <v>36</v>
      </c>
      <c r="AE217" s="324">
        <v>0</v>
      </c>
      <c r="AF217" s="324">
        <v>0</v>
      </c>
      <c r="AG217" s="324">
        <v>36</v>
      </c>
      <c r="AH217" s="140">
        <f t="shared" si="7"/>
        <v>144</v>
      </c>
    </row>
    <row r="218" spans="1:34" ht="12.75" customHeight="1" x14ac:dyDescent="0.25">
      <c r="A218" s="202"/>
      <c r="B218" s="22" t="s">
        <v>57</v>
      </c>
      <c r="C218" s="34" t="s">
        <v>44</v>
      </c>
      <c r="D218" s="22" t="s">
        <v>1059</v>
      </c>
      <c r="E218" s="22" t="s">
        <v>56</v>
      </c>
      <c r="F218" s="25" t="s">
        <v>1065</v>
      </c>
      <c r="G218" s="373" t="s">
        <v>1163</v>
      </c>
      <c r="H218" s="37" t="s">
        <v>1381</v>
      </c>
      <c r="I218" s="23" t="s">
        <v>335</v>
      </c>
      <c r="J218" s="23" t="s">
        <v>336</v>
      </c>
      <c r="K218" s="23" t="s">
        <v>337</v>
      </c>
      <c r="L218" s="23"/>
      <c r="M218" s="2">
        <v>96.815998077392578</v>
      </c>
      <c r="N218" s="2">
        <v>26</v>
      </c>
      <c r="O218" s="2">
        <v>15</v>
      </c>
      <c r="P218" s="2">
        <v>15</v>
      </c>
      <c r="Q218" s="2">
        <v>15</v>
      </c>
      <c r="R218" s="2">
        <v>15</v>
      </c>
      <c r="S218" s="2">
        <v>15</v>
      </c>
      <c r="T218" s="2">
        <v>15</v>
      </c>
      <c r="U218" s="116">
        <f t="shared" si="6"/>
        <v>212.81599807739258</v>
      </c>
      <c r="V218" s="324">
        <v>50</v>
      </c>
      <c r="W218" s="324">
        <v>50</v>
      </c>
      <c r="X218" s="324">
        <v>50</v>
      </c>
      <c r="Y218" s="324">
        <v>50</v>
      </c>
      <c r="Z218" s="324">
        <v>87</v>
      </c>
      <c r="AA218" s="324">
        <v>0</v>
      </c>
      <c r="AB218" s="324">
        <v>150</v>
      </c>
      <c r="AC218" s="324">
        <v>100</v>
      </c>
      <c r="AD218" s="324">
        <v>0</v>
      </c>
      <c r="AE218" s="324">
        <v>0</v>
      </c>
      <c r="AF218" s="324">
        <v>0</v>
      </c>
      <c r="AG218" s="324">
        <v>0</v>
      </c>
      <c r="AH218" s="140">
        <f t="shared" si="7"/>
        <v>537</v>
      </c>
    </row>
    <row r="219" spans="1:34" ht="12.75" customHeight="1" x14ac:dyDescent="0.25">
      <c r="A219" s="202"/>
      <c r="B219" s="22" t="s">
        <v>57</v>
      </c>
      <c r="C219" s="34" t="s">
        <v>44</v>
      </c>
      <c r="D219" s="22" t="s">
        <v>1059</v>
      </c>
      <c r="E219" s="22" t="s">
        <v>56</v>
      </c>
      <c r="F219" s="25" t="s">
        <v>1063</v>
      </c>
      <c r="G219" s="373" t="s">
        <v>565</v>
      </c>
      <c r="H219" s="37" t="s">
        <v>59</v>
      </c>
      <c r="I219" s="23" t="s">
        <v>778</v>
      </c>
      <c r="J219" s="23" t="s">
        <v>779</v>
      </c>
      <c r="K219" s="23" t="s">
        <v>780</v>
      </c>
      <c r="L219" s="23"/>
      <c r="M219" s="2">
        <v>0</v>
      </c>
      <c r="N219" s="2">
        <v>0</v>
      </c>
      <c r="O219" s="2">
        <v>0</v>
      </c>
      <c r="P219" s="2">
        <v>0</v>
      </c>
      <c r="Q219" s="2">
        <v>0</v>
      </c>
      <c r="R219" s="2">
        <v>0</v>
      </c>
      <c r="S219" s="2">
        <v>0</v>
      </c>
      <c r="T219" s="2">
        <v>0</v>
      </c>
      <c r="U219" s="116">
        <f t="shared" si="6"/>
        <v>0</v>
      </c>
      <c r="V219" s="324">
        <v>0</v>
      </c>
      <c r="W219" s="324">
        <v>0</v>
      </c>
      <c r="X219" s="324">
        <v>0</v>
      </c>
      <c r="Y219" s="324">
        <v>0</v>
      </c>
      <c r="Z219" s="324">
        <v>0</v>
      </c>
      <c r="AA219" s="324">
        <v>0</v>
      </c>
      <c r="AB219" s="324">
        <v>0</v>
      </c>
      <c r="AC219" s="324">
        <v>0</v>
      </c>
      <c r="AD219" s="324">
        <v>0</v>
      </c>
      <c r="AE219" s="324">
        <v>0</v>
      </c>
      <c r="AF219" s="324">
        <v>0</v>
      </c>
      <c r="AG219" s="324">
        <v>0</v>
      </c>
      <c r="AH219" s="140">
        <f t="shared" si="7"/>
        <v>0</v>
      </c>
    </row>
    <row r="220" spans="1:34" ht="12.75" customHeight="1" x14ac:dyDescent="0.25">
      <c r="A220" s="202"/>
      <c r="B220" s="22" t="s">
        <v>57</v>
      </c>
      <c r="C220" s="34" t="s">
        <v>44</v>
      </c>
      <c r="D220" s="22" t="s">
        <v>1059</v>
      </c>
      <c r="E220" s="22" t="s">
        <v>56</v>
      </c>
      <c r="F220" s="25" t="s">
        <v>1063</v>
      </c>
      <c r="G220" s="373" t="s">
        <v>565</v>
      </c>
      <c r="H220" s="37" t="s">
        <v>59</v>
      </c>
      <c r="I220" s="23" t="s">
        <v>410</v>
      </c>
      <c r="J220" s="23" t="s">
        <v>781</v>
      </c>
      <c r="K220" s="23" t="s">
        <v>782</v>
      </c>
      <c r="L220" s="23"/>
      <c r="M220" s="2">
        <v>0</v>
      </c>
      <c r="N220" s="2">
        <v>0</v>
      </c>
      <c r="O220" s="2">
        <v>0</v>
      </c>
      <c r="P220" s="2">
        <v>0</v>
      </c>
      <c r="Q220" s="2">
        <v>0</v>
      </c>
      <c r="R220" s="2">
        <v>0</v>
      </c>
      <c r="S220" s="2">
        <v>0</v>
      </c>
      <c r="T220" s="2">
        <v>0</v>
      </c>
      <c r="U220" s="116">
        <f t="shared" si="6"/>
        <v>0</v>
      </c>
      <c r="V220" s="324">
        <v>0</v>
      </c>
      <c r="W220" s="324">
        <v>0</v>
      </c>
      <c r="X220" s="324">
        <v>0</v>
      </c>
      <c r="Y220" s="324">
        <v>0</v>
      </c>
      <c r="Z220" s="324">
        <v>0</v>
      </c>
      <c r="AA220" s="324">
        <v>0</v>
      </c>
      <c r="AB220" s="324">
        <v>0</v>
      </c>
      <c r="AC220" s="324">
        <v>0</v>
      </c>
      <c r="AD220" s="324">
        <v>0</v>
      </c>
      <c r="AE220" s="324">
        <v>0</v>
      </c>
      <c r="AF220" s="324">
        <v>0</v>
      </c>
      <c r="AG220" s="324">
        <v>0</v>
      </c>
      <c r="AH220" s="140">
        <f t="shared" si="7"/>
        <v>0</v>
      </c>
    </row>
    <row r="221" spans="1:34" ht="12.75" customHeight="1" x14ac:dyDescent="0.25">
      <c r="A221" s="202"/>
      <c r="B221" s="22" t="s">
        <v>57</v>
      </c>
      <c r="C221" s="34" t="s">
        <v>44</v>
      </c>
      <c r="D221" s="22" t="s">
        <v>1059</v>
      </c>
      <c r="E221" s="22" t="s">
        <v>56</v>
      </c>
      <c r="F221" s="25" t="s">
        <v>1063</v>
      </c>
      <c r="G221" s="373" t="s">
        <v>757</v>
      </c>
      <c r="H221" s="37" t="s">
        <v>1330</v>
      </c>
      <c r="I221" s="23" t="s">
        <v>341</v>
      </c>
      <c r="J221" s="23" t="s">
        <v>342</v>
      </c>
      <c r="K221" s="23" t="s">
        <v>343</v>
      </c>
      <c r="L221" s="23"/>
      <c r="M221" s="2">
        <v>64.575159072875977</v>
      </c>
      <c r="N221" s="2">
        <v>72.628309999999999</v>
      </c>
      <c r="O221" s="2">
        <v>33.799999999999997</v>
      </c>
      <c r="P221" s="2">
        <v>0</v>
      </c>
      <c r="Q221" s="2">
        <v>0</v>
      </c>
      <c r="R221" s="2">
        <v>0</v>
      </c>
      <c r="S221" s="2">
        <v>0</v>
      </c>
      <c r="T221" s="2">
        <v>0</v>
      </c>
      <c r="U221" s="116">
        <f t="shared" si="6"/>
        <v>171.00346907287599</v>
      </c>
      <c r="V221" s="324">
        <v>30</v>
      </c>
      <c r="W221" s="324">
        <v>30</v>
      </c>
      <c r="X221" s="324">
        <v>0</v>
      </c>
      <c r="Y221" s="324">
        <v>0</v>
      </c>
      <c r="Z221" s="324">
        <v>0</v>
      </c>
      <c r="AA221" s="324">
        <v>0</v>
      </c>
      <c r="AB221" s="324">
        <v>0</v>
      </c>
      <c r="AC221" s="324">
        <v>0</v>
      </c>
      <c r="AD221" s="324">
        <v>0</v>
      </c>
      <c r="AE221" s="324">
        <v>0</v>
      </c>
      <c r="AF221" s="324">
        <v>0</v>
      </c>
      <c r="AG221" s="324">
        <v>0</v>
      </c>
      <c r="AH221" s="140">
        <f t="shared" si="7"/>
        <v>60</v>
      </c>
    </row>
    <row r="222" spans="1:34" ht="12.75" customHeight="1" x14ac:dyDescent="0.25">
      <c r="A222" s="202"/>
      <c r="B222" s="22" t="s">
        <v>57</v>
      </c>
      <c r="C222" s="34" t="s">
        <v>44</v>
      </c>
      <c r="D222" s="22" t="s">
        <v>1059</v>
      </c>
      <c r="E222" s="22" t="s">
        <v>56</v>
      </c>
      <c r="F222" s="25" t="s">
        <v>1065</v>
      </c>
      <c r="G222" s="373" t="s">
        <v>565</v>
      </c>
      <c r="H222" s="37" t="s">
        <v>59</v>
      </c>
      <c r="I222" s="23" t="s">
        <v>391</v>
      </c>
      <c r="J222" s="23" t="s">
        <v>392</v>
      </c>
      <c r="K222" s="23" t="s">
        <v>393</v>
      </c>
      <c r="L222" s="23"/>
      <c r="M222" s="2">
        <v>0</v>
      </c>
      <c r="N222" s="2">
        <v>0</v>
      </c>
      <c r="O222" s="2">
        <v>0</v>
      </c>
      <c r="P222" s="2">
        <v>0</v>
      </c>
      <c r="Q222" s="2">
        <v>0</v>
      </c>
      <c r="R222" s="2">
        <v>0</v>
      </c>
      <c r="S222" s="2">
        <v>0</v>
      </c>
      <c r="T222" s="2">
        <v>0</v>
      </c>
      <c r="U222" s="116">
        <f t="shared" si="6"/>
        <v>0</v>
      </c>
      <c r="V222" s="324">
        <v>0</v>
      </c>
      <c r="W222" s="324">
        <v>0</v>
      </c>
      <c r="X222" s="324">
        <v>0</v>
      </c>
      <c r="Y222" s="324">
        <v>0</v>
      </c>
      <c r="Z222" s="324">
        <v>0</v>
      </c>
      <c r="AA222" s="324">
        <v>0</v>
      </c>
      <c r="AB222" s="324">
        <v>0</v>
      </c>
      <c r="AC222" s="324">
        <v>0</v>
      </c>
      <c r="AD222" s="324">
        <v>0</v>
      </c>
      <c r="AE222" s="324">
        <v>0</v>
      </c>
      <c r="AF222" s="324">
        <v>0</v>
      </c>
      <c r="AG222" s="324">
        <v>0</v>
      </c>
      <c r="AH222" s="140">
        <f t="shared" si="7"/>
        <v>0</v>
      </c>
    </row>
    <row r="223" spans="1:34" ht="12.75" customHeight="1" x14ac:dyDescent="0.25">
      <c r="A223" s="202"/>
      <c r="B223" s="22" t="s">
        <v>57</v>
      </c>
      <c r="C223" s="34" t="s">
        <v>44</v>
      </c>
      <c r="D223" s="22" t="s">
        <v>1058</v>
      </c>
      <c r="E223" s="22" t="s">
        <v>56</v>
      </c>
      <c r="F223" s="25" t="s">
        <v>1062</v>
      </c>
      <c r="G223" s="373" t="s">
        <v>565</v>
      </c>
      <c r="H223" s="37" t="s">
        <v>59</v>
      </c>
      <c r="I223" s="23" t="s">
        <v>359</v>
      </c>
      <c r="J223" s="23" t="s">
        <v>360</v>
      </c>
      <c r="K223" s="23" t="s">
        <v>361</v>
      </c>
      <c r="L223" s="23"/>
      <c r="M223" s="2">
        <v>0</v>
      </c>
      <c r="N223" s="2">
        <v>0</v>
      </c>
      <c r="O223" s="2">
        <v>0</v>
      </c>
      <c r="P223" s="2">
        <v>0</v>
      </c>
      <c r="Q223" s="2">
        <v>0</v>
      </c>
      <c r="R223" s="2">
        <v>0</v>
      </c>
      <c r="S223" s="2">
        <v>0</v>
      </c>
      <c r="T223" s="2">
        <v>0</v>
      </c>
      <c r="U223" s="116">
        <f t="shared" si="6"/>
        <v>0</v>
      </c>
      <c r="V223" s="324">
        <v>0</v>
      </c>
      <c r="W223" s="324">
        <v>0</v>
      </c>
      <c r="X223" s="324">
        <v>0</v>
      </c>
      <c r="Y223" s="324">
        <v>0</v>
      </c>
      <c r="Z223" s="324">
        <v>0</v>
      </c>
      <c r="AA223" s="324">
        <v>0</v>
      </c>
      <c r="AB223" s="324">
        <v>0</v>
      </c>
      <c r="AC223" s="324">
        <v>0</v>
      </c>
      <c r="AD223" s="324">
        <v>0</v>
      </c>
      <c r="AE223" s="324">
        <v>0</v>
      </c>
      <c r="AF223" s="324">
        <v>0</v>
      </c>
      <c r="AG223" s="324">
        <v>0</v>
      </c>
      <c r="AH223" s="140">
        <f t="shared" si="7"/>
        <v>0</v>
      </c>
    </row>
    <row r="224" spans="1:34" ht="12.75" customHeight="1" x14ac:dyDescent="0.25">
      <c r="A224" s="202"/>
      <c r="B224" s="22" t="s">
        <v>57</v>
      </c>
      <c r="C224" s="34" t="s">
        <v>44</v>
      </c>
      <c r="D224" s="22" t="s">
        <v>1059</v>
      </c>
      <c r="E224" s="22" t="s">
        <v>56</v>
      </c>
      <c r="F224" s="25" t="s">
        <v>1063</v>
      </c>
      <c r="G224" s="373" t="s">
        <v>1181</v>
      </c>
      <c r="H224" s="37" t="s">
        <v>1182</v>
      </c>
      <c r="I224" s="23" t="s">
        <v>1183</v>
      </c>
      <c r="J224" s="23" t="s">
        <v>1184</v>
      </c>
      <c r="K224" s="23" t="s">
        <v>59</v>
      </c>
      <c r="L224" s="23"/>
      <c r="M224" s="2">
        <v>10.502650260925293</v>
      </c>
      <c r="N224" s="2">
        <v>0</v>
      </c>
      <c r="O224" s="2">
        <v>0</v>
      </c>
      <c r="P224" s="2">
        <v>0</v>
      </c>
      <c r="Q224" s="2">
        <v>0</v>
      </c>
      <c r="R224" s="2">
        <v>0</v>
      </c>
      <c r="S224" s="2">
        <v>0</v>
      </c>
      <c r="T224" s="2">
        <v>0</v>
      </c>
      <c r="U224" s="116">
        <f t="shared" si="6"/>
        <v>10.502650260925293</v>
      </c>
      <c r="V224" s="324">
        <v>0</v>
      </c>
      <c r="W224" s="324">
        <v>0</v>
      </c>
      <c r="X224" s="324">
        <v>0</v>
      </c>
      <c r="Y224" s="324">
        <v>0</v>
      </c>
      <c r="Z224" s="324">
        <v>0</v>
      </c>
      <c r="AA224" s="324">
        <v>0</v>
      </c>
      <c r="AB224" s="324">
        <v>0</v>
      </c>
      <c r="AC224" s="324">
        <v>0</v>
      </c>
      <c r="AD224" s="324">
        <v>0</v>
      </c>
      <c r="AE224" s="324">
        <v>0</v>
      </c>
      <c r="AF224" s="324">
        <v>0</v>
      </c>
      <c r="AG224" s="324">
        <v>0</v>
      </c>
      <c r="AH224" s="140">
        <f t="shared" si="7"/>
        <v>0</v>
      </c>
    </row>
    <row r="225" spans="1:34" ht="12.75" customHeight="1" x14ac:dyDescent="0.25">
      <c r="A225" s="202"/>
      <c r="B225" s="22" t="s">
        <v>57</v>
      </c>
      <c r="C225" s="34" t="s">
        <v>44</v>
      </c>
      <c r="D225" s="22" t="s">
        <v>1059</v>
      </c>
      <c r="E225" s="22" t="s">
        <v>56</v>
      </c>
      <c r="F225" s="25" t="s">
        <v>1063</v>
      </c>
      <c r="G225" s="373" t="s">
        <v>565</v>
      </c>
      <c r="H225" s="37" t="s">
        <v>59</v>
      </c>
      <c r="I225" s="23" t="s">
        <v>387</v>
      </c>
      <c r="J225" s="23" t="s">
        <v>774</v>
      </c>
      <c r="K225" s="23" t="s">
        <v>775</v>
      </c>
      <c r="L225" s="23"/>
      <c r="M225" s="2">
        <v>0</v>
      </c>
      <c r="N225" s="2">
        <v>0</v>
      </c>
      <c r="O225" s="2">
        <v>0</v>
      </c>
      <c r="P225" s="2">
        <v>0</v>
      </c>
      <c r="Q225" s="2">
        <v>0</v>
      </c>
      <c r="R225" s="2">
        <v>0</v>
      </c>
      <c r="S225" s="2">
        <v>0</v>
      </c>
      <c r="T225" s="2">
        <v>0</v>
      </c>
      <c r="U225" s="116">
        <f t="shared" si="6"/>
        <v>0</v>
      </c>
      <c r="V225" s="324">
        <v>20</v>
      </c>
      <c r="W225" s="324">
        <v>20</v>
      </c>
      <c r="X225" s="324">
        <v>40</v>
      </c>
      <c r="Y225" s="324">
        <v>20</v>
      </c>
      <c r="Z225" s="324">
        <v>20</v>
      </c>
      <c r="AA225" s="324">
        <v>40</v>
      </c>
      <c r="AB225" s="324">
        <v>40</v>
      </c>
      <c r="AC225" s="324">
        <v>40</v>
      </c>
      <c r="AD225" s="324">
        <v>40</v>
      </c>
      <c r="AE225" s="324">
        <v>40</v>
      </c>
      <c r="AF225" s="324">
        <v>40</v>
      </c>
      <c r="AG225" s="324">
        <v>40</v>
      </c>
      <c r="AH225" s="140">
        <f t="shared" si="7"/>
        <v>400</v>
      </c>
    </row>
    <row r="226" spans="1:34" ht="12.75" customHeight="1" x14ac:dyDescent="0.25">
      <c r="A226" s="202"/>
      <c r="B226" s="22" t="s">
        <v>57</v>
      </c>
      <c r="C226" s="34" t="s">
        <v>44</v>
      </c>
      <c r="D226" s="22" t="s">
        <v>1059</v>
      </c>
      <c r="E226" s="22" t="s">
        <v>56</v>
      </c>
      <c r="F226" s="25" t="s">
        <v>1063</v>
      </c>
      <c r="G226" s="373" t="s">
        <v>1177</v>
      </c>
      <c r="H226" s="37" t="s">
        <v>1178</v>
      </c>
      <c r="I226" s="23" t="s">
        <v>1179</v>
      </c>
      <c r="J226" s="23" t="s">
        <v>1180</v>
      </c>
      <c r="K226" s="23" t="s">
        <v>59</v>
      </c>
      <c r="L226" s="23"/>
      <c r="M226" s="2">
        <v>14.010740280151367</v>
      </c>
      <c r="N226" s="2">
        <v>0</v>
      </c>
      <c r="O226" s="2">
        <v>0</v>
      </c>
      <c r="P226" s="2">
        <v>0</v>
      </c>
      <c r="Q226" s="2">
        <v>0</v>
      </c>
      <c r="R226" s="2">
        <v>0</v>
      </c>
      <c r="S226" s="2">
        <v>0</v>
      </c>
      <c r="T226" s="2">
        <v>0</v>
      </c>
      <c r="U226" s="116">
        <f t="shared" si="6"/>
        <v>14.010740280151367</v>
      </c>
      <c r="V226" s="324">
        <v>0</v>
      </c>
      <c r="W226" s="324">
        <v>0</v>
      </c>
      <c r="X226" s="324">
        <v>0</v>
      </c>
      <c r="Y226" s="324">
        <v>0</v>
      </c>
      <c r="Z226" s="324">
        <v>0</v>
      </c>
      <c r="AA226" s="324">
        <v>0</v>
      </c>
      <c r="AB226" s="324">
        <v>0</v>
      </c>
      <c r="AC226" s="324">
        <v>0</v>
      </c>
      <c r="AD226" s="324">
        <v>0</v>
      </c>
      <c r="AE226" s="324">
        <v>0</v>
      </c>
      <c r="AF226" s="324">
        <v>0</v>
      </c>
      <c r="AG226" s="324">
        <v>0</v>
      </c>
      <c r="AH226" s="140">
        <f t="shared" si="7"/>
        <v>0</v>
      </c>
    </row>
    <row r="227" spans="1:34" ht="12.75" customHeight="1" x14ac:dyDescent="0.25">
      <c r="A227" s="202"/>
      <c r="B227" s="22" t="s">
        <v>57</v>
      </c>
      <c r="C227" s="34" t="s">
        <v>44</v>
      </c>
      <c r="D227" s="22" t="s">
        <v>1059</v>
      </c>
      <c r="E227" s="22" t="s">
        <v>56</v>
      </c>
      <c r="F227" s="25" t="s">
        <v>1063</v>
      </c>
      <c r="G227" s="373" t="s">
        <v>1185</v>
      </c>
      <c r="H227" s="37" t="s">
        <v>1186</v>
      </c>
      <c r="I227" s="23" t="s">
        <v>1187</v>
      </c>
      <c r="J227" s="23" t="s">
        <v>1188</v>
      </c>
      <c r="K227" s="23" t="s">
        <v>59</v>
      </c>
      <c r="L227" s="23"/>
      <c r="M227" s="2">
        <v>9.5870800018310547</v>
      </c>
      <c r="N227" s="2">
        <v>0</v>
      </c>
      <c r="O227" s="2">
        <v>0</v>
      </c>
      <c r="P227" s="2">
        <v>0</v>
      </c>
      <c r="Q227" s="2">
        <v>0</v>
      </c>
      <c r="R227" s="2">
        <v>0</v>
      </c>
      <c r="S227" s="2">
        <v>0</v>
      </c>
      <c r="T227" s="2">
        <v>0</v>
      </c>
      <c r="U227" s="116">
        <f t="shared" si="6"/>
        <v>9.5870800018310547</v>
      </c>
      <c r="V227" s="324">
        <v>0</v>
      </c>
      <c r="W227" s="324">
        <v>0</v>
      </c>
      <c r="X227" s="324">
        <v>0</v>
      </c>
      <c r="Y227" s="324">
        <v>0</v>
      </c>
      <c r="Z227" s="324">
        <v>0</v>
      </c>
      <c r="AA227" s="324">
        <v>0</v>
      </c>
      <c r="AB227" s="324">
        <v>0</v>
      </c>
      <c r="AC227" s="324">
        <v>0</v>
      </c>
      <c r="AD227" s="324">
        <v>0</v>
      </c>
      <c r="AE227" s="324">
        <v>0</v>
      </c>
      <c r="AF227" s="324">
        <v>0</v>
      </c>
      <c r="AG227" s="324">
        <v>0</v>
      </c>
      <c r="AH227" s="140">
        <f t="shared" si="7"/>
        <v>0</v>
      </c>
    </row>
    <row r="228" spans="1:34" ht="12.75" customHeight="1" x14ac:dyDescent="0.25">
      <c r="A228" s="202"/>
      <c r="B228" s="22" t="s">
        <v>57</v>
      </c>
      <c r="C228" s="34" t="s">
        <v>44</v>
      </c>
      <c r="D228" s="22" t="s">
        <v>1059</v>
      </c>
      <c r="E228" s="22" t="s">
        <v>56</v>
      </c>
      <c r="F228" s="25" t="s">
        <v>1063</v>
      </c>
      <c r="G228" s="373" t="s">
        <v>1050</v>
      </c>
      <c r="H228" s="37" t="s">
        <v>1389</v>
      </c>
      <c r="I228" s="23" t="s">
        <v>1022</v>
      </c>
      <c r="J228" s="23" t="s">
        <v>1053</v>
      </c>
      <c r="K228" s="23" t="s">
        <v>1054</v>
      </c>
      <c r="L228" s="23"/>
      <c r="M228" s="2">
        <v>0</v>
      </c>
      <c r="N228" s="2">
        <v>30</v>
      </c>
      <c r="O228" s="2">
        <v>31.8</v>
      </c>
      <c r="P228" s="2">
        <v>31.8</v>
      </c>
      <c r="Q228" s="2">
        <v>30</v>
      </c>
      <c r="R228" s="2">
        <v>30</v>
      </c>
      <c r="S228" s="2">
        <v>31.8</v>
      </c>
      <c r="T228" s="2">
        <v>61.8</v>
      </c>
      <c r="U228" s="116">
        <f t="shared" si="6"/>
        <v>247.2</v>
      </c>
      <c r="V228" s="324">
        <v>0</v>
      </c>
      <c r="W228" s="324">
        <v>0</v>
      </c>
      <c r="X228" s="324">
        <v>92.7</v>
      </c>
      <c r="Y228" s="324">
        <v>0</v>
      </c>
      <c r="Z228" s="324">
        <v>0</v>
      </c>
      <c r="AA228" s="324">
        <v>92.7</v>
      </c>
      <c r="AB228" s="324">
        <v>0</v>
      </c>
      <c r="AC228" s="324">
        <v>0</v>
      </c>
      <c r="AD228" s="324">
        <v>0</v>
      </c>
      <c r="AE228" s="324">
        <v>0</v>
      </c>
      <c r="AF228" s="324">
        <v>0</v>
      </c>
      <c r="AG228" s="324">
        <v>0</v>
      </c>
      <c r="AH228" s="140">
        <f t="shared" si="7"/>
        <v>185.4</v>
      </c>
    </row>
    <row r="229" spans="1:34" ht="12.75" customHeight="1" x14ac:dyDescent="0.25">
      <c r="A229" s="202"/>
      <c r="B229" s="22" t="s">
        <v>57</v>
      </c>
      <c r="C229" s="34" t="s">
        <v>44</v>
      </c>
      <c r="D229" s="22" t="s">
        <v>1059</v>
      </c>
      <c r="E229" s="22" t="s">
        <v>56</v>
      </c>
      <c r="F229" s="25" t="s">
        <v>1063</v>
      </c>
      <c r="G229" s="373" t="s">
        <v>758</v>
      </c>
      <c r="H229" s="37" t="s">
        <v>1326</v>
      </c>
      <c r="I229" s="23" t="s">
        <v>344</v>
      </c>
      <c r="J229" s="23" t="s">
        <v>345</v>
      </c>
      <c r="K229" s="23" t="s">
        <v>346</v>
      </c>
      <c r="L229" s="23"/>
      <c r="M229" s="2">
        <v>52.566009163856506</v>
      </c>
      <c r="N229" s="2">
        <v>63.433999999999997</v>
      </c>
      <c r="O229" s="2">
        <v>30</v>
      </c>
      <c r="P229" s="2">
        <v>0</v>
      </c>
      <c r="Q229" s="2">
        <v>0</v>
      </c>
      <c r="R229" s="2">
        <v>0</v>
      </c>
      <c r="S229" s="2">
        <v>0</v>
      </c>
      <c r="T229" s="2">
        <v>0</v>
      </c>
      <c r="U229" s="116">
        <f t="shared" si="6"/>
        <v>146.0000091638565</v>
      </c>
      <c r="V229" s="324">
        <v>20</v>
      </c>
      <c r="W229" s="324">
        <v>35</v>
      </c>
      <c r="X229" s="324">
        <v>0</v>
      </c>
      <c r="Y229" s="324">
        <v>0</v>
      </c>
      <c r="Z229" s="324">
        <v>0</v>
      </c>
      <c r="AA229" s="324">
        <v>0</v>
      </c>
      <c r="AB229" s="324">
        <v>0</v>
      </c>
      <c r="AC229" s="324">
        <v>0</v>
      </c>
      <c r="AD229" s="324">
        <v>0</v>
      </c>
      <c r="AE229" s="324">
        <v>0</v>
      </c>
      <c r="AF229" s="324">
        <v>0</v>
      </c>
      <c r="AG229" s="324">
        <v>0</v>
      </c>
      <c r="AH229" s="140">
        <f t="shared" si="7"/>
        <v>55</v>
      </c>
    </row>
    <row r="230" spans="1:34" ht="12.75" customHeight="1" x14ac:dyDescent="0.25">
      <c r="A230" s="202"/>
      <c r="B230" s="22" t="s">
        <v>57</v>
      </c>
      <c r="C230" s="34" t="s">
        <v>44</v>
      </c>
      <c r="D230" s="22" t="s">
        <v>1059</v>
      </c>
      <c r="E230" s="22" t="s">
        <v>56</v>
      </c>
      <c r="F230" s="25" t="s">
        <v>1063</v>
      </c>
      <c r="G230" s="373" t="s">
        <v>767</v>
      </c>
      <c r="H230" s="37" t="s">
        <v>1365</v>
      </c>
      <c r="I230" s="23" t="s">
        <v>768</v>
      </c>
      <c r="J230" s="23" t="s">
        <v>769</v>
      </c>
      <c r="K230" s="23" t="s">
        <v>770</v>
      </c>
      <c r="L230" s="23"/>
      <c r="M230" s="2">
        <v>0</v>
      </c>
      <c r="N230" s="2">
        <v>45</v>
      </c>
      <c r="O230" s="2">
        <v>0</v>
      </c>
      <c r="P230" s="2">
        <v>45</v>
      </c>
      <c r="Q230" s="2">
        <v>0</v>
      </c>
      <c r="R230" s="2">
        <v>30</v>
      </c>
      <c r="S230" s="2">
        <v>0</v>
      </c>
      <c r="T230" s="2">
        <v>0</v>
      </c>
      <c r="U230" s="116">
        <f t="shared" si="6"/>
        <v>120</v>
      </c>
      <c r="V230" s="324">
        <v>0</v>
      </c>
      <c r="W230" s="324">
        <v>15</v>
      </c>
      <c r="X230" s="324"/>
      <c r="Y230" s="324">
        <v>45</v>
      </c>
      <c r="Z230" s="324">
        <v>0</v>
      </c>
      <c r="AA230" s="324">
        <v>0</v>
      </c>
      <c r="AB230" s="324">
        <v>0</v>
      </c>
      <c r="AC230" s="324">
        <v>0</v>
      </c>
      <c r="AD230" s="324">
        <v>0</v>
      </c>
      <c r="AE230" s="324">
        <v>0</v>
      </c>
      <c r="AF230" s="324">
        <v>0</v>
      </c>
      <c r="AG230" s="324">
        <v>0</v>
      </c>
      <c r="AH230" s="140">
        <f t="shared" si="7"/>
        <v>60</v>
      </c>
    </row>
    <row r="231" spans="1:34" ht="12.75" customHeight="1" x14ac:dyDescent="0.25">
      <c r="A231" s="202"/>
      <c r="B231" s="22" t="s">
        <v>57</v>
      </c>
      <c r="C231" s="34" t="s">
        <v>44</v>
      </c>
      <c r="D231" s="22" t="s">
        <v>318</v>
      </c>
      <c r="E231" s="22" t="s">
        <v>56</v>
      </c>
      <c r="F231" s="25" t="s">
        <v>1035</v>
      </c>
      <c r="G231" s="373" t="s">
        <v>565</v>
      </c>
      <c r="H231" s="37" t="s">
        <v>59</v>
      </c>
      <c r="I231" s="23" t="s">
        <v>1001</v>
      </c>
      <c r="J231" s="23"/>
      <c r="K231" s="23"/>
      <c r="L231" s="23"/>
      <c r="M231" s="2">
        <v>0</v>
      </c>
      <c r="N231" s="2">
        <v>0</v>
      </c>
      <c r="O231" s="2">
        <v>0</v>
      </c>
      <c r="P231" s="2">
        <v>0</v>
      </c>
      <c r="Q231" s="2">
        <v>0</v>
      </c>
      <c r="R231" s="2">
        <v>400</v>
      </c>
      <c r="S231" s="2">
        <v>0</v>
      </c>
      <c r="T231" s="2">
        <v>0</v>
      </c>
      <c r="U231" s="116">
        <f t="shared" si="6"/>
        <v>400</v>
      </c>
      <c r="V231" s="324">
        <v>0</v>
      </c>
      <c r="W231" s="324">
        <v>0</v>
      </c>
      <c r="X231" s="324">
        <v>0</v>
      </c>
      <c r="Y231" s="324">
        <v>0</v>
      </c>
      <c r="Z231" s="324">
        <v>0</v>
      </c>
      <c r="AA231" s="324">
        <v>0</v>
      </c>
      <c r="AB231" s="324">
        <v>0</v>
      </c>
      <c r="AC231" s="324">
        <v>0</v>
      </c>
      <c r="AD231" s="324">
        <v>0</v>
      </c>
      <c r="AE231" s="324">
        <v>0</v>
      </c>
      <c r="AF231" s="324">
        <v>0</v>
      </c>
      <c r="AG231" s="324">
        <v>0</v>
      </c>
      <c r="AH231" s="140">
        <f t="shared" si="7"/>
        <v>0</v>
      </c>
    </row>
    <row r="232" spans="1:34" ht="12.75" customHeight="1" x14ac:dyDescent="0.25">
      <c r="A232" s="202"/>
      <c r="B232" s="22" t="s">
        <v>57</v>
      </c>
      <c r="C232" s="34" t="s">
        <v>44</v>
      </c>
      <c r="D232" s="22" t="s">
        <v>318</v>
      </c>
      <c r="E232" s="22" t="s">
        <v>56</v>
      </c>
      <c r="F232" s="25" t="s">
        <v>1066</v>
      </c>
      <c r="G232" s="373" t="s">
        <v>1164</v>
      </c>
      <c r="H232" s="37" t="s">
        <v>1165</v>
      </c>
      <c r="I232" s="23" t="s">
        <v>1166</v>
      </c>
      <c r="J232" s="23"/>
      <c r="K232" s="23"/>
      <c r="L232" s="23"/>
      <c r="M232" s="2">
        <v>0</v>
      </c>
      <c r="N232" s="2">
        <v>0</v>
      </c>
      <c r="O232" s="2">
        <v>0</v>
      </c>
      <c r="P232" s="2">
        <v>0</v>
      </c>
      <c r="Q232" s="2">
        <v>1080</v>
      </c>
      <c r="R232" s="2">
        <v>145</v>
      </c>
      <c r="S232" s="2">
        <v>0</v>
      </c>
      <c r="T232" s="2">
        <v>0</v>
      </c>
      <c r="U232" s="116">
        <f t="shared" si="6"/>
        <v>1225</v>
      </c>
      <c r="V232" s="324">
        <v>0</v>
      </c>
      <c r="W232" s="324">
        <v>0</v>
      </c>
      <c r="X232" s="324">
        <v>0</v>
      </c>
      <c r="Y232" s="324">
        <v>0</v>
      </c>
      <c r="Z232" s="324">
        <v>0</v>
      </c>
      <c r="AA232" s="324">
        <v>0</v>
      </c>
      <c r="AB232" s="324">
        <v>0</v>
      </c>
      <c r="AC232" s="324">
        <v>0</v>
      </c>
      <c r="AD232" s="324">
        <v>0</v>
      </c>
      <c r="AE232" s="324">
        <v>0</v>
      </c>
      <c r="AF232" s="324">
        <v>0</v>
      </c>
      <c r="AG232" s="324">
        <v>0</v>
      </c>
      <c r="AH232" s="140">
        <f t="shared" si="7"/>
        <v>0</v>
      </c>
    </row>
    <row r="233" spans="1:34" ht="12.75" customHeight="1" x14ac:dyDescent="0.25">
      <c r="A233" s="202"/>
      <c r="B233" s="22" t="s">
        <v>57</v>
      </c>
      <c r="C233" s="34" t="s">
        <v>44</v>
      </c>
      <c r="D233" s="22" t="s">
        <v>318</v>
      </c>
      <c r="E233" s="22" t="s">
        <v>56</v>
      </c>
      <c r="F233" s="25" t="s">
        <v>1066</v>
      </c>
      <c r="G233" s="373" t="s">
        <v>565</v>
      </c>
      <c r="H233" s="37" t="s">
        <v>59</v>
      </c>
      <c r="I233" s="23" t="s">
        <v>1575</v>
      </c>
      <c r="J233" s="23" t="s">
        <v>839</v>
      </c>
      <c r="K233" s="23" t="s">
        <v>840</v>
      </c>
      <c r="L233" s="23"/>
      <c r="M233" s="2">
        <v>0</v>
      </c>
      <c r="N233" s="2">
        <v>0</v>
      </c>
      <c r="O233" s="2">
        <v>0</v>
      </c>
      <c r="P233" s="2">
        <v>0</v>
      </c>
      <c r="Q233" s="2">
        <v>0</v>
      </c>
      <c r="R233" s="2">
        <v>0</v>
      </c>
      <c r="S233" s="2">
        <v>0</v>
      </c>
      <c r="T233" s="2">
        <v>0</v>
      </c>
      <c r="U233" s="116">
        <f t="shared" si="6"/>
        <v>0</v>
      </c>
      <c r="V233" s="324">
        <v>0</v>
      </c>
      <c r="W233" s="324">
        <v>200</v>
      </c>
      <c r="X233" s="324">
        <v>1760</v>
      </c>
      <c r="Y233" s="324">
        <v>222</v>
      </c>
      <c r="Z233" s="324">
        <v>0</v>
      </c>
      <c r="AA233" s="324">
        <v>0</v>
      </c>
      <c r="AB233" s="324">
        <v>0</v>
      </c>
      <c r="AC233" s="324">
        <v>0</v>
      </c>
      <c r="AD233" s="324">
        <v>0</v>
      </c>
      <c r="AE233" s="324">
        <v>0</v>
      </c>
      <c r="AF233" s="324">
        <v>0</v>
      </c>
      <c r="AG233" s="324">
        <v>0</v>
      </c>
      <c r="AH233" s="140">
        <f t="shared" si="7"/>
        <v>2182</v>
      </c>
    </row>
    <row r="234" spans="1:34" ht="12.75" customHeight="1" x14ac:dyDescent="0.25">
      <c r="A234" s="202"/>
      <c r="B234" s="22" t="s">
        <v>57</v>
      </c>
      <c r="C234" s="34" t="s">
        <v>44</v>
      </c>
      <c r="D234" s="22" t="s">
        <v>318</v>
      </c>
      <c r="E234" s="22" t="s">
        <v>56</v>
      </c>
      <c r="F234" s="25" t="s">
        <v>1066</v>
      </c>
      <c r="G234" s="373" t="s">
        <v>1647</v>
      </c>
      <c r="H234" s="37" t="s">
        <v>1648</v>
      </c>
      <c r="I234" s="23" t="s">
        <v>1574</v>
      </c>
      <c r="J234" s="23" t="s">
        <v>1689</v>
      </c>
      <c r="K234" s="23" t="s">
        <v>1696</v>
      </c>
      <c r="L234" s="23"/>
      <c r="M234" s="2">
        <v>0</v>
      </c>
      <c r="N234" s="2">
        <v>0</v>
      </c>
      <c r="O234" s="2">
        <v>0</v>
      </c>
      <c r="P234" s="2">
        <v>0</v>
      </c>
      <c r="Q234" s="2">
        <v>0</v>
      </c>
      <c r="R234" s="2">
        <v>620</v>
      </c>
      <c r="S234" s="2">
        <v>140</v>
      </c>
      <c r="T234" s="2">
        <v>0</v>
      </c>
      <c r="U234" s="116">
        <f t="shared" si="6"/>
        <v>760</v>
      </c>
      <c r="V234" s="324">
        <v>0</v>
      </c>
      <c r="W234" s="324">
        <v>0</v>
      </c>
      <c r="X234" s="324">
        <v>0</v>
      </c>
      <c r="Y234" s="324">
        <v>0</v>
      </c>
      <c r="Z234" s="324">
        <v>0</v>
      </c>
      <c r="AA234" s="324">
        <v>0</v>
      </c>
      <c r="AB234" s="324">
        <v>0</v>
      </c>
      <c r="AC234" s="324">
        <v>0</v>
      </c>
      <c r="AD234" s="324">
        <v>0</v>
      </c>
      <c r="AE234" s="324">
        <v>0</v>
      </c>
      <c r="AF234" s="324">
        <v>0</v>
      </c>
      <c r="AG234" s="324">
        <v>0</v>
      </c>
      <c r="AH234" s="140">
        <f t="shared" si="7"/>
        <v>0</v>
      </c>
    </row>
    <row r="235" spans="1:34" ht="12.75" customHeight="1" x14ac:dyDescent="0.25">
      <c r="A235" s="202"/>
      <c r="B235" s="22" t="s">
        <v>57</v>
      </c>
      <c r="C235" s="34" t="s">
        <v>44</v>
      </c>
      <c r="D235" s="22" t="s">
        <v>1059</v>
      </c>
      <c r="E235" s="22" t="s">
        <v>56</v>
      </c>
      <c r="F235" s="25" t="s">
        <v>1063</v>
      </c>
      <c r="G235" s="373" t="s">
        <v>1147</v>
      </c>
      <c r="H235" s="37" t="s">
        <v>1388</v>
      </c>
      <c r="I235" s="23" t="s">
        <v>1023</v>
      </c>
      <c r="J235" s="23" t="s">
        <v>1148</v>
      </c>
      <c r="K235" s="23" t="s">
        <v>1057</v>
      </c>
      <c r="L235" s="23"/>
      <c r="M235" s="2">
        <v>0</v>
      </c>
      <c r="N235" s="2">
        <v>38</v>
      </c>
      <c r="O235" s="2">
        <v>0</v>
      </c>
      <c r="P235" s="2">
        <v>0</v>
      </c>
      <c r="Q235" s="2">
        <v>38</v>
      </c>
      <c r="R235" s="2">
        <v>0</v>
      </c>
      <c r="S235" s="2">
        <v>38</v>
      </c>
      <c r="T235" s="2">
        <v>40.5</v>
      </c>
      <c r="U235" s="116">
        <f t="shared" si="6"/>
        <v>154.5</v>
      </c>
      <c r="V235" s="324">
        <v>20</v>
      </c>
      <c r="W235" s="324">
        <v>20</v>
      </c>
      <c r="X235" s="324">
        <v>23</v>
      </c>
      <c r="Y235" s="324">
        <v>30</v>
      </c>
      <c r="Z235" s="324">
        <v>0</v>
      </c>
      <c r="AA235" s="324">
        <v>0</v>
      </c>
      <c r="AB235" s="324">
        <v>0</v>
      </c>
      <c r="AC235" s="324">
        <v>0</v>
      </c>
      <c r="AD235" s="324">
        <v>0</v>
      </c>
      <c r="AE235" s="324">
        <v>0</v>
      </c>
      <c r="AF235" s="324">
        <v>0</v>
      </c>
      <c r="AG235" s="324">
        <v>0</v>
      </c>
      <c r="AH235" s="140">
        <f t="shared" si="7"/>
        <v>93</v>
      </c>
    </row>
    <row r="236" spans="1:34" ht="12.75" customHeight="1" x14ac:dyDescent="0.25">
      <c r="A236" s="202"/>
      <c r="B236" s="22" t="s">
        <v>57</v>
      </c>
      <c r="C236" s="34" t="s">
        <v>44</v>
      </c>
      <c r="D236" s="22" t="s">
        <v>1059</v>
      </c>
      <c r="E236" s="22" t="s">
        <v>56</v>
      </c>
      <c r="F236" s="25" t="s">
        <v>1065</v>
      </c>
      <c r="G236" s="373" t="s">
        <v>565</v>
      </c>
      <c r="H236" s="37" t="s">
        <v>59</v>
      </c>
      <c r="I236" s="23" t="s">
        <v>1598</v>
      </c>
      <c r="J236" s="23" t="s">
        <v>792</v>
      </c>
      <c r="K236" s="23" t="s">
        <v>793</v>
      </c>
      <c r="L236" s="23"/>
      <c r="M236" s="2">
        <v>0</v>
      </c>
      <c r="N236" s="2">
        <v>0</v>
      </c>
      <c r="O236" s="2">
        <v>0</v>
      </c>
      <c r="P236" s="2">
        <v>0</v>
      </c>
      <c r="Q236" s="2">
        <v>0</v>
      </c>
      <c r="R236" s="2">
        <v>0</v>
      </c>
      <c r="S236" s="2">
        <v>0</v>
      </c>
      <c r="T236" s="2">
        <v>0</v>
      </c>
      <c r="U236" s="116">
        <f t="shared" si="6"/>
        <v>0</v>
      </c>
      <c r="V236" s="324">
        <v>0</v>
      </c>
      <c r="W236" s="324">
        <v>0</v>
      </c>
      <c r="X236" s="324">
        <v>50</v>
      </c>
      <c r="Y236" s="324">
        <v>100</v>
      </c>
      <c r="Z236" s="324">
        <v>100</v>
      </c>
      <c r="AA236" s="324">
        <v>100</v>
      </c>
      <c r="AB236" s="324">
        <v>100</v>
      </c>
      <c r="AC236" s="324">
        <v>100</v>
      </c>
      <c r="AD236" s="324">
        <v>100</v>
      </c>
      <c r="AE236" s="324">
        <v>100</v>
      </c>
      <c r="AF236" s="324">
        <v>100</v>
      </c>
      <c r="AG236" s="324">
        <v>150</v>
      </c>
      <c r="AH236" s="140">
        <f t="shared" si="7"/>
        <v>1000</v>
      </c>
    </row>
    <row r="237" spans="1:34" ht="12.75" customHeight="1" x14ac:dyDescent="0.25">
      <c r="A237" s="202"/>
      <c r="B237" s="22" t="s">
        <v>57</v>
      </c>
      <c r="C237" s="34" t="s">
        <v>44</v>
      </c>
      <c r="D237" s="22" t="s">
        <v>1059</v>
      </c>
      <c r="E237" s="22" t="s">
        <v>56</v>
      </c>
      <c r="F237" s="25" t="s">
        <v>1063</v>
      </c>
      <c r="G237" s="373" t="s">
        <v>1189</v>
      </c>
      <c r="H237" s="37" t="s">
        <v>1190</v>
      </c>
      <c r="I237" s="23" t="s">
        <v>1722</v>
      </c>
      <c r="J237" s="23" t="s">
        <v>1191</v>
      </c>
      <c r="K237" s="23" t="s">
        <v>59</v>
      </c>
      <c r="L237" s="23"/>
      <c r="M237" s="2">
        <v>0.70901525020599365</v>
      </c>
      <c r="N237" s="2">
        <v>0</v>
      </c>
      <c r="O237" s="2">
        <v>0</v>
      </c>
      <c r="P237" s="2">
        <v>0</v>
      </c>
      <c r="Q237" s="2">
        <v>0</v>
      </c>
      <c r="R237" s="2">
        <v>0</v>
      </c>
      <c r="S237" s="2">
        <v>0</v>
      </c>
      <c r="T237" s="2">
        <v>0</v>
      </c>
      <c r="U237" s="116">
        <f t="shared" si="6"/>
        <v>0.70901525020599365</v>
      </c>
      <c r="V237" s="324">
        <v>0</v>
      </c>
      <c r="W237" s="324">
        <v>0</v>
      </c>
      <c r="X237" s="324">
        <v>0</v>
      </c>
      <c r="Y237" s="324">
        <v>0</v>
      </c>
      <c r="Z237" s="324">
        <v>0</v>
      </c>
      <c r="AA237" s="324">
        <v>0</v>
      </c>
      <c r="AB237" s="324">
        <v>0</v>
      </c>
      <c r="AC237" s="324">
        <v>0</v>
      </c>
      <c r="AD237" s="324">
        <v>0</v>
      </c>
      <c r="AE237" s="324">
        <v>0</v>
      </c>
      <c r="AF237" s="324">
        <v>0</v>
      </c>
      <c r="AG237" s="324">
        <v>0</v>
      </c>
      <c r="AH237" s="140">
        <f t="shared" si="7"/>
        <v>0</v>
      </c>
    </row>
    <row r="238" spans="1:34" ht="12.75" customHeight="1" x14ac:dyDescent="0.25">
      <c r="A238" s="202"/>
      <c r="B238" s="22" t="s">
        <v>57</v>
      </c>
      <c r="C238" s="34" t="s">
        <v>44</v>
      </c>
      <c r="D238" s="22" t="s">
        <v>1059</v>
      </c>
      <c r="E238" s="22" t="s">
        <v>56</v>
      </c>
      <c r="F238" s="25" t="s">
        <v>1063</v>
      </c>
      <c r="G238" s="373" t="s">
        <v>1049</v>
      </c>
      <c r="H238" s="37" t="s">
        <v>1384</v>
      </c>
      <c r="I238" s="23" t="s">
        <v>1721</v>
      </c>
      <c r="J238" s="23" t="s">
        <v>1599</v>
      </c>
      <c r="K238" s="23" t="s">
        <v>1601</v>
      </c>
      <c r="L238" s="23"/>
      <c r="M238" s="2">
        <v>0</v>
      </c>
      <c r="N238" s="2">
        <v>0</v>
      </c>
      <c r="O238" s="2">
        <v>0</v>
      </c>
      <c r="P238" s="2">
        <v>0</v>
      </c>
      <c r="Q238" s="2">
        <v>450</v>
      </c>
      <c r="R238" s="2">
        <v>450</v>
      </c>
      <c r="S238" s="2">
        <v>600</v>
      </c>
      <c r="T238" s="2">
        <v>600</v>
      </c>
      <c r="U238" s="116">
        <f t="shared" si="6"/>
        <v>2100</v>
      </c>
      <c r="V238" s="324">
        <v>600</v>
      </c>
      <c r="W238" s="324">
        <v>0</v>
      </c>
      <c r="X238" s="324">
        <v>0</v>
      </c>
      <c r="Y238" s="324">
        <v>0</v>
      </c>
      <c r="Z238" s="324">
        <v>0</v>
      </c>
      <c r="AA238" s="324">
        <v>0</v>
      </c>
      <c r="AB238" s="324">
        <v>0</v>
      </c>
      <c r="AC238" s="324">
        <v>600</v>
      </c>
      <c r="AD238" s="324">
        <v>600</v>
      </c>
      <c r="AE238" s="324">
        <v>600</v>
      </c>
      <c r="AF238" s="324">
        <v>600</v>
      </c>
      <c r="AG238" s="324">
        <v>600</v>
      </c>
      <c r="AH238" s="140">
        <f t="shared" si="7"/>
        <v>3600</v>
      </c>
    </row>
    <row r="239" spans="1:34" ht="12.75" customHeight="1" x14ac:dyDescent="0.25">
      <c r="A239" s="202"/>
      <c r="B239" s="22" t="s">
        <v>57</v>
      </c>
      <c r="C239" s="34" t="s">
        <v>44</v>
      </c>
      <c r="D239" s="22" t="s">
        <v>1059</v>
      </c>
      <c r="E239" s="22" t="s">
        <v>56</v>
      </c>
      <c r="F239" s="25" t="s">
        <v>1063</v>
      </c>
      <c r="G239" s="373" t="s">
        <v>1746</v>
      </c>
      <c r="H239" s="37" t="s">
        <v>1747</v>
      </c>
      <c r="I239" s="23" t="s">
        <v>1684</v>
      </c>
      <c r="J239" s="23" t="s">
        <v>1685</v>
      </c>
      <c r="K239" s="23" t="s">
        <v>1693</v>
      </c>
      <c r="L239" s="23"/>
      <c r="M239" s="2">
        <v>0</v>
      </c>
      <c r="N239" s="2">
        <v>0</v>
      </c>
      <c r="O239" s="2">
        <v>0</v>
      </c>
      <c r="P239" s="2">
        <v>0</v>
      </c>
      <c r="Q239" s="2">
        <v>0</v>
      </c>
      <c r="R239" s="2">
        <v>0</v>
      </c>
      <c r="S239" s="2">
        <v>0</v>
      </c>
      <c r="T239" s="2">
        <v>0</v>
      </c>
      <c r="U239" s="116">
        <f t="shared" si="6"/>
        <v>0</v>
      </c>
      <c r="V239" s="324">
        <v>23.965199999999999</v>
      </c>
      <c r="W239" s="324">
        <v>23.965199999999999</v>
      </c>
      <c r="X239" s="324">
        <v>23.965199999999999</v>
      </c>
      <c r="Y239" s="324">
        <v>23.965199999999999</v>
      </c>
      <c r="Z239" s="324">
        <v>23.965199999999999</v>
      </c>
      <c r="AA239" s="324">
        <v>23.965199999999999</v>
      </c>
      <c r="AB239" s="324">
        <v>23.965199999999999</v>
      </c>
      <c r="AC239" s="324">
        <v>23.965199999999999</v>
      </c>
      <c r="AD239" s="324">
        <v>23.965199999999999</v>
      </c>
      <c r="AE239" s="324">
        <v>23.965199999999999</v>
      </c>
      <c r="AF239" s="324">
        <v>23.965199999999999</v>
      </c>
      <c r="AG239" s="324">
        <v>27.3888</v>
      </c>
      <c r="AH239" s="140">
        <f t="shared" si="7"/>
        <v>291.00600000000003</v>
      </c>
    </row>
    <row r="240" spans="1:34" ht="12.75" customHeight="1" x14ac:dyDescent="0.25">
      <c r="A240" s="202"/>
      <c r="B240" s="22" t="s">
        <v>57</v>
      </c>
      <c r="C240" s="34" t="s">
        <v>44</v>
      </c>
      <c r="D240" s="22" t="s">
        <v>1059</v>
      </c>
      <c r="E240" s="22" t="s">
        <v>56</v>
      </c>
      <c r="F240" s="25" t="s">
        <v>1063</v>
      </c>
      <c r="G240" s="373" t="s">
        <v>1748</v>
      </c>
      <c r="H240" s="37" t="s">
        <v>1749</v>
      </c>
      <c r="I240" s="23" t="s">
        <v>1678</v>
      </c>
      <c r="J240" s="23" t="s">
        <v>1679</v>
      </c>
      <c r="K240" s="23" t="s">
        <v>1680</v>
      </c>
      <c r="L240" s="23"/>
      <c r="M240" s="2">
        <v>0</v>
      </c>
      <c r="N240" s="2">
        <v>0</v>
      </c>
      <c r="O240" s="2">
        <v>0</v>
      </c>
      <c r="P240" s="2">
        <v>8.56</v>
      </c>
      <c r="Q240" s="2">
        <v>0</v>
      </c>
      <c r="R240" s="2">
        <v>8.56</v>
      </c>
      <c r="S240" s="2">
        <v>0</v>
      </c>
      <c r="T240" s="2">
        <v>8.56</v>
      </c>
      <c r="U240" s="116">
        <f t="shared" si="6"/>
        <v>25.68</v>
      </c>
      <c r="V240" s="324">
        <v>8.5589999999999993</v>
      </c>
      <c r="W240" s="324">
        <v>0</v>
      </c>
      <c r="X240" s="324">
        <v>8.5589999999999993</v>
      </c>
      <c r="Y240" s="324">
        <v>8.5589999999999993</v>
      </c>
      <c r="Z240" s="324">
        <v>8.5589999999999993</v>
      </c>
      <c r="AA240" s="324">
        <v>0</v>
      </c>
      <c r="AB240" s="324">
        <v>8.5589999999999993</v>
      </c>
      <c r="AC240" s="324">
        <v>8.5589999999999993</v>
      </c>
      <c r="AD240" s="324">
        <v>8.5589999999999993</v>
      </c>
      <c r="AE240" s="324">
        <v>0</v>
      </c>
      <c r="AF240" s="324">
        <v>8.5589999999999993</v>
      </c>
      <c r="AG240" s="324">
        <v>8.5589999999999993</v>
      </c>
      <c r="AH240" s="140">
        <f t="shared" si="7"/>
        <v>77.030999999999992</v>
      </c>
    </row>
    <row r="241" spans="1:34" ht="12.75" customHeight="1" x14ac:dyDescent="0.25">
      <c r="A241" s="202"/>
      <c r="B241" s="22" t="s">
        <v>57</v>
      </c>
      <c r="C241" s="34" t="s">
        <v>44</v>
      </c>
      <c r="D241" s="22" t="s">
        <v>1059</v>
      </c>
      <c r="E241" s="22" t="s">
        <v>56</v>
      </c>
      <c r="F241" s="25" t="s">
        <v>1063</v>
      </c>
      <c r="G241" s="373" t="s">
        <v>755</v>
      </c>
      <c r="H241" s="37" t="s">
        <v>1332</v>
      </c>
      <c r="I241" s="23" t="s">
        <v>338</v>
      </c>
      <c r="J241" s="23" t="s">
        <v>339</v>
      </c>
      <c r="K241" s="23" t="s">
        <v>340</v>
      </c>
      <c r="L241" s="23"/>
      <c r="M241" s="2">
        <v>159.43008804321289</v>
      </c>
      <c r="N241" s="2">
        <v>30</v>
      </c>
      <c r="O241" s="2">
        <v>25</v>
      </c>
      <c r="P241" s="2">
        <v>20</v>
      </c>
      <c r="Q241" s="2">
        <v>52.07</v>
      </c>
      <c r="R241" s="2">
        <v>32.200000000000003</v>
      </c>
      <c r="S241" s="2">
        <v>43.497280000000003</v>
      </c>
      <c r="T241" s="2">
        <v>75</v>
      </c>
      <c r="U241" s="116">
        <f t="shared" si="6"/>
        <v>437.19736804321286</v>
      </c>
      <c r="V241" s="324">
        <v>15</v>
      </c>
      <c r="W241" s="324">
        <v>20</v>
      </c>
      <c r="X241" s="324">
        <v>15</v>
      </c>
      <c r="Y241" s="324">
        <v>12</v>
      </c>
      <c r="Z241" s="324">
        <v>15</v>
      </c>
      <c r="AA241" s="324">
        <v>15</v>
      </c>
      <c r="AB241" s="324">
        <v>30</v>
      </c>
      <c r="AC241" s="324">
        <v>30</v>
      </c>
      <c r="AD241" s="324">
        <v>20</v>
      </c>
      <c r="AE241" s="324">
        <v>20</v>
      </c>
      <c r="AF241" s="324">
        <v>25</v>
      </c>
      <c r="AG241" s="324">
        <v>40</v>
      </c>
      <c r="AH241" s="140">
        <f t="shared" si="7"/>
        <v>257</v>
      </c>
    </row>
    <row r="242" spans="1:34" ht="12.75" customHeight="1" x14ac:dyDescent="0.25">
      <c r="A242" s="202"/>
      <c r="B242" s="22" t="s">
        <v>57</v>
      </c>
      <c r="C242" s="34" t="s">
        <v>44</v>
      </c>
      <c r="D242" s="22" t="s">
        <v>318</v>
      </c>
      <c r="E242" s="22" t="s">
        <v>56</v>
      </c>
      <c r="F242" s="25" t="s">
        <v>1066</v>
      </c>
      <c r="G242" s="373" t="s">
        <v>1465</v>
      </c>
      <c r="H242" s="37" t="s">
        <v>1467</v>
      </c>
      <c r="I242" s="23" t="s">
        <v>831</v>
      </c>
      <c r="J242" s="23" t="s">
        <v>832</v>
      </c>
      <c r="K242" s="23" t="s">
        <v>833</v>
      </c>
      <c r="L242" s="23"/>
      <c r="M242" s="2">
        <v>0</v>
      </c>
      <c r="N242" s="2">
        <v>0</v>
      </c>
      <c r="O242" s="2">
        <v>0</v>
      </c>
      <c r="P242" s="2">
        <v>245</v>
      </c>
      <c r="Q242" s="2">
        <v>0</v>
      </c>
      <c r="R242" s="2">
        <v>0</v>
      </c>
      <c r="S242" s="2">
        <v>0</v>
      </c>
      <c r="T242" s="2">
        <v>0</v>
      </c>
      <c r="U242" s="116">
        <f t="shared" si="6"/>
        <v>245</v>
      </c>
      <c r="V242" s="324">
        <v>0</v>
      </c>
      <c r="W242" s="324">
        <v>0</v>
      </c>
      <c r="X242" s="324">
        <v>0</v>
      </c>
      <c r="Y242" s="324">
        <v>0</v>
      </c>
      <c r="Z242" s="324">
        <v>0</v>
      </c>
      <c r="AA242" s="324">
        <v>0</v>
      </c>
      <c r="AB242" s="324">
        <v>0</v>
      </c>
      <c r="AC242" s="324">
        <v>0</v>
      </c>
      <c r="AD242" s="324">
        <v>935</v>
      </c>
      <c r="AE242" s="324">
        <v>0</v>
      </c>
      <c r="AF242" s="324">
        <v>0</v>
      </c>
      <c r="AG242" s="324">
        <v>0</v>
      </c>
      <c r="AH242" s="140">
        <f t="shared" si="7"/>
        <v>935</v>
      </c>
    </row>
    <row r="243" spans="1:34" ht="12.75" customHeight="1" x14ac:dyDescent="0.25">
      <c r="A243" s="202"/>
      <c r="B243" s="22" t="s">
        <v>57</v>
      </c>
      <c r="C243" s="34" t="s">
        <v>44</v>
      </c>
      <c r="D243" s="22" t="s">
        <v>318</v>
      </c>
      <c r="E243" s="22" t="s">
        <v>56</v>
      </c>
      <c r="F243" s="25" t="s">
        <v>1066</v>
      </c>
      <c r="G243" s="373" t="s">
        <v>1752</v>
      </c>
      <c r="H243" s="37" t="s">
        <v>1753</v>
      </c>
      <c r="I243" s="23" t="s">
        <v>834</v>
      </c>
      <c r="J243" s="23" t="s">
        <v>835</v>
      </c>
      <c r="K243" s="23" t="s">
        <v>836</v>
      </c>
      <c r="L243" s="23"/>
      <c r="M243" s="2">
        <v>0</v>
      </c>
      <c r="N243" s="2">
        <v>0</v>
      </c>
      <c r="O243" s="2">
        <v>0</v>
      </c>
      <c r="P243" s="2">
        <v>0</v>
      </c>
      <c r="Q243" s="2">
        <v>0</v>
      </c>
      <c r="R243" s="2">
        <v>0</v>
      </c>
      <c r="S243" s="2">
        <v>700</v>
      </c>
      <c r="T243" s="2">
        <v>160</v>
      </c>
      <c r="U243" s="116">
        <f t="shared" si="6"/>
        <v>860</v>
      </c>
      <c r="V243" s="324">
        <v>250</v>
      </c>
      <c r="W243" s="324">
        <v>250</v>
      </c>
      <c r="X243" s="324">
        <v>0</v>
      </c>
      <c r="Y243" s="324">
        <v>0</v>
      </c>
      <c r="Z243" s="324">
        <v>0</v>
      </c>
      <c r="AA243" s="324">
        <v>0</v>
      </c>
      <c r="AB243" s="324">
        <v>0</v>
      </c>
      <c r="AC243" s="324">
        <v>0</v>
      </c>
      <c r="AD243" s="324">
        <v>0</v>
      </c>
      <c r="AE243" s="324">
        <v>0</v>
      </c>
      <c r="AF243" s="324">
        <v>0</v>
      </c>
      <c r="AG243" s="324">
        <v>0</v>
      </c>
      <c r="AH243" s="140">
        <f t="shared" si="7"/>
        <v>500</v>
      </c>
    </row>
    <row r="244" spans="1:34" ht="12.75" customHeight="1" x14ac:dyDescent="0.25">
      <c r="A244" s="202"/>
      <c r="B244" s="22" t="s">
        <v>57</v>
      </c>
      <c r="C244" s="34" t="s">
        <v>44</v>
      </c>
      <c r="D244" s="22" t="s">
        <v>318</v>
      </c>
      <c r="E244" s="22" t="s">
        <v>56</v>
      </c>
      <c r="F244" s="25" t="s">
        <v>1066</v>
      </c>
      <c r="G244" s="373" t="s">
        <v>565</v>
      </c>
      <c r="H244" s="37" t="s">
        <v>59</v>
      </c>
      <c r="I244" s="23" t="s">
        <v>1576</v>
      </c>
      <c r="J244" s="23" t="s">
        <v>837</v>
      </c>
      <c r="K244" s="23" t="s">
        <v>838</v>
      </c>
      <c r="L244" s="23"/>
      <c r="M244" s="2">
        <v>0</v>
      </c>
      <c r="N244" s="2">
        <v>0</v>
      </c>
      <c r="O244" s="2">
        <v>0</v>
      </c>
      <c r="P244" s="2">
        <v>0</v>
      </c>
      <c r="Q244" s="2">
        <v>0</v>
      </c>
      <c r="R244" s="2">
        <v>0</v>
      </c>
      <c r="S244" s="2">
        <v>0</v>
      </c>
      <c r="T244" s="2">
        <v>0</v>
      </c>
      <c r="U244" s="116">
        <f t="shared" si="6"/>
        <v>0</v>
      </c>
      <c r="V244" s="324">
        <v>0</v>
      </c>
      <c r="W244" s="324">
        <v>0</v>
      </c>
      <c r="X244" s="324">
        <v>0</v>
      </c>
      <c r="Y244" s="324">
        <v>0</v>
      </c>
      <c r="Z244" s="324">
        <v>0</v>
      </c>
      <c r="AA244" s="324">
        <v>1880</v>
      </c>
      <c r="AB244" s="324">
        <v>451</v>
      </c>
      <c r="AC244" s="324">
        <v>0</v>
      </c>
      <c r="AD244" s="324">
        <v>0</v>
      </c>
      <c r="AE244" s="324">
        <v>0</v>
      </c>
      <c r="AF244" s="324">
        <v>0</v>
      </c>
      <c r="AG244" s="324">
        <v>0</v>
      </c>
      <c r="AH244" s="140">
        <f t="shared" si="7"/>
        <v>2331</v>
      </c>
    </row>
    <row r="245" spans="1:34" ht="12.75" customHeight="1" x14ac:dyDescent="0.25">
      <c r="A245" s="202"/>
      <c r="B245" s="22" t="s">
        <v>57</v>
      </c>
      <c r="C245" s="34" t="s">
        <v>44</v>
      </c>
      <c r="D245" s="22" t="s">
        <v>1059</v>
      </c>
      <c r="E245" s="22" t="s">
        <v>56</v>
      </c>
      <c r="F245" s="25" t="s">
        <v>1063</v>
      </c>
      <c r="G245" s="373" t="s">
        <v>1750</v>
      </c>
      <c r="H245" s="37" t="s">
        <v>1751</v>
      </c>
      <c r="I245" s="23" t="s">
        <v>1025</v>
      </c>
      <c r="J245" s="23" t="s">
        <v>1688</v>
      </c>
      <c r="K245" s="23" t="s">
        <v>1695</v>
      </c>
      <c r="L245" s="23"/>
      <c r="M245" s="2">
        <v>0</v>
      </c>
      <c r="N245" s="2">
        <v>0</v>
      </c>
      <c r="O245" s="2">
        <v>0</v>
      </c>
      <c r="P245" s="2">
        <v>0</v>
      </c>
      <c r="Q245" s="2">
        <v>17.117999999999999</v>
      </c>
      <c r="R245" s="2">
        <v>17.117999999999999</v>
      </c>
      <c r="S245" s="2">
        <v>17.117999999999999</v>
      </c>
      <c r="T245" s="2">
        <v>17.117999999999999</v>
      </c>
      <c r="U245" s="116">
        <f t="shared" si="6"/>
        <v>68.471999999999994</v>
      </c>
      <c r="V245" s="324">
        <v>17.117999999999999</v>
      </c>
      <c r="W245" s="324">
        <v>17.117999999999999</v>
      </c>
      <c r="X245" s="324">
        <v>17.117999999999999</v>
      </c>
      <c r="Y245" s="324">
        <v>4.2794999999999996</v>
      </c>
      <c r="Z245" s="324">
        <v>4.2794999999999996</v>
      </c>
      <c r="AA245" s="324">
        <v>4.2794999999999996</v>
      </c>
      <c r="AB245" s="324">
        <v>4.2794999999999996</v>
      </c>
      <c r="AC245" s="324">
        <v>4.2794999999999996</v>
      </c>
      <c r="AD245" s="324">
        <v>4.2794999999999996</v>
      </c>
      <c r="AE245" s="324">
        <v>4.2794999999999996</v>
      </c>
      <c r="AF245" s="324">
        <v>4.2794999999999996</v>
      </c>
      <c r="AG245" s="324">
        <v>4.2794999999999996</v>
      </c>
      <c r="AH245" s="140">
        <f t="shared" si="7"/>
        <v>89.869499999999988</v>
      </c>
    </row>
    <row r="246" spans="1:34" ht="12.75" customHeight="1" x14ac:dyDescent="0.25">
      <c r="A246" s="202"/>
      <c r="B246" s="22" t="s">
        <v>57</v>
      </c>
      <c r="C246" s="34" t="s">
        <v>44</v>
      </c>
      <c r="D246" s="22" t="s">
        <v>318</v>
      </c>
      <c r="E246" s="22" t="s">
        <v>56</v>
      </c>
      <c r="F246" s="25" t="s">
        <v>1066</v>
      </c>
      <c r="G246" s="373" t="s">
        <v>1336</v>
      </c>
      <c r="H246" s="37" t="s">
        <v>1337</v>
      </c>
      <c r="I246" s="23" t="s">
        <v>823</v>
      </c>
      <c r="J246" s="23" t="s">
        <v>824</v>
      </c>
      <c r="K246" s="23" t="s">
        <v>825</v>
      </c>
      <c r="L246" s="23"/>
      <c r="M246" s="2">
        <v>0</v>
      </c>
      <c r="N246" s="2">
        <v>0</v>
      </c>
      <c r="O246" s="2">
        <v>0</v>
      </c>
      <c r="P246" s="2">
        <v>0</v>
      </c>
      <c r="Q246" s="2">
        <v>0</v>
      </c>
      <c r="R246" s="2">
        <v>0</v>
      </c>
      <c r="S246" s="2">
        <v>0</v>
      </c>
      <c r="T246" s="2">
        <v>0</v>
      </c>
      <c r="U246" s="116">
        <f t="shared" si="6"/>
        <v>0</v>
      </c>
      <c r="V246" s="324">
        <v>0</v>
      </c>
      <c r="W246" s="324">
        <v>0</v>
      </c>
      <c r="X246" s="324">
        <v>1115</v>
      </c>
      <c r="Y246" s="324">
        <v>268</v>
      </c>
      <c r="Z246" s="324">
        <v>0</v>
      </c>
      <c r="AA246" s="324">
        <v>0</v>
      </c>
      <c r="AB246" s="324">
        <v>0</v>
      </c>
      <c r="AC246" s="324">
        <v>0</v>
      </c>
      <c r="AD246" s="324">
        <v>0</v>
      </c>
      <c r="AE246" s="324">
        <v>0</v>
      </c>
      <c r="AF246" s="324">
        <v>0</v>
      </c>
      <c r="AG246" s="324">
        <v>0</v>
      </c>
      <c r="AH246" s="140">
        <f t="shared" si="7"/>
        <v>1383</v>
      </c>
    </row>
    <row r="247" spans="1:34" ht="12.75" customHeight="1" x14ac:dyDescent="0.25">
      <c r="A247" s="202"/>
      <c r="B247" s="22" t="s">
        <v>57</v>
      </c>
      <c r="C247" s="34" t="s">
        <v>44</v>
      </c>
      <c r="D247" s="22" t="s">
        <v>1059</v>
      </c>
      <c r="E247" s="22" t="s">
        <v>56</v>
      </c>
      <c r="F247" s="25" t="s">
        <v>1065</v>
      </c>
      <c r="G247" s="373" t="s">
        <v>1523</v>
      </c>
      <c r="H247" s="37" t="s">
        <v>1525</v>
      </c>
      <c r="I247" s="23" t="s">
        <v>1597</v>
      </c>
      <c r="J247" s="23" t="s">
        <v>330</v>
      </c>
      <c r="K247" s="23" t="s">
        <v>331</v>
      </c>
      <c r="L247" s="23"/>
      <c r="M247" s="2">
        <v>16.69773006439209</v>
      </c>
      <c r="N247" s="2">
        <v>35.170589999999997</v>
      </c>
      <c r="O247" s="2">
        <v>0</v>
      </c>
      <c r="P247" s="2">
        <v>0</v>
      </c>
      <c r="Q247" s="2">
        <v>0</v>
      </c>
      <c r="R247" s="2">
        <v>0</v>
      </c>
      <c r="S247" s="2">
        <v>0</v>
      </c>
      <c r="T247" s="2">
        <v>0</v>
      </c>
      <c r="U247" s="116">
        <f t="shared" si="6"/>
        <v>51.868320064392087</v>
      </c>
      <c r="V247" s="324">
        <v>0</v>
      </c>
      <c r="W247" s="324">
        <v>0</v>
      </c>
      <c r="X247" s="324">
        <v>0</v>
      </c>
      <c r="Y247" s="324">
        <v>0</v>
      </c>
      <c r="Z247" s="324">
        <v>0</v>
      </c>
      <c r="AA247" s="324">
        <v>0</v>
      </c>
      <c r="AB247" s="324">
        <v>0</v>
      </c>
      <c r="AC247" s="324">
        <v>0</v>
      </c>
      <c r="AD247" s="324">
        <v>0</v>
      </c>
      <c r="AE247" s="324">
        <v>0</v>
      </c>
      <c r="AF247" s="324">
        <v>0</v>
      </c>
      <c r="AG247" s="324">
        <v>0</v>
      </c>
      <c r="AH247" s="140">
        <f t="shared" si="7"/>
        <v>0</v>
      </c>
    </row>
    <row r="248" spans="1:34" ht="12.75" customHeight="1" x14ac:dyDescent="0.25">
      <c r="A248" s="202"/>
      <c r="B248" s="22" t="s">
        <v>57</v>
      </c>
      <c r="C248" s="34" t="s">
        <v>44</v>
      </c>
      <c r="D248" s="22" t="s">
        <v>1060</v>
      </c>
      <c r="E248" s="22" t="s">
        <v>56</v>
      </c>
      <c r="F248" s="25" t="s">
        <v>1064</v>
      </c>
      <c r="G248" s="373" t="s">
        <v>565</v>
      </c>
      <c r="H248" s="37" t="s">
        <v>59</v>
      </c>
      <c r="I248" s="23" t="s">
        <v>1725</v>
      </c>
      <c r="J248" s="23" t="s">
        <v>708</v>
      </c>
      <c r="K248" s="23" t="s">
        <v>59</v>
      </c>
      <c r="L248" s="23"/>
      <c r="M248" s="2">
        <v>0</v>
      </c>
      <c r="N248" s="2">
        <v>0</v>
      </c>
      <c r="O248" s="2">
        <v>0</v>
      </c>
      <c r="P248" s="2">
        <v>0</v>
      </c>
      <c r="Q248" s="2">
        <v>0</v>
      </c>
      <c r="R248" s="2">
        <v>0</v>
      </c>
      <c r="S248" s="2">
        <v>0</v>
      </c>
      <c r="T248" s="2">
        <v>0</v>
      </c>
      <c r="U248" s="116">
        <f t="shared" si="6"/>
        <v>0</v>
      </c>
      <c r="V248" s="324">
        <v>0</v>
      </c>
      <c r="W248" s="324">
        <v>0</v>
      </c>
      <c r="X248" s="324">
        <v>0</v>
      </c>
      <c r="Y248" s="324">
        <v>0</v>
      </c>
      <c r="Z248" s="324">
        <v>0</v>
      </c>
      <c r="AA248" s="324">
        <v>0</v>
      </c>
      <c r="AB248" s="324">
        <v>400</v>
      </c>
      <c r="AC248" s="324">
        <v>0</v>
      </c>
      <c r="AD248" s="324">
        <v>0</v>
      </c>
      <c r="AE248" s="324">
        <v>0</v>
      </c>
      <c r="AF248" s="324">
        <v>0</v>
      </c>
      <c r="AG248" s="324">
        <v>0</v>
      </c>
      <c r="AH248" s="140">
        <f t="shared" si="7"/>
        <v>400</v>
      </c>
    </row>
    <row r="249" spans="1:34" ht="12.75" customHeight="1" x14ac:dyDescent="0.25">
      <c r="A249" s="202"/>
      <c r="B249" s="22" t="s">
        <v>57</v>
      </c>
      <c r="C249" s="34" t="s">
        <v>44</v>
      </c>
      <c r="D249" s="22" t="s">
        <v>1059</v>
      </c>
      <c r="E249" s="22" t="s">
        <v>62</v>
      </c>
      <c r="F249" s="25" t="s">
        <v>1063</v>
      </c>
      <c r="G249" s="373" t="s">
        <v>565</v>
      </c>
      <c r="H249" s="37" t="s">
        <v>59</v>
      </c>
      <c r="I249" s="23" t="s">
        <v>548</v>
      </c>
      <c r="J249" s="23" t="s">
        <v>549</v>
      </c>
      <c r="K249" s="23" t="s">
        <v>550</v>
      </c>
      <c r="L249" s="23"/>
      <c r="M249" s="2">
        <v>0</v>
      </c>
      <c r="N249" s="2">
        <v>0</v>
      </c>
      <c r="O249" s="2">
        <v>0</v>
      </c>
      <c r="P249" s="2">
        <v>0</v>
      </c>
      <c r="Q249" s="2">
        <v>0</v>
      </c>
      <c r="R249" s="2">
        <v>0</v>
      </c>
      <c r="S249" s="2">
        <v>0</v>
      </c>
      <c r="T249" s="2">
        <v>0</v>
      </c>
      <c r="U249" s="116">
        <f t="shared" si="6"/>
        <v>0</v>
      </c>
      <c r="V249" s="324">
        <v>0</v>
      </c>
      <c r="W249" s="324">
        <v>0</v>
      </c>
      <c r="X249" s="324">
        <v>0</v>
      </c>
      <c r="Y249" s="324">
        <v>0</v>
      </c>
      <c r="Z249" s="324">
        <v>0</v>
      </c>
      <c r="AA249" s="324">
        <v>0</v>
      </c>
      <c r="AB249" s="324">
        <v>0</v>
      </c>
      <c r="AC249" s="324">
        <v>0</v>
      </c>
      <c r="AD249" s="324">
        <v>0</v>
      </c>
      <c r="AE249" s="324">
        <v>0</v>
      </c>
      <c r="AF249" s="324">
        <v>0</v>
      </c>
      <c r="AG249" s="324">
        <v>0</v>
      </c>
      <c r="AH249" s="140">
        <f t="shared" si="7"/>
        <v>0</v>
      </c>
    </row>
    <row r="250" spans="1:34" ht="12.75" customHeight="1" x14ac:dyDescent="0.25">
      <c r="A250" s="202"/>
      <c r="B250" s="22" t="s">
        <v>57</v>
      </c>
      <c r="C250" s="34" t="s">
        <v>44</v>
      </c>
      <c r="D250" s="22" t="s">
        <v>1058</v>
      </c>
      <c r="E250" s="22" t="s">
        <v>62</v>
      </c>
      <c r="F250" s="25" t="s">
        <v>1062</v>
      </c>
      <c r="G250" s="373" t="s">
        <v>565</v>
      </c>
      <c r="H250" s="37" t="s">
        <v>59</v>
      </c>
      <c r="I250" s="23" t="s">
        <v>542</v>
      </c>
      <c r="J250" s="23" t="s">
        <v>543</v>
      </c>
      <c r="K250" s="23" t="s">
        <v>544</v>
      </c>
      <c r="L250" s="23"/>
      <c r="M250" s="2">
        <v>0</v>
      </c>
      <c r="N250" s="2">
        <v>0</v>
      </c>
      <c r="O250" s="2">
        <v>0</v>
      </c>
      <c r="P250" s="2">
        <v>0</v>
      </c>
      <c r="Q250" s="2">
        <v>0</v>
      </c>
      <c r="R250" s="2">
        <v>0</v>
      </c>
      <c r="S250" s="2">
        <v>0</v>
      </c>
      <c r="T250" s="2">
        <v>0</v>
      </c>
      <c r="U250" s="116">
        <f t="shared" si="6"/>
        <v>0</v>
      </c>
      <c r="V250" s="324">
        <v>0</v>
      </c>
      <c r="W250" s="324">
        <v>0</v>
      </c>
      <c r="X250" s="324">
        <v>0</v>
      </c>
      <c r="Y250" s="324">
        <v>0</v>
      </c>
      <c r="Z250" s="324">
        <v>0</v>
      </c>
      <c r="AA250" s="324">
        <v>0</v>
      </c>
      <c r="AB250" s="324">
        <v>0</v>
      </c>
      <c r="AC250" s="324">
        <v>0</v>
      </c>
      <c r="AD250" s="324">
        <v>1500</v>
      </c>
      <c r="AE250" s="324">
        <v>0</v>
      </c>
      <c r="AF250" s="324">
        <v>0</v>
      </c>
      <c r="AG250" s="324">
        <v>0</v>
      </c>
      <c r="AH250" s="140">
        <f t="shared" si="7"/>
        <v>1500</v>
      </c>
    </row>
    <row r="251" spans="1:34" ht="12.75" customHeight="1" x14ac:dyDescent="0.25">
      <c r="A251" s="202"/>
      <c r="B251" s="22" t="s">
        <v>57</v>
      </c>
      <c r="C251" s="34" t="s">
        <v>44</v>
      </c>
      <c r="D251" s="22" t="s">
        <v>1059</v>
      </c>
      <c r="E251" s="22" t="s">
        <v>62</v>
      </c>
      <c r="F251" s="25" t="s">
        <v>1063</v>
      </c>
      <c r="G251" s="373" t="s">
        <v>565</v>
      </c>
      <c r="H251" s="37" t="s">
        <v>59</v>
      </c>
      <c r="I251" s="23" t="s">
        <v>551</v>
      </c>
      <c r="J251" s="23" t="s">
        <v>552</v>
      </c>
      <c r="K251" s="23" t="s">
        <v>553</v>
      </c>
      <c r="L251" s="23"/>
      <c r="M251" s="2">
        <v>0</v>
      </c>
      <c r="N251" s="2">
        <v>0</v>
      </c>
      <c r="O251" s="2">
        <v>0</v>
      </c>
      <c r="P251" s="2">
        <v>0</v>
      </c>
      <c r="Q251" s="2">
        <v>0</v>
      </c>
      <c r="R251" s="2">
        <v>0</v>
      </c>
      <c r="S251" s="2">
        <v>0</v>
      </c>
      <c r="T251" s="2">
        <v>0</v>
      </c>
      <c r="U251" s="116">
        <f t="shared" si="6"/>
        <v>0</v>
      </c>
      <c r="V251" s="324">
        <v>0</v>
      </c>
      <c r="W251" s="324">
        <v>0</v>
      </c>
      <c r="X251" s="324">
        <v>0</v>
      </c>
      <c r="Y251" s="324">
        <v>190</v>
      </c>
      <c r="Z251" s="324">
        <v>0</v>
      </c>
      <c r="AA251" s="324">
        <v>190</v>
      </c>
      <c r="AB251" s="324">
        <v>0</v>
      </c>
      <c r="AC251" s="324">
        <v>0</v>
      </c>
      <c r="AD251" s="324">
        <v>0</v>
      </c>
      <c r="AE251" s="324">
        <v>0</v>
      </c>
      <c r="AF251" s="324">
        <v>0</v>
      </c>
      <c r="AG251" s="324">
        <v>0</v>
      </c>
      <c r="AH251" s="140">
        <f t="shared" si="7"/>
        <v>380</v>
      </c>
    </row>
    <row r="252" spans="1:34" ht="12.75" customHeight="1" x14ac:dyDescent="0.25">
      <c r="A252" s="202"/>
      <c r="B252" s="22" t="s">
        <v>57</v>
      </c>
      <c r="C252" s="34" t="s">
        <v>44</v>
      </c>
      <c r="D252" s="22" t="s">
        <v>1058</v>
      </c>
      <c r="E252" s="22" t="s">
        <v>62</v>
      </c>
      <c r="F252" s="25" t="s">
        <v>1062</v>
      </c>
      <c r="G252" s="373" t="s">
        <v>1798</v>
      </c>
      <c r="H252" s="37" t="s">
        <v>1799</v>
      </c>
      <c r="I252" s="23" t="s">
        <v>854</v>
      </c>
      <c r="J252" s="23" t="s">
        <v>855</v>
      </c>
      <c r="K252" s="23" t="s">
        <v>856</v>
      </c>
      <c r="L252" s="23"/>
      <c r="M252" s="2">
        <v>0</v>
      </c>
      <c r="N252" s="2">
        <v>0</v>
      </c>
      <c r="O252" s="2">
        <v>12</v>
      </c>
      <c r="P252" s="2">
        <v>0</v>
      </c>
      <c r="Q252" s="2">
        <v>0</v>
      </c>
      <c r="R252" s="2">
        <v>0</v>
      </c>
      <c r="S252" s="2">
        <v>0</v>
      </c>
      <c r="T252" s="2">
        <v>0</v>
      </c>
      <c r="U252" s="116">
        <f t="shared" si="6"/>
        <v>12</v>
      </c>
      <c r="V252" s="324">
        <v>0</v>
      </c>
      <c r="W252" s="324">
        <v>0</v>
      </c>
      <c r="X252" s="324">
        <v>0</v>
      </c>
      <c r="Y252" s="324">
        <v>0</v>
      </c>
      <c r="Z252" s="324">
        <v>0</v>
      </c>
      <c r="AA252" s="324">
        <v>0</v>
      </c>
      <c r="AB252" s="324">
        <v>0</v>
      </c>
      <c r="AC252" s="324">
        <v>0</v>
      </c>
      <c r="AD252" s="324">
        <v>0</v>
      </c>
      <c r="AE252" s="324">
        <v>0</v>
      </c>
      <c r="AF252" s="324">
        <v>0</v>
      </c>
      <c r="AG252" s="324">
        <v>0</v>
      </c>
      <c r="AH252" s="140">
        <f t="shared" si="7"/>
        <v>0</v>
      </c>
    </row>
    <row r="253" spans="1:34" ht="12.75" customHeight="1" x14ac:dyDescent="0.25">
      <c r="A253" s="202"/>
      <c r="B253" s="22" t="s">
        <v>57</v>
      </c>
      <c r="C253" s="34" t="s">
        <v>44</v>
      </c>
      <c r="D253" s="22" t="s">
        <v>1060</v>
      </c>
      <c r="E253" s="22" t="s">
        <v>56</v>
      </c>
      <c r="F253" s="25" t="s">
        <v>1064</v>
      </c>
      <c r="G253" s="373" t="s">
        <v>1615</v>
      </c>
      <c r="H253" s="37" t="s">
        <v>1617</v>
      </c>
      <c r="I253" s="23" t="s">
        <v>1690</v>
      </c>
      <c r="J253" s="23" t="s">
        <v>1691</v>
      </c>
      <c r="K253" s="23" t="s">
        <v>1697</v>
      </c>
      <c r="L253" s="23"/>
      <c r="M253" s="2">
        <v>0</v>
      </c>
      <c r="N253" s="2">
        <v>800</v>
      </c>
      <c r="O253" s="2">
        <v>0</v>
      </c>
      <c r="P253" s="2">
        <v>0</v>
      </c>
      <c r="Q253" s="2">
        <v>0</v>
      </c>
      <c r="R253" s="2">
        <v>0</v>
      </c>
      <c r="S253" s="2">
        <v>0</v>
      </c>
      <c r="T253" s="2">
        <v>0</v>
      </c>
      <c r="U253" s="116">
        <f t="shared" si="6"/>
        <v>800</v>
      </c>
      <c r="V253" s="324"/>
      <c r="W253" s="324"/>
      <c r="X253" s="324"/>
      <c r="Y253" s="324"/>
      <c r="Z253" s="324"/>
      <c r="AA253" s="324"/>
      <c r="AB253" s="324"/>
      <c r="AC253" s="324"/>
      <c r="AD253" s="324"/>
      <c r="AE253" s="324"/>
      <c r="AF253" s="324"/>
      <c r="AG253" s="324"/>
      <c r="AH253" s="140">
        <f t="shared" si="7"/>
        <v>0</v>
      </c>
    </row>
    <row r="254" spans="1:34" ht="12.75" customHeight="1" x14ac:dyDescent="0.25">
      <c r="A254" s="202"/>
      <c r="B254" s="22" t="s">
        <v>57</v>
      </c>
      <c r="C254" s="34" t="s">
        <v>44</v>
      </c>
      <c r="D254" s="22" t="s">
        <v>1059</v>
      </c>
      <c r="E254" s="22" t="s">
        <v>56</v>
      </c>
      <c r="F254" s="25" t="s">
        <v>1063</v>
      </c>
      <c r="G254" s="373" t="s">
        <v>1587</v>
      </c>
      <c r="H254" s="37" t="s">
        <v>1589</v>
      </c>
      <c r="I254" s="23" t="s">
        <v>388</v>
      </c>
      <c r="J254" s="23" t="s">
        <v>389</v>
      </c>
      <c r="K254" s="23" t="s">
        <v>390</v>
      </c>
      <c r="L254" s="23"/>
      <c r="M254" s="2">
        <v>0</v>
      </c>
      <c r="N254" s="2">
        <v>0</v>
      </c>
      <c r="O254" s="2">
        <v>0</v>
      </c>
      <c r="P254" s="2">
        <v>0</v>
      </c>
      <c r="Q254" s="2">
        <v>0</v>
      </c>
      <c r="R254" s="2">
        <v>420.45</v>
      </c>
      <c r="S254" s="2">
        <v>0</v>
      </c>
      <c r="T254" s="2">
        <v>0</v>
      </c>
      <c r="U254" s="116">
        <f t="shared" si="6"/>
        <v>420.45</v>
      </c>
      <c r="V254" s="324">
        <v>0</v>
      </c>
      <c r="W254" s="324">
        <v>0</v>
      </c>
      <c r="X254" s="324">
        <v>0</v>
      </c>
      <c r="Y254" s="324">
        <v>0</v>
      </c>
      <c r="Z254" s="324">
        <v>0</v>
      </c>
      <c r="AA254" s="324">
        <v>0</v>
      </c>
      <c r="AB254" s="324">
        <v>0</v>
      </c>
      <c r="AC254" s="324">
        <v>0</v>
      </c>
      <c r="AD254" s="324">
        <v>0</v>
      </c>
      <c r="AE254" s="324">
        <v>0</v>
      </c>
      <c r="AF254" s="324">
        <v>0</v>
      </c>
      <c r="AG254" s="324">
        <v>0</v>
      </c>
      <c r="AH254" s="140">
        <f t="shared" si="7"/>
        <v>0</v>
      </c>
    </row>
    <row r="255" spans="1:34" ht="12.75" customHeight="1" x14ac:dyDescent="0.25">
      <c r="A255" s="202"/>
      <c r="B255" s="22" t="s">
        <v>57</v>
      </c>
      <c r="C255" s="34" t="s">
        <v>44</v>
      </c>
      <c r="D255" s="22" t="s">
        <v>1059</v>
      </c>
      <c r="E255" s="22" t="s">
        <v>56</v>
      </c>
      <c r="F255" s="25" t="s">
        <v>1063</v>
      </c>
      <c r="G255" s="373" t="s">
        <v>1136</v>
      </c>
      <c r="H255" s="37" t="s">
        <v>1324</v>
      </c>
      <c r="I255" s="23" t="s">
        <v>1715</v>
      </c>
      <c r="J255" s="23" t="s">
        <v>383</v>
      </c>
      <c r="K255" s="23" t="s">
        <v>384</v>
      </c>
      <c r="L255" s="23"/>
      <c r="M255" s="2">
        <v>479.32675170898437</v>
      </c>
      <c r="N255" s="2">
        <v>0</v>
      </c>
      <c r="O255" s="2">
        <v>0</v>
      </c>
      <c r="P255" s="2">
        <v>0</v>
      </c>
      <c r="Q255" s="2">
        <v>0</v>
      </c>
      <c r="R255" s="2">
        <v>0</v>
      </c>
      <c r="S255" s="2">
        <v>0</v>
      </c>
      <c r="T255" s="2">
        <v>0</v>
      </c>
      <c r="U255" s="116">
        <f t="shared" si="6"/>
        <v>479.32675170898437</v>
      </c>
      <c r="V255" s="324">
        <v>0</v>
      </c>
      <c r="W255" s="324">
        <v>603</v>
      </c>
      <c r="X255" s="324">
        <v>0</v>
      </c>
      <c r="Y255" s="324">
        <v>0</v>
      </c>
      <c r="Z255" s="324">
        <v>0</v>
      </c>
      <c r="AA255" s="324">
        <v>0</v>
      </c>
      <c r="AB255" s="324">
        <v>0</v>
      </c>
      <c r="AC255" s="324">
        <v>0</v>
      </c>
      <c r="AD255" s="324">
        <v>0</v>
      </c>
      <c r="AE255" s="324">
        <v>0</v>
      </c>
      <c r="AF255" s="324">
        <v>0</v>
      </c>
      <c r="AG255" s="324">
        <v>0</v>
      </c>
      <c r="AH255" s="140">
        <f t="shared" si="7"/>
        <v>603</v>
      </c>
    </row>
    <row r="256" spans="1:34" ht="12.75" customHeight="1" x14ac:dyDescent="0.25">
      <c r="A256" s="202"/>
      <c r="B256" s="22" t="s">
        <v>57</v>
      </c>
      <c r="C256" s="34" t="s">
        <v>44</v>
      </c>
      <c r="D256" s="22" t="s">
        <v>1059</v>
      </c>
      <c r="E256" s="22" t="s">
        <v>56</v>
      </c>
      <c r="F256" s="25" t="s">
        <v>1063</v>
      </c>
      <c r="G256" s="373" t="s">
        <v>565</v>
      </c>
      <c r="H256" s="37" t="s">
        <v>59</v>
      </c>
      <c r="I256" s="23" t="s">
        <v>907</v>
      </c>
      <c r="J256" s="23" t="s">
        <v>385</v>
      </c>
      <c r="K256" s="23" t="s">
        <v>386</v>
      </c>
      <c r="L256" s="23"/>
      <c r="M256" s="2">
        <v>0</v>
      </c>
      <c r="N256" s="2">
        <v>0</v>
      </c>
      <c r="O256" s="2">
        <v>0</v>
      </c>
      <c r="P256" s="2">
        <v>0</v>
      </c>
      <c r="Q256" s="2">
        <v>0</v>
      </c>
      <c r="R256" s="2">
        <v>0</v>
      </c>
      <c r="S256" s="2">
        <v>0</v>
      </c>
      <c r="T256" s="2">
        <v>0</v>
      </c>
      <c r="U256" s="116">
        <f t="shared" si="6"/>
        <v>0</v>
      </c>
      <c r="V256" s="324">
        <v>0</v>
      </c>
      <c r="W256" s="324">
        <v>0</v>
      </c>
      <c r="X256" s="324">
        <v>0</v>
      </c>
      <c r="Y256" s="324">
        <v>0</v>
      </c>
      <c r="Z256" s="324">
        <v>0</v>
      </c>
      <c r="AA256" s="324">
        <v>0</v>
      </c>
      <c r="AB256" s="324">
        <v>0</v>
      </c>
      <c r="AC256" s="324">
        <v>0</v>
      </c>
      <c r="AD256" s="324">
        <v>0</v>
      </c>
      <c r="AE256" s="324">
        <v>0</v>
      </c>
      <c r="AF256" s="324">
        <v>0</v>
      </c>
      <c r="AG256" s="324">
        <v>0</v>
      </c>
      <c r="AH256" s="140">
        <f t="shared" si="7"/>
        <v>0</v>
      </c>
    </row>
    <row r="257" spans="1:34" ht="12.75" customHeight="1" x14ac:dyDescent="0.25">
      <c r="A257" s="202"/>
      <c r="B257" s="22" t="s">
        <v>57</v>
      </c>
      <c r="C257" s="34" t="s">
        <v>44</v>
      </c>
      <c r="D257" s="22" t="s">
        <v>1058</v>
      </c>
      <c r="E257" s="22" t="s">
        <v>56</v>
      </c>
      <c r="F257" s="25" t="s">
        <v>1062</v>
      </c>
      <c r="G257" s="373" t="s">
        <v>565</v>
      </c>
      <c r="H257" s="37" t="s">
        <v>59</v>
      </c>
      <c r="I257" s="23" t="s">
        <v>707</v>
      </c>
      <c r="J257" s="23" t="s">
        <v>707</v>
      </c>
      <c r="K257" s="23" t="s">
        <v>59</v>
      </c>
      <c r="L257" s="23"/>
      <c r="M257" s="2">
        <v>0</v>
      </c>
      <c r="N257" s="2">
        <v>0</v>
      </c>
      <c r="O257" s="2">
        <v>0</v>
      </c>
      <c r="P257" s="2">
        <v>0</v>
      </c>
      <c r="Q257" s="2">
        <v>0</v>
      </c>
      <c r="R257" s="2">
        <v>0</v>
      </c>
      <c r="S257" s="2">
        <v>0</v>
      </c>
      <c r="T257" s="2">
        <v>0</v>
      </c>
      <c r="U257" s="116">
        <f t="shared" si="6"/>
        <v>0</v>
      </c>
      <c r="V257" s="324">
        <v>0</v>
      </c>
      <c r="W257" s="324">
        <v>0</v>
      </c>
      <c r="X257" s="324">
        <v>0</v>
      </c>
      <c r="Y257" s="324">
        <v>0</v>
      </c>
      <c r="Z257" s="324">
        <v>0</v>
      </c>
      <c r="AA257" s="324">
        <v>0</v>
      </c>
      <c r="AB257" s="324">
        <v>0</v>
      </c>
      <c r="AC257" s="324">
        <v>0</v>
      </c>
      <c r="AD257" s="324">
        <v>0</v>
      </c>
      <c r="AE257" s="324">
        <v>0</v>
      </c>
      <c r="AF257" s="324">
        <v>0</v>
      </c>
      <c r="AG257" s="324">
        <v>650</v>
      </c>
      <c r="AH257" s="140">
        <f t="shared" si="7"/>
        <v>650</v>
      </c>
    </row>
    <row r="258" spans="1:34" ht="12.75" customHeight="1" x14ac:dyDescent="0.25">
      <c r="A258" s="202"/>
      <c r="B258" s="22" t="s">
        <v>57</v>
      </c>
      <c r="C258" s="34" t="s">
        <v>44</v>
      </c>
      <c r="D258" s="22" t="s">
        <v>1058</v>
      </c>
      <c r="E258" s="22" t="s">
        <v>56</v>
      </c>
      <c r="F258" s="25" t="s">
        <v>1134</v>
      </c>
      <c r="G258" s="373" t="s">
        <v>565</v>
      </c>
      <c r="H258" s="37" t="s">
        <v>59</v>
      </c>
      <c r="I258" s="23" t="s">
        <v>372</v>
      </c>
      <c r="J258" s="23" t="s">
        <v>373</v>
      </c>
      <c r="K258" s="23" t="s">
        <v>59</v>
      </c>
      <c r="L258" s="23"/>
      <c r="M258" s="2">
        <v>0</v>
      </c>
      <c r="N258" s="2">
        <v>0</v>
      </c>
      <c r="O258" s="2">
        <v>0</v>
      </c>
      <c r="P258" s="2">
        <v>0</v>
      </c>
      <c r="Q258" s="2">
        <v>0</v>
      </c>
      <c r="R258" s="2">
        <v>0</v>
      </c>
      <c r="S258" s="2">
        <v>0</v>
      </c>
      <c r="T258" s="2">
        <v>0</v>
      </c>
      <c r="U258" s="116">
        <f t="shared" si="6"/>
        <v>0</v>
      </c>
      <c r="V258" s="324">
        <v>0</v>
      </c>
      <c r="W258" s="324">
        <v>0</v>
      </c>
      <c r="X258" s="324">
        <v>0</v>
      </c>
      <c r="Y258" s="324">
        <v>0</v>
      </c>
      <c r="Z258" s="324">
        <v>0</v>
      </c>
      <c r="AA258" s="324">
        <v>0</v>
      </c>
      <c r="AB258" s="324">
        <v>0</v>
      </c>
      <c r="AC258" s="324">
        <v>0</v>
      </c>
      <c r="AD258" s="324">
        <v>0</v>
      </c>
      <c r="AE258" s="324">
        <v>0</v>
      </c>
      <c r="AF258" s="324">
        <v>0</v>
      </c>
      <c r="AG258" s="324">
        <v>0</v>
      </c>
      <c r="AH258" s="140">
        <f t="shared" si="7"/>
        <v>0</v>
      </c>
    </row>
    <row r="259" spans="1:34" ht="12.75" customHeight="1" x14ac:dyDescent="0.25">
      <c r="A259" s="202"/>
      <c r="B259" s="22" t="s">
        <v>57</v>
      </c>
      <c r="C259" s="34" t="s">
        <v>44</v>
      </c>
      <c r="D259" s="22" t="s">
        <v>1058</v>
      </c>
      <c r="E259" s="22" t="s">
        <v>56</v>
      </c>
      <c r="F259" s="25" t="s">
        <v>1134</v>
      </c>
      <c r="G259" s="373" t="s">
        <v>1800</v>
      </c>
      <c r="H259" s="37" t="s">
        <v>1801</v>
      </c>
      <c r="I259" s="23" t="s">
        <v>906</v>
      </c>
      <c r="J259" s="23" t="s">
        <v>367</v>
      </c>
      <c r="K259" s="23" t="s">
        <v>368</v>
      </c>
      <c r="L259" s="23"/>
      <c r="M259" s="2">
        <v>0</v>
      </c>
      <c r="N259" s="2">
        <v>0</v>
      </c>
      <c r="O259" s="2">
        <v>0</v>
      </c>
      <c r="P259" s="2">
        <v>100</v>
      </c>
      <c r="Q259" s="2">
        <v>0</v>
      </c>
      <c r="R259" s="2">
        <v>0</v>
      </c>
      <c r="S259" s="2">
        <v>0</v>
      </c>
      <c r="T259" s="2">
        <v>0</v>
      </c>
      <c r="U259" s="116">
        <f t="shared" si="6"/>
        <v>100</v>
      </c>
      <c r="V259" s="324">
        <v>0</v>
      </c>
      <c r="W259" s="324">
        <v>0</v>
      </c>
      <c r="X259" s="324">
        <v>0</v>
      </c>
      <c r="Y259" s="324">
        <v>0</v>
      </c>
      <c r="Z259" s="324">
        <v>0</v>
      </c>
      <c r="AA259" s="324">
        <v>0</v>
      </c>
      <c r="AB259" s="324">
        <v>0</v>
      </c>
      <c r="AC259" s="324">
        <v>100</v>
      </c>
      <c r="AD259" s="324">
        <v>0</v>
      </c>
      <c r="AE259" s="324">
        <v>0</v>
      </c>
      <c r="AF259" s="324">
        <v>0</v>
      </c>
      <c r="AG259" s="324">
        <v>0</v>
      </c>
      <c r="AH259" s="140">
        <f t="shared" si="7"/>
        <v>100</v>
      </c>
    </row>
    <row r="260" spans="1:34" ht="12.75" customHeight="1" x14ac:dyDescent="0.25">
      <c r="A260" s="202"/>
      <c r="B260" s="22" t="s">
        <v>57</v>
      </c>
      <c r="C260" s="34" t="s">
        <v>44</v>
      </c>
      <c r="D260" s="22" t="s">
        <v>1059</v>
      </c>
      <c r="E260" s="22" t="s">
        <v>56</v>
      </c>
      <c r="F260" s="25" t="s">
        <v>1063</v>
      </c>
      <c r="G260" s="373" t="s">
        <v>1171</v>
      </c>
      <c r="H260" s="37" t="s">
        <v>1172</v>
      </c>
      <c r="I260" s="23" t="s">
        <v>764</v>
      </c>
      <c r="J260" s="23" t="s">
        <v>765</v>
      </c>
      <c r="K260" s="23" t="s">
        <v>766</v>
      </c>
      <c r="L260" s="23"/>
      <c r="M260" s="2">
        <v>693.4403076171875</v>
      </c>
      <c r="N260" s="2">
        <v>0</v>
      </c>
      <c r="O260" s="2">
        <v>0</v>
      </c>
      <c r="P260" s="2">
        <v>0</v>
      </c>
      <c r="Q260" s="2">
        <v>0</v>
      </c>
      <c r="R260" s="2">
        <v>0</v>
      </c>
      <c r="S260" s="2">
        <v>0</v>
      </c>
      <c r="T260" s="2">
        <v>0</v>
      </c>
      <c r="U260" s="116">
        <f t="shared" si="6"/>
        <v>693.4403076171875</v>
      </c>
      <c r="V260" s="324">
        <v>0</v>
      </c>
      <c r="W260" s="324">
        <v>0</v>
      </c>
      <c r="X260" s="324">
        <v>0</v>
      </c>
      <c r="Y260" s="324">
        <v>0</v>
      </c>
      <c r="Z260" s="324">
        <v>0</v>
      </c>
      <c r="AA260" s="324">
        <v>0</v>
      </c>
      <c r="AB260" s="324">
        <v>0</v>
      </c>
      <c r="AC260" s="324">
        <v>0</v>
      </c>
      <c r="AD260" s="324">
        <v>0</v>
      </c>
      <c r="AE260" s="324">
        <v>750</v>
      </c>
      <c r="AF260" s="324">
        <v>0</v>
      </c>
      <c r="AG260" s="324">
        <v>0</v>
      </c>
      <c r="AH260" s="140">
        <f t="shared" si="7"/>
        <v>750</v>
      </c>
    </row>
    <row r="261" spans="1:34" ht="12.75" customHeight="1" x14ac:dyDescent="0.25">
      <c r="A261" s="202"/>
      <c r="B261" s="22" t="s">
        <v>57</v>
      </c>
      <c r="C261" s="34" t="s">
        <v>44</v>
      </c>
      <c r="D261" s="22" t="s">
        <v>318</v>
      </c>
      <c r="E261" s="22" t="s">
        <v>56</v>
      </c>
      <c r="F261" s="25" t="s">
        <v>1066</v>
      </c>
      <c r="G261" s="373" t="s">
        <v>1649</v>
      </c>
      <c r="H261" s="37" t="s">
        <v>1650</v>
      </c>
      <c r="I261" s="23" t="s">
        <v>843</v>
      </c>
      <c r="J261" s="23" t="s">
        <v>1687</v>
      </c>
      <c r="K261" s="23" t="s">
        <v>1694</v>
      </c>
      <c r="L261" s="23"/>
      <c r="M261" s="2">
        <v>0</v>
      </c>
      <c r="N261" s="2">
        <v>0</v>
      </c>
      <c r="O261" s="2">
        <v>0</v>
      </c>
      <c r="P261" s="2">
        <v>0</v>
      </c>
      <c r="Q261" s="2">
        <v>0</v>
      </c>
      <c r="R261" s="2">
        <v>1705</v>
      </c>
      <c r="S261" s="2">
        <v>160</v>
      </c>
      <c r="T261" s="2">
        <v>0</v>
      </c>
      <c r="U261" s="116">
        <f t="shared" si="6"/>
        <v>1865</v>
      </c>
      <c r="V261" s="324">
        <v>0</v>
      </c>
      <c r="W261" s="324">
        <v>0</v>
      </c>
      <c r="X261" s="324">
        <v>0</v>
      </c>
      <c r="Y261" s="324">
        <v>0</v>
      </c>
      <c r="Z261" s="324">
        <v>0</v>
      </c>
      <c r="AA261" s="324">
        <v>0</v>
      </c>
      <c r="AB261" s="324">
        <v>0</v>
      </c>
      <c r="AC261" s="324">
        <v>0</v>
      </c>
      <c r="AD261" s="324">
        <v>0</v>
      </c>
      <c r="AE261" s="324">
        <v>0</v>
      </c>
      <c r="AF261" s="324">
        <v>0</v>
      </c>
      <c r="AG261" s="324">
        <v>0</v>
      </c>
      <c r="AH261" s="140">
        <f t="shared" si="7"/>
        <v>0</v>
      </c>
    </row>
    <row r="262" spans="1:34" ht="12.75" customHeight="1" x14ac:dyDescent="0.25">
      <c r="A262" s="202"/>
      <c r="B262" s="22" t="s">
        <v>57</v>
      </c>
      <c r="C262" s="34" t="s">
        <v>44</v>
      </c>
      <c r="D262" s="22" t="s">
        <v>1059</v>
      </c>
      <c r="E262" s="22" t="s">
        <v>56</v>
      </c>
      <c r="F262" s="25" t="s">
        <v>1063</v>
      </c>
      <c r="G262" s="373" t="s">
        <v>565</v>
      </c>
      <c r="H262" s="37" t="s">
        <v>59</v>
      </c>
      <c r="I262" s="23" t="s">
        <v>414</v>
      </c>
      <c r="J262" s="23" t="s">
        <v>788</v>
      </c>
      <c r="K262" s="23" t="s">
        <v>789</v>
      </c>
      <c r="L262" s="23"/>
      <c r="M262" s="2">
        <v>0</v>
      </c>
      <c r="N262" s="2">
        <v>0</v>
      </c>
      <c r="O262" s="2">
        <v>0</v>
      </c>
      <c r="P262" s="2">
        <v>0</v>
      </c>
      <c r="Q262" s="2">
        <v>0</v>
      </c>
      <c r="R262" s="2">
        <v>0</v>
      </c>
      <c r="S262" s="2">
        <v>0</v>
      </c>
      <c r="T262" s="2">
        <v>0</v>
      </c>
      <c r="U262" s="116">
        <f t="shared" si="6"/>
        <v>0</v>
      </c>
      <c r="V262" s="324">
        <v>0</v>
      </c>
      <c r="W262" s="324">
        <v>0</v>
      </c>
      <c r="X262" s="324">
        <v>0</v>
      </c>
      <c r="Y262" s="324">
        <v>0</v>
      </c>
      <c r="Z262" s="324">
        <v>0</v>
      </c>
      <c r="AA262" s="324">
        <v>0</v>
      </c>
      <c r="AB262" s="324">
        <v>0</v>
      </c>
      <c r="AC262" s="324">
        <v>0</v>
      </c>
      <c r="AD262" s="324">
        <v>0</v>
      </c>
      <c r="AE262" s="324">
        <v>0</v>
      </c>
      <c r="AF262" s="324">
        <v>0</v>
      </c>
      <c r="AG262" s="324">
        <v>0</v>
      </c>
      <c r="AH262" s="140">
        <f t="shared" si="7"/>
        <v>0</v>
      </c>
    </row>
    <row r="263" spans="1:34" ht="12.75" customHeight="1" x14ac:dyDescent="0.25">
      <c r="A263" s="202"/>
      <c r="B263" s="22" t="s">
        <v>57</v>
      </c>
      <c r="C263" s="34" t="s">
        <v>44</v>
      </c>
      <c r="D263" s="22" t="s">
        <v>1059</v>
      </c>
      <c r="E263" s="22" t="s">
        <v>56</v>
      </c>
      <c r="F263" s="25" t="s">
        <v>1063</v>
      </c>
      <c r="G263" s="373" t="s">
        <v>565</v>
      </c>
      <c r="H263" s="37" t="s">
        <v>59</v>
      </c>
      <c r="I263" s="23" t="s">
        <v>413</v>
      </c>
      <c r="J263" s="23" t="s">
        <v>786</v>
      </c>
      <c r="K263" s="23" t="s">
        <v>787</v>
      </c>
      <c r="L263" s="23"/>
      <c r="M263" s="2">
        <v>0</v>
      </c>
      <c r="N263" s="2">
        <v>0</v>
      </c>
      <c r="O263" s="2">
        <v>0</v>
      </c>
      <c r="P263" s="2">
        <v>0</v>
      </c>
      <c r="Q263" s="2">
        <v>0</v>
      </c>
      <c r="R263" s="2">
        <v>0</v>
      </c>
      <c r="S263" s="2">
        <v>0</v>
      </c>
      <c r="T263" s="2">
        <v>0</v>
      </c>
      <c r="U263" s="116">
        <f t="shared" si="6"/>
        <v>0</v>
      </c>
      <c r="V263" s="324">
        <v>0</v>
      </c>
      <c r="W263" s="324">
        <v>0</v>
      </c>
      <c r="X263" s="324">
        <v>0</v>
      </c>
      <c r="Y263" s="324">
        <v>0</v>
      </c>
      <c r="Z263" s="324">
        <v>0</v>
      </c>
      <c r="AA263" s="324">
        <v>0</v>
      </c>
      <c r="AB263" s="324">
        <v>0</v>
      </c>
      <c r="AC263" s="324">
        <v>0</v>
      </c>
      <c r="AD263" s="324">
        <v>0</v>
      </c>
      <c r="AE263" s="324">
        <v>0</v>
      </c>
      <c r="AF263" s="324">
        <v>0</v>
      </c>
      <c r="AG263" s="324">
        <v>0</v>
      </c>
      <c r="AH263" s="140">
        <f t="shared" si="7"/>
        <v>0</v>
      </c>
    </row>
    <row r="264" spans="1:34" ht="12.75" customHeight="1" x14ac:dyDescent="0.25">
      <c r="A264" s="202"/>
      <c r="B264" s="22" t="s">
        <v>57</v>
      </c>
      <c r="C264" s="34" t="s">
        <v>44</v>
      </c>
      <c r="D264" s="22" t="s">
        <v>1059</v>
      </c>
      <c r="E264" s="22" t="s">
        <v>56</v>
      </c>
      <c r="F264" s="25" t="s">
        <v>1063</v>
      </c>
      <c r="G264" s="373" t="s">
        <v>565</v>
      </c>
      <c r="H264" s="37" t="s">
        <v>59</v>
      </c>
      <c r="I264" s="23" t="s">
        <v>1019</v>
      </c>
      <c r="J264" s="23"/>
      <c r="K264" s="23"/>
      <c r="L264" s="23"/>
      <c r="M264" s="2">
        <v>0</v>
      </c>
      <c r="N264" s="2">
        <v>0</v>
      </c>
      <c r="O264" s="2">
        <v>0</v>
      </c>
      <c r="P264" s="2">
        <v>0</v>
      </c>
      <c r="Q264" s="2">
        <v>0</v>
      </c>
      <c r="R264" s="2">
        <v>0</v>
      </c>
      <c r="S264" s="2">
        <v>0</v>
      </c>
      <c r="T264" s="2">
        <v>0</v>
      </c>
      <c r="U264" s="116">
        <f t="shared" ref="U264:U327" si="8">SUM(M264:T264)</f>
        <v>0</v>
      </c>
      <c r="V264" s="324">
        <v>0</v>
      </c>
      <c r="W264" s="324">
        <v>0</v>
      </c>
      <c r="X264" s="324">
        <v>0</v>
      </c>
      <c r="Y264" s="324">
        <v>0</v>
      </c>
      <c r="Z264" s="324">
        <v>0</v>
      </c>
      <c r="AA264" s="324">
        <v>0</v>
      </c>
      <c r="AB264" s="324">
        <v>300</v>
      </c>
      <c r="AC264" s="324">
        <v>0</v>
      </c>
      <c r="AD264" s="324">
        <v>0</v>
      </c>
      <c r="AE264" s="324">
        <v>0</v>
      </c>
      <c r="AF264" s="324">
        <v>0</v>
      </c>
      <c r="AG264" s="324">
        <v>0</v>
      </c>
      <c r="AH264" s="140">
        <f t="shared" si="7"/>
        <v>300</v>
      </c>
    </row>
    <row r="265" spans="1:34" ht="12.75" customHeight="1" x14ac:dyDescent="0.25">
      <c r="A265" s="202"/>
      <c r="B265" s="22" t="s">
        <v>57</v>
      </c>
      <c r="C265" s="34" t="s">
        <v>44</v>
      </c>
      <c r="D265" s="22" t="s">
        <v>1059</v>
      </c>
      <c r="E265" s="22" t="s">
        <v>56</v>
      </c>
      <c r="F265" s="25" t="s">
        <v>1065</v>
      </c>
      <c r="G265" s="373" t="s">
        <v>565</v>
      </c>
      <c r="H265" s="37" t="s">
        <v>59</v>
      </c>
      <c r="I265" s="23" t="s">
        <v>819</v>
      </c>
      <c r="J265" s="23" t="s">
        <v>820</v>
      </c>
      <c r="K265" s="23" t="s">
        <v>818</v>
      </c>
      <c r="L265" s="23"/>
      <c r="M265" s="2">
        <v>0</v>
      </c>
      <c r="N265" s="2">
        <v>0</v>
      </c>
      <c r="O265" s="2">
        <v>0</v>
      </c>
      <c r="P265" s="2">
        <v>0</v>
      </c>
      <c r="Q265" s="2">
        <v>0</v>
      </c>
      <c r="R265" s="2">
        <v>0</v>
      </c>
      <c r="S265" s="2">
        <v>0</v>
      </c>
      <c r="T265" s="2">
        <v>0</v>
      </c>
      <c r="U265" s="116">
        <f t="shared" si="8"/>
        <v>0</v>
      </c>
      <c r="V265" s="324">
        <v>0</v>
      </c>
      <c r="W265" s="324">
        <v>0</v>
      </c>
      <c r="X265" s="324">
        <v>0</v>
      </c>
      <c r="Y265" s="324">
        <v>0</v>
      </c>
      <c r="Z265" s="324">
        <v>0</v>
      </c>
      <c r="AA265" s="324">
        <v>525</v>
      </c>
      <c r="AB265" s="324">
        <v>0</v>
      </c>
      <c r="AC265" s="324">
        <v>0</v>
      </c>
      <c r="AD265" s="324">
        <v>0</v>
      </c>
      <c r="AE265" s="324">
        <v>0</v>
      </c>
      <c r="AF265" s="324">
        <v>0</v>
      </c>
      <c r="AG265" s="324">
        <v>0</v>
      </c>
      <c r="AH265" s="140">
        <f t="shared" ref="AH265:AH328" si="9">SUM(V265:AG265)</f>
        <v>525</v>
      </c>
    </row>
    <row r="266" spans="1:34" ht="12.75" customHeight="1" x14ac:dyDescent="0.25">
      <c r="A266" s="202"/>
      <c r="B266" s="22" t="s">
        <v>57</v>
      </c>
      <c r="C266" s="34" t="s">
        <v>44</v>
      </c>
      <c r="D266" s="22" t="s">
        <v>1059</v>
      </c>
      <c r="E266" s="22" t="s">
        <v>56</v>
      </c>
      <c r="F266" s="25" t="s">
        <v>1065</v>
      </c>
      <c r="G266" s="373" t="s">
        <v>565</v>
      </c>
      <c r="H266" s="37" t="s">
        <v>59</v>
      </c>
      <c r="I266" s="23" t="s">
        <v>425</v>
      </c>
      <c r="J266" s="23" t="s">
        <v>817</v>
      </c>
      <c r="K266" s="23" t="s">
        <v>818</v>
      </c>
      <c r="L266" s="23"/>
      <c r="M266" s="2">
        <v>0</v>
      </c>
      <c r="N266" s="2">
        <v>0</v>
      </c>
      <c r="O266" s="2">
        <v>0</v>
      </c>
      <c r="P266" s="2">
        <v>0</v>
      </c>
      <c r="Q266" s="2">
        <v>0</v>
      </c>
      <c r="R266" s="2">
        <v>0</v>
      </c>
      <c r="S266" s="2">
        <v>0</v>
      </c>
      <c r="T266" s="2">
        <v>200</v>
      </c>
      <c r="U266" s="116">
        <f t="shared" si="8"/>
        <v>200</v>
      </c>
      <c r="V266" s="324">
        <v>100</v>
      </c>
      <c r="W266" s="324">
        <v>200</v>
      </c>
      <c r="X266" s="324">
        <v>200</v>
      </c>
      <c r="Y266" s="324">
        <v>250</v>
      </c>
      <c r="Z266" s="324">
        <v>250</v>
      </c>
      <c r="AA266" s="324">
        <v>200</v>
      </c>
      <c r="AB266" s="324">
        <v>200</v>
      </c>
      <c r="AC266" s="324">
        <v>200</v>
      </c>
      <c r="AD266" s="324">
        <v>200</v>
      </c>
      <c r="AE266" s="324">
        <v>0</v>
      </c>
      <c r="AF266" s="324">
        <v>0</v>
      </c>
      <c r="AG266" s="324">
        <v>0</v>
      </c>
      <c r="AH266" s="140">
        <f t="shared" si="9"/>
        <v>1800</v>
      </c>
    </row>
    <row r="267" spans="1:34" ht="12.75" customHeight="1" x14ac:dyDescent="0.25">
      <c r="A267" s="202"/>
      <c r="B267" s="22" t="s">
        <v>57</v>
      </c>
      <c r="C267" s="34" t="s">
        <v>44</v>
      </c>
      <c r="D267" s="22" t="s">
        <v>1059</v>
      </c>
      <c r="E267" s="22" t="s">
        <v>56</v>
      </c>
      <c r="F267" s="25" t="s">
        <v>1065</v>
      </c>
      <c r="G267" s="373" t="s">
        <v>564</v>
      </c>
      <c r="H267" s="37" t="s">
        <v>1342</v>
      </c>
      <c r="I267" s="23" t="s">
        <v>394</v>
      </c>
      <c r="J267" s="23" t="s">
        <v>395</v>
      </c>
      <c r="K267" s="23" t="s">
        <v>59</v>
      </c>
      <c r="L267" s="23"/>
      <c r="M267" s="2">
        <v>126.48376083374023</v>
      </c>
      <c r="N267" s="2">
        <v>0</v>
      </c>
      <c r="O267" s="2">
        <v>0</v>
      </c>
      <c r="P267" s="2">
        <v>135</v>
      </c>
      <c r="Q267" s="2">
        <v>1576</v>
      </c>
      <c r="R267" s="2">
        <v>52</v>
      </c>
      <c r="S267" s="2">
        <v>152</v>
      </c>
      <c r="T267" s="2">
        <v>52</v>
      </c>
      <c r="U267" s="116">
        <f t="shared" si="8"/>
        <v>2093.4837608337402</v>
      </c>
      <c r="V267" s="324">
        <v>151</v>
      </c>
      <c r="W267" s="324">
        <v>151</v>
      </c>
      <c r="X267" s="324">
        <v>151</v>
      </c>
      <c r="Y267" s="324">
        <v>151</v>
      </c>
      <c r="Z267" s="324">
        <v>151</v>
      </c>
      <c r="AA267" s="324">
        <v>151</v>
      </c>
      <c r="AB267" s="324">
        <v>151</v>
      </c>
      <c r="AC267" s="324">
        <v>151</v>
      </c>
      <c r="AD267" s="324">
        <v>151</v>
      </c>
      <c r="AE267" s="324">
        <v>151</v>
      </c>
      <c r="AF267" s="324">
        <v>151</v>
      </c>
      <c r="AG267" s="324">
        <v>51</v>
      </c>
      <c r="AH267" s="140">
        <f t="shared" si="9"/>
        <v>1712</v>
      </c>
    </row>
    <row r="268" spans="1:34" ht="12.75" customHeight="1" x14ac:dyDescent="0.25">
      <c r="A268" s="202"/>
      <c r="B268" s="22" t="s">
        <v>57</v>
      </c>
      <c r="C268" s="34" t="s">
        <v>44</v>
      </c>
      <c r="D268" s="22" t="s">
        <v>58</v>
      </c>
      <c r="E268" s="22" t="s">
        <v>56</v>
      </c>
      <c r="F268" s="25" t="s">
        <v>1135</v>
      </c>
      <c r="G268" s="373" t="s">
        <v>1550</v>
      </c>
      <c r="H268" s="37" t="s">
        <v>1552</v>
      </c>
      <c r="I268" s="23" t="s">
        <v>369</v>
      </c>
      <c r="J268" s="23" t="s">
        <v>370</v>
      </c>
      <c r="K268" s="23" t="s">
        <v>371</v>
      </c>
      <c r="L268" s="23"/>
      <c r="M268" s="2">
        <v>0</v>
      </c>
      <c r="N268" s="2">
        <v>150</v>
      </c>
      <c r="O268" s="2">
        <v>0</v>
      </c>
      <c r="P268" s="2">
        <v>0</v>
      </c>
      <c r="Q268" s="2">
        <v>0</v>
      </c>
      <c r="R268" s="2">
        <v>0</v>
      </c>
      <c r="S268" s="2">
        <v>0</v>
      </c>
      <c r="T268" s="2">
        <v>0</v>
      </c>
      <c r="U268" s="116">
        <f t="shared" si="8"/>
        <v>150</v>
      </c>
      <c r="V268" s="324">
        <v>0</v>
      </c>
      <c r="W268" s="324">
        <v>0</v>
      </c>
      <c r="X268" s="324">
        <v>0</v>
      </c>
      <c r="Y268" s="324">
        <v>0</v>
      </c>
      <c r="Z268" s="324">
        <v>0</v>
      </c>
      <c r="AA268" s="324">
        <v>0</v>
      </c>
      <c r="AB268" s="324">
        <v>0</v>
      </c>
      <c r="AC268" s="324">
        <v>0</v>
      </c>
      <c r="AD268" s="324">
        <v>0</v>
      </c>
      <c r="AE268" s="324">
        <v>0</v>
      </c>
      <c r="AF268" s="324">
        <v>0</v>
      </c>
      <c r="AG268" s="324">
        <v>0</v>
      </c>
      <c r="AH268" s="140">
        <f t="shared" si="9"/>
        <v>0</v>
      </c>
    </row>
    <row r="269" spans="1:34" ht="12.75" customHeight="1" x14ac:dyDescent="0.25">
      <c r="A269" s="202"/>
      <c r="B269" s="22" t="s">
        <v>57</v>
      </c>
      <c r="C269" s="34" t="s">
        <v>44</v>
      </c>
      <c r="D269" s="22" t="s">
        <v>1059</v>
      </c>
      <c r="E269" s="22" t="s">
        <v>56</v>
      </c>
      <c r="F269" s="25" t="s">
        <v>1063</v>
      </c>
      <c r="G269" s="373" t="s">
        <v>1051</v>
      </c>
      <c r="H269" s="37" t="s">
        <v>1385</v>
      </c>
      <c r="I269" s="23" t="s">
        <v>1024</v>
      </c>
      <c r="J269" s="23" t="s">
        <v>1055</v>
      </c>
      <c r="K269" s="23" t="s">
        <v>1056</v>
      </c>
      <c r="L269" s="23"/>
      <c r="M269" s="2">
        <v>108.51967239379883</v>
      </c>
      <c r="N269" s="2">
        <v>30</v>
      </c>
      <c r="O269" s="2">
        <v>39</v>
      </c>
      <c r="P269" s="2">
        <v>0</v>
      </c>
      <c r="Q269" s="2">
        <v>39</v>
      </c>
      <c r="R269" s="2">
        <v>30</v>
      </c>
      <c r="S269" s="2">
        <v>0</v>
      </c>
      <c r="T269" s="2">
        <v>31.580329999999996</v>
      </c>
      <c r="U269" s="116">
        <f t="shared" si="8"/>
        <v>278.10000239379883</v>
      </c>
      <c r="V269" s="324">
        <v>14</v>
      </c>
      <c r="W269" s="324">
        <v>0</v>
      </c>
      <c r="X269" s="324">
        <v>20</v>
      </c>
      <c r="Y269" s="324">
        <v>15</v>
      </c>
      <c r="Z269" s="324">
        <v>15</v>
      </c>
      <c r="AA269" s="324">
        <v>30</v>
      </c>
      <c r="AB269" s="324">
        <v>30</v>
      </c>
      <c r="AC269" s="324">
        <v>0</v>
      </c>
      <c r="AD269" s="324">
        <v>0</v>
      </c>
      <c r="AE269" s="324">
        <v>0</v>
      </c>
      <c r="AF269" s="324">
        <v>0</v>
      </c>
      <c r="AG269" s="324">
        <v>0</v>
      </c>
      <c r="AH269" s="140">
        <f t="shared" si="9"/>
        <v>124</v>
      </c>
    </row>
    <row r="270" spans="1:34" ht="12.75" customHeight="1" x14ac:dyDescent="0.25">
      <c r="A270" s="202"/>
      <c r="B270" s="22" t="s">
        <v>57</v>
      </c>
      <c r="C270" s="34" t="s">
        <v>44</v>
      </c>
      <c r="D270" s="22" t="s">
        <v>1058</v>
      </c>
      <c r="E270" s="22" t="s">
        <v>62</v>
      </c>
      <c r="F270" s="25" t="s">
        <v>1062</v>
      </c>
      <c r="G270" s="373" t="s">
        <v>565</v>
      </c>
      <c r="H270" s="37" t="s">
        <v>59</v>
      </c>
      <c r="I270" s="23" t="s">
        <v>811</v>
      </c>
      <c r="J270" s="23" t="s">
        <v>812</v>
      </c>
      <c r="K270" s="23" t="s">
        <v>813</v>
      </c>
      <c r="L270" s="23"/>
      <c r="M270" s="2">
        <v>0</v>
      </c>
      <c r="N270" s="2">
        <v>0</v>
      </c>
      <c r="O270" s="2">
        <v>0</v>
      </c>
      <c r="P270" s="2">
        <v>120</v>
      </c>
      <c r="Q270" s="2">
        <v>0</v>
      </c>
      <c r="R270" s="2">
        <v>0</v>
      </c>
      <c r="S270" s="2">
        <v>0</v>
      </c>
      <c r="T270" s="2">
        <v>0</v>
      </c>
      <c r="U270" s="116">
        <f t="shared" si="8"/>
        <v>120</v>
      </c>
      <c r="V270" s="324">
        <v>0</v>
      </c>
      <c r="W270" s="324">
        <v>0</v>
      </c>
      <c r="X270" s="324">
        <v>0</v>
      </c>
      <c r="Y270" s="324">
        <v>0</v>
      </c>
      <c r="Z270" s="324">
        <v>0</v>
      </c>
      <c r="AA270" s="324">
        <v>0</v>
      </c>
      <c r="AB270" s="324">
        <v>0</v>
      </c>
      <c r="AC270" s="324">
        <v>0</v>
      </c>
      <c r="AD270" s="324">
        <v>0</v>
      </c>
      <c r="AE270" s="324">
        <v>0</v>
      </c>
      <c r="AF270" s="324">
        <v>0</v>
      </c>
      <c r="AG270" s="324">
        <v>0</v>
      </c>
      <c r="AH270" s="140">
        <f t="shared" si="9"/>
        <v>0</v>
      </c>
    </row>
    <row r="271" spans="1:34" ht="12.75" customHeight="1" x14ac:dyDescent="0.25">
      <c r="A271" s="202"/>
      <c r="B271" s="22" t="s">
        <v>57</v>
      </c>
      <c r="C271" s="34" t="s">
        <v>44</v>
      </c>
      <c r="D271" s="22" t="s">
        <v>318</v>
      </c>
      <c r="E271" s="22" t="s">
        <v>56</v>
      </c>
      <c r="F271" s="25" t="s">
        <v>1066</v>
      </c>
      <c r="G271" s="373" t="s">
        <v>565</v>
      </c>
      <c r="H271" s="37" t="s">
        <v>59</v>
      </c>
      <c r="I271" s="23" t="s">
        <v>1686</v>
      </c>
      <c r="J271" s="23"/>
      <c r="K271" s="23"/>
      <c r="L271" s="23"/>
      <c r="M271" s="2">
        <v>0</v>
      </c>
      <c r="N271" s="2">
        <v>0</v>
      </c>
      <c r="O271" s="2">
        <v>0</v>
      </c>
      <c r="P271" s="2">
        <v>0</v>
      </c>
      <c r="Q271" s="2">
        <v>0</v>
      </c>
      <c r="R271" s="2">
        <v>0</v>
      </c>
      <c r="S271" s="2">
        <v>0</v>
      </c>
      <c r="T271" s="2">
        <v>0</v>
      </c>
      <c r="U271" s="116">
        <f t="shared" si="8"/>
        <v>0</v>
      </c>
      <c r="V271" s="324">
        <v>0</v>
      </c>
      <c r="W271" s="324">
        <v>0</v>
      </c>
      <c r="X271" s="324">
        <v>0</v>
      </c>
      <c r="Y271" s="324">
        <v>0</v>
      </c>
      <c r="Z271" s="324">
        <v>0</v>
      </c>
      <c r="AA271" s="324">
        <v>0</v>
      </c>
      <c r="AB271" s="324">
        <v>0</v>
      </c>
      <c r="AC271" s="324">
        <v>1400</v>
      </c>
      <c r="AD271" s="324">
        <v>0</v>
      </c>
      <c r="AE271" s="324">
        <v>0</v>
      </c>
      <c r="AF271" s="324">
        <v>0</v>
      </c>
      <c r="AG271" s="324">
        <v>0</v>
      </c>
      <c r="AH271" s="140">
        <f t="shared" si="9"/>
        <v>1400</v>
      </c>
    </row>
    <row r="272" spans="1:34" ht="12.75" customHeight="1" x14ac:dyDescent="0.25">
      <c r="A272" s="202"/>
      <c r="B272" s="22" t="s">
        <v>57</v>
      </c>
      <c r="C272" s="34" t="s">
        <v>44</v>
      </c>
      <c r="D272" s="22" t="s">
        <v>1059</v>
      </c>
      <c r="E272" s="22" t="s">
        <v>56</v>
      </c>
      <c r="F272" s="25" t="s">
        <v>1063</v>
      </c>
      <c r="G272" s="373" t="s">
        <v>1175</v>
      </c>
      <c r="H272" s="37" t="s">
        <v>1176</v>
      </c>
      <c r="I272" s="23" t="s">
        <v>1173</v>
      </c>
      <c r="J272" s="23" t="s">
        <v>1174</v>
      </c>
      <c r="K272" s="23" t="s">
        <v>1602</v>
      </c>
      <c r="L272" s="23"/>
      <c r="M272" s="2">
        <v>0</v>
      </c>
      <c r="N272" s="2">
        <v>0</v>
      </c>
      <c r="O272" s="2">
        <v>0</v>
      </c>
      <c r="P272" s="2">
        <v>0</v>
      </c>
      <c r="Q272" s="2">
        <v>75</v>
      </c>
      <c r="R272" s="2">
        <v>75</v>
      </c>
      <c r="S272" s="2">
        <v>75</v>
      </c>
      <c r="T272" s="2">
        <v>75</v>
      </c>
      <c r="U272" s="116">
        <f t="shared" si="8"/>
        <v>300</v>
      </c>
      <c r="V272" s="324">
        <v>50</v>
      </c>
      <c r="W272" s="324">
        <v>50</v>
      </c>
      <c r="X272" s="324">
        <v>50</v>
      </c>
      <c r="Y272" s="324">
        <v>50</v>
      </c>
      <c r="Z272" s="324">
        <v>50</v>
      </c>
      <c r="AA272" s="324">
        <v>50</v>
      </c>
      <c r="AB272" s="324">
        <v>50</v>
      </c>
      <c r="AC272" s="324">
        <v>50</v>
      </c>
      <c r="AD272" s="324">
        <v>50</v>
      </c>
      <c r="AE272" s="324">
        <v>50</v>
      </c>
      <c r="AF272" s="324">
        <v>50</v>
      </c>
      <c r="AG272" s="324">
        <v>50</v>
      </c>
      <c r="AH272" s="140">
        <f t="shared" si="9"/>
        <v>600</v>
      </c>
    </row>
    <row r="273" spans="1:34" ht="12.75" customHeight="1" x14ac:dyDescent="0.25">
      <c r="A273" s="202"/>
      <c r="B273" s="22" t="s">
        <v>57</v>
      </c>
      <c r="C273" s="34" t="s">
        <v>44</v>
      </c>
      <c r="D273" s="22" t="s">
        <v>1059</v>
      </c>
      <c r="E273" s="22" t="s">
        <v>56</v>
      </c>
      <c r="F273" s="25" t="s">
        <v>1063</v>
      </c>
      <c r="G273" s="373" t="s">
        <v>759</v>
      </c>
      <c r="H273" s="37" t="s">
        <v>1353</v>
      </c>
      <c r="I273" s="23" t="s">
        <v>347</v>
      </c>
      <c r="J273" s="23" t="s">
        <v>348</v>
      </c>
      <c r="K273" s="23" t="s">
        <v>349</v>
      </c>
      <c r="L273" s="23"/>
      <c r="M273" s="2">
        <v>141.84867095947266</v>
      </c>
      <c r="N273" s="2">
        <v>19.28049</v>
      </c>
      <c r="O273" s="2">
        <v>15</v>
      </c>
      <c r="P273" s="2">
        <v>15</v>
      </c>
      <c r="Q273" s="2">
        <v>19</v>
      </c>
      <c r="R273" s="2">
        <v>19.883230000000001</v>
      </c>
      <c r="S273" s="2">
        <v>25</v>
      </c>
      <c r="T273" s="2">
        <v>21.990000000000002</v>
      </c>
      <c r="U273" s="116">
        <f t="shared" si="8"/>
        <v>277.00239095947262</v>
      </c>
      <c r="V273" s="324">
        <v>0</v>
      </c>
      <c r="W273" s="324">
        <v>0</v>
      </c>
      <c r="X273" s="324">
        <v>0</v>
      </c>
      <c r="Y273" s="324">
        <v>0</v>
      </c>
      <c r="Z273" s="324">
        <v>0</v>
      </c>
      <c r="AA273" s="324">
        <v>0</v>
      </c>
      <c r="AB273" s="324">
        <v>0</v>
      </c>
      <c r="AC273" s="324">
        <v>0</v>
      </c>
      <c r="AD273" s="324">
        <v>0</v>
      </c>
      <c r="AE273" s="324">
        <v>0</v>
      </c>
      <c r="AF273" s="324">
        <v>0</v>
      </c>
      <c r="AG273" s="324">
        <v>0</v>
      </c>
      <c r="AH273" s="140">
        <f t="shared" si="9"/>
        <v>0</v>
      </c>
    </row>
    <row r="274" spans="1:34" ht="12.75" customHeight="1" x14ac:dyDescent="0.25">
      <c r="A274" s="202"/>
      <c r="B274" s="22" t="s">
        <v>57</v>
      </c>
      <c r="C274" s="34" t="s">
        <v>44</v>
      </c>
      <c r="D274" s="22" t="s">
        <v>1058</v>
      </c>
      <c r="E274" s="22" t="s">
        <v>62</v>
      </c>
      <c r="F274" s="25" t="s">
        <v>1062</v>
      </c>
      <c r="G274" s="373" t="s">
        <v>565</v>
      </c>
      <c r="H274" s="37" t="s">
        <v>59</v>
      </c>
      <c r="I274" s="23" t="s">
        <v>805</v>
      </c>
      <c r="J274" s="23" t="s">
        <v>806</v>
      </c>
      <c r="K274" s="23" t="s">
        <v>807</v>
      </c>
      <c r="L274" s="23"/>
      <c r="M274" s="2">
        <v>0</v>
      </c>
      <c r="N274" s="2">
        <v>0</v>
      </c>
      <c r="O274" s="2">
        <v>72</v>
      </c>
      <c r="P274" s="2">
        <v>0</v>
      </c>
      <c r="Q274" s="2">
        <v>0</v>
      </c>
      <c r="R274" s="2">
        <v>0</v>
      </c>
      <c r="S274" s="2">
        <v>0</v>
      </c>
      <c r="T274" s="2">
        <v>0</v>
      </c>
      <c r="U274" s="116">
        <f t="shared" si="8"/>
        <v>72</v>
      </c>
      <c r="V274" s="324">
        <v>0</v>
      </c>
      <c r="W274" s="324">
        <v>0</v>
      </c>
      <c r="X274" s="324">
        <v>0</v>
      </c>
      <c r="Y274" s="324">
        <v>0</v>
      </c>
      <c r="Z274" s="324">
        <v>0</v>
      </c>
      <c r="AA274" s="324">
        <v>0</v>
      </c>
      <c r="AB274" s="324">
        <v>0</v>
      </c>
      <c r="AC274" s="324">
        <v>0</v>
      </c>
      <c r="AD274" s="324">
        <v>0</v>
      </c>
      <c r="AE274" s="324">
        <v>0</v>
      </c>
      <c r="AF274" s="324">
        <v>0</v>
      </c>
      <c r="AG274" s="324">
        <v>0</v>
      </c>
      <c r="AH274" s="140">
        <f t="shared" si="9"/>
        <v>0</v>
      </c>
    </row>
    <row r="275" spans="1:34" ht="12.75" customHeight="1" x14ac:dyDescent="0.25">
      <c r="A275" s="202"/>
      <c r="B275" s="22" t="s">
        <v>57</v>
      </c>
      <c r="C275" s="34" t="s">
        <v>44</v>
      </c>
      <c r="D275" s="22" t="s">
        <v>1058</v>
      </c>
      <c r="E275" s="22" t="s">
        <v>62</v>
      </c>
      <c r="F275" s="25" t="s">
        <v>1062</v>
      </c>
      <c r="G275" s="373" t="s">
        <v>565</v>
      </c>
      <c r="H275" s="37" t="s">
        <v>59</v>
      </c>
      <c r="I275" s="23" t="s">
        <v>808</v>
      </c>
      <c r="J275" s="23" t="s">
        <v>809</v>
      </c>
      <c r="K275" s="23" t="s">
        <v>810</v>
      </c>
      <c r="L275" s="23"/>
      <c r="M275" s="2">
        <v>0</v>
      </c>
      <c r="N275" s="2">
        <v>95</v>
      </c>
      <c r="O275" s="2">
        <v>0</v>
      </c>
      <c r="P275" s="2">
        <v>0</v>
      </c>
      <c r="Q275" s="2">
        <v>0</v>
      </c>
      <c r="R275" s="2">
        <v>0</v>
      </c>
      <c r="S275" s="2">
        <v>0</v>
      </c>
      <c r="T275" s="2">
        <v>0</v>
      </c>
      <c r="U275" s="116">
        <f t="shared" si="8"/>
        <v>95</v>
      </c>
      <c r="V275" s="324">
        <v>0</v>
      </c>
      <c r="W275" s="324">
        <v>0</v>
      </c>
      <c r="X275" s="324">
        <v>0</v>
      </c>
      <c r="Y275" s="324">
        <v>0</v>
      </c>
      <c r="Z275" s="324">
        <v>0</v>
      </c>
      <c r="AA275" s="324">
        <v>0</v>
      </c>
      <c r="AB275" s="324">
        <v>0</v>
      </c>
      <c r="AC275" s="324">
        <v>0</v>
      </c>
      <c r="AD275" s="324">
        <v>0</v>
      </c>
      <c r="AE275" s="324">
        <v>0</v>
      </c>
      <c r="AF275" s="324">
        <v>0</v>
      </c>
      <c r="AG275" s="324">
        <v>0</v>
      </c>
      <c r="AH275" s="140">
        <f t="shared" si="9"/>
        <v>0</v>
      </c>
    </row>
    <row r="276" spans="1:34" ht="12.75" customHeight="1" x14ac:dyDescent="0.25">
      <c r="A276" s="202"/>
      <c r="B276" s="22" t="s">
        <v>57</v>
      </c>
      <c r="C276" s="34" t="s">
        <v>44</v>
      </c>
      <c r="D276" s="22" t="s">
        <v>1059</v>
      </c>
      <c r="E276" s="22" t="s">
        <v>62</v>
      </c>
      <c r="F276" s="25" t="s">
        <v>1065</v>
      </c>
      <c r="G276" s="373" t="s">
        <v>1651</v>
      </c>
      <c r="H276" s="37" t="s">
        <v>1653</v>
      </c>
      <c r="I276" s="23" t="s">
        <v>1670</v>
      </c>
      <c r="J276" s="23" t="s">
        <v>1692</v>
      </c>
      <c r="K276" s="23" t="s">
        <v>1698</v>
      </c>
      <c r="L276" s="23"/>
      <c r="M276" s="2">
        <v>0</v>
      </c>
      <c r="N276" s="2">
        <v>0</v>
      </c>
      <c r="O276" s="2">
        <v>0</v>
      </c>
      <c r="P276" s="2">
        <v>0</v>
      </c>
      <c r="Q276" s="2">
        <v>0</v>
      </c>
      <c r="R276" s="2">
        <v>30</v>
      </c>
      <c r="S276" s="2">
        <v>30</v>
      </c>
      <c r="T276" s="2">
        <v>60</v>
      </c>
      <c r="U276" s="116">
        <f t="shared" si="8"/>
        <v>120</v>
      </c>
      <c r="V276" s="324">
        <v>60</v>
      </c>
      <c r="W276" s="324">
        <v>60</v>
      </c>
      <c r="X276" s="324">
        <v>60</v>
      </c>
      <c r="Y276" s="324">
        <v>60</v>
      </c>
      <c r="Z276" s="324">
        <v>0</v>
      </c>
      <c r="AA276" s="324">
        <v>0</v>
      </c>
      <c r="AB276" s="324">
        <v>0</v>
      </c>
      <c r="AC276" s="324">
        <v>0</v>
      </c>
      <c r="AD276" s="324">
        <v>0</v>
      </c>
      <c r="AE276" s="324">
        <v>0</v>
      </c>
      <c r="AF276" s="324">
        <v>0</v>
      </c>
      <c r="AG276" s="324">
        <v>0</v>
      </c>
      <c r="AH276" s="140">
        <f t="shared" si="9"/>
        <v>240</v>
      </c>
    </row>
    <row r="277" spans="1:34" ht="12.75" customHeight="1" x14ac:dyDescent="0.25">
      <c r="A277" s="202"/>
      <c r="B277" s="22" t="s">
        <v>57</v>
      </c>
      <c r="C277" s="34" t="s">
        <v>44</v>
      </c>
      <c r="D277" s="22" t="s">
        <v>1060</v>
      </c>
      <c r="E277" s="22" t="s">
        <v>56</v>
      </c>
      <c r="F277" s="25" t="s">
        <v>1067</v>
      </c>
      <c r="G277" s="373" t="s">
        <v>565</v>
      </c>
      <c r="H277" s="37" t="s">
        <v>59</v>
      </c>
      <c r="I277" s="23" t="s">
        <v>325</v>
      </c>
      <c r="J277" s="23" t="s">
        <v>325</v>
      </c>
      <c r="K277" s="23" t="s">
        <v>751</v>
      </c>
      <c r="L277" s="23"/>
      <c r="M277" s="2">
        <v>0</v>
      </c>
      <c r="N277" s="2">
        <v>0</v>
      </c>
      <c r="O277" s="2">
        <v>0</v>
      </c>
      <c r="P277" s="2">
        <v>0</v>
      </c>
      <c r="Q277" s="2">
        <v>0</v>
      </c>
      <c r="R277" s="2">
        <v>0</v>
      </c>
      <c r="S277" s="2">
        <v>0</v>
      </c>
      <c r="T277" s="2">
        <v>0</v>
      </c>
      <c r="U277" s="116">
        <f t="shared" si="8"/>
        <v>0</v>
      </c>
      <c r="V277" s="324">
        <v>0</v>
      </c>
      <c r="W277" s="324">
        <v>0</v>
      </c>
      <c r="X277" s="324">
        <v>0</v>
      </c>
      <c r="Y277" s="324">
        <v>0</v>
      </c>
      <c r="Z277" s="324">
        <v>0</v>
      </c>
      <c r="AA277" s="324">
        <v>0</v>
      </c>
      <c r="AB277" s="324">
        <v>0</v>
      </c>
      <c r="AC277" s="324">
        <v>0</v>
      </c>
      <c r="AD277" s="324">
        <v>0</v>
      </c>
      <c r="AE277" s="324">
        <v>0</v>
      </c>
      <c r="AF277" s="324">
        <v>0</v>
      </c>
      <c r="AG277" s="324">
        <v>0</v>
      </c>
      <c r="AH277" s="140">
        <f t="shared" si="9"/>
        <v>0</v>
      </c>
    </row>
    <row r="278" spans="1:34" ht="12.75" customHeight="1" x14ac:dyDescent="0.25">
      <c r="A278" s="202"/>
      <c r="B278" s="22" t="s">
        <v>57</v>
      </c>
      <c r="C278" s="34" t="s">
        <v>44</v>
      </c>
      <c r="D278" s="22" t="s">
        <v>1059</v>
      </c>
      <c r="E278" s="22" t="s">
        <v>56</v>
      </c>
      <c r="F278" s="25" t="s">
        <v>1063</v>
      </c>
      <c r="G278" s="373" t="s">
        <v>763</v>
      </c>
      <c r="H278" s="37" t="s">
        <v>1362</v>
      </c>
      <c r="I278" s="23" t="s">
        <v>379</v>
      </c>
      <c r="J278" s="23" t="s">
        <v>380</v>
      </c>
      <c r="K278" s="23" t="s">
        <v>381</v>
      </c>
      <c r="L278" s="23"/>
      <c r="M278" s="2">
        <v>133.71533203125</v>
      </c>
      <c r="N278" s="2">
        <v>132</v>
      </c>
      <c r="O278" s="2">
        <v>184</v>
      </c>
      <c r="P278" s="2">
        <v>53</v>
      </c>
      <c r="Q278" s="2">
        <v>72</v>
      </c>
      <c r="R278" s="2">
        <v>42</v>
      </c>
      <c r="S278" s="2">
        <v>12</v>
      </c>
      <c r="T278" s="2">
        <v>2</v>
      </c>
      <c r="U278" s="116">
        <f t="shared" si="8"/>
        <v>630.71533203125</v>
      </c>
      <c r="V278" s="324">
        <v>37</v>
      </c>
      <c r="W278" s="324">
        <v>2</v>
      </c>
      <c r="X278" s="324">
        <v>15</v>
      </c>
      <c r="Y278" s="324">
        <v>0</v>
      </c>
      <c r="Z278" s="324">
        <v>0</v>
      </c>
      <c r="AA278" s="324">
        <v>0</v>
      </c>
      <c r="AB278" s="324">
        <v>0</v>
      </c>
      <c r="AC278" s="324">
        <v>0</v>
      </c>
      <c r="AD278" s="324">
        <v>0</v>
      </c>
      <c r="AE278" s="324">
        <v>0</v>
      </c>
      <c r="AF278" s="324">
        <v>0</v>
      </c>
      <c r="AG278" s="324">
        <v>0</v>
      </c>
      <c r="AH278" s="140">
        <f t="shared" si="9"/>
        <v>54</v>
      </c>
    </row>
    <row r="279" spans="1:34" ht="12.75" customHeight="1" x14ac:dyDescent="0.25">
      <c r="A279" s="202"/>
      <c r="B279" s="22" t="s">
        <v>57</v>
      </c>
      <c r="C279" s="34" t="s">
        <v>44</v>
      </c>
      <c r="D279" s="22" t="s">
        <v>1059</v>
      </c>
      <c r="E279" s="22" t="s">
        <v>56</v>
      </c>
      <c r="F279" s="25" t="s">
        <v>1063</v>
      </c>
      <c r="G279" s="373" t="s">
        <v>565</v>
      </c>
      <c r="H279" s="37" t="s">
        <v>59</v>
      </c>
      <c r="I279" s="23" t="s">
        <v>326</v>
      </c>
      <c r="J279" s="23" t="s">
        <v>327</v>
      </c>
      <c r="K279" s="23" t="s">
        <v>328</v>
      </c>
      <c r="L279" s="23"/>
      <c r="M279" s="2">
        <v>0</v>
      </c>
      <c r="N279" s="2">
        <v>0</v>
      </c>
      <c r="O279" s="2">
        <v>0</v>
      </c>
      <c r="P279" s="2">
        <v>0</v>
      </c>
      <c r="Q279" s="2">
        <v>0</v>
      </c>
      <c r="R279" s="2">
        <v>0</v>
      </c>
      <c r="S279" s="2">
        <v>0</v>
      </c>
      <c r="T279" s="2">
        <v>0</v>
      </c>
      <c r="U279" s="116">
        <f t="shared" si="8"/>
        <v>0</v>
      </c>
      <c r="V279" s="324">
        <v>0</v>
      </c>
      <c r="W279" s="324">
        <v>0</v>
      </c>
      <c r="X279" s="324">
        <v>0</v>
      </c>
      <c r="Y279" s="324">
        <v>0</v>
      </c>
      <c r="Z279" s="324">
        <v>0</v>
      </c>
      <c r="AA279" s="324">
        <v>0</v>
      </c>
      <c r="AB279" s="324">
        <v>0</v>
      </c>
      <c r="AC279" s="324">
        <v>0</v>
      </c>
      <c r="AD279" s="324">
        <v>0</v>
      </c>
      <c r="AE279" s="324">
        <v>0</v>
      </c>
      <c r="AF279" s="324">
        <v>0</v>
      </c>
      <c r="AG279" s="324">
        <v>35</v>
      </c>
      <c r="AH279" s="140">
        <f t="shared" si="9"/>
        <v>35</v>
      </c>
    </row>
    <row r="280" spans="1:34" ht="12.75" customHeight="1" x14ac:dyDescent="0.25">
      <c r="A280" s="202"/>
      <c r="B280" s="22" t="s">
        <v>57</v>
      </c>
      <c r="C280" s="34" t="s">
        <v>44</v>
      </c>
      <c r="D280" s="22" t="s">
        <v>318</v>
      </c>
      <c r="E280" s="22" t="s">
        <v>56</v>
      </c>
      <c r="F280" s="25" t="s">
        <v>1066</v>
      </c>
      <c r="G280" s="373" t="s">
        <v>1339</v>
      </c>
      <c r="H280" s="37" t="s">
        <v>1340</v>
      </c>
      <c r="I280" s="23" t="s">
        <v>1003</v>
      </c>
      <c r="J280" s="23" t="s">
        <v>1004</v>
      </c>
      <c r="K280" s="23" t="s">
        <v>1005</v>
      </c>
      <c r="L280" s="23"/>
      <c r="M280" s="2">
        <v>0</v>
      </c>
      <c r="N280" s="2">
        <v>0</v>
      </c>
      <c r="O280" s="2">
        <v>0</v>
      </c>
      <c r="P280" s="2">
        <v>0</v>
      </c>
      <c r="Q280" s="2">
        <v>0</v>
      </c>
      <c r="R280" s="2">
        <v>0</v>
      </c>
      <c r="S280" s="2">
        <v>0</v>
      </c>
      <c r="T280" s="2">
        <v>0</v>
      </c>
      <c r="U280" s="116">
        <f t="shared" si="8"/>
        <v>0</v>
      </c>
      <c r="V280" s="324">
        <v>0</v>
      </c>
      <c r="W280" s="324">
        <v>0</v>
      </c>
      <c r="X280" s="324">
        <v>843</v>
      </c>
      <c r="Y280" s="324">
        <v>202</v>
      </c>
      <c r="Z280" s="324">
        <v>0</v>
      </c>
      <c r="AA280" s="324">
        <v>0</v>
      </c>
      <c r="AB280" s="324">
        <v>0</v>
      </c>
      <c r="AC280" s="324">
        <v>0</v>
      </c>
      <c r="AD280" s="324">
        <v>0</v>
      </c>
      <c r="AE280" s="324">
        <v>0</v>
      </c>
      <c r="AF280" s="324">
        <v>0</v>
      </c>
      <c r="AG280" s="324">
        <v>0</v>
      </c>
      <c r="AH280" s="140">
        <f t="shared" si="9"/>
        <v>1045</v>
      </c>
    </row>
    <row r="281" spans="1:34" ht="12.75" customHeight="1" x14ac:dyDescent="0.25">
      <c r="A281" s="202"/>
      <c r="B281" s="22" t="s">
        <v>57</v>
      </c>
      <c r="C281" s="34" t="s">
        <v>44</v>
      </c>
      <c r="D281" s="22" t="s">
        <v>318</v>
      </c>
      <c r="E281" s="22" t="s">
        <v>62</v>
      </c>
      <c r="F281" s="25" t="s">
        <v>1066</v>
      </c>
      <c r="G281" s="373" t="s">
        <v>1645</v>
      </c>
      <c r="H281" s="37" t="s">
        <v>1646</v>
      </c>
      <c r="I281" s="23" t="s">
        <v>1605</v>
      </c>
      <c r="J281" s="23" t="s">
        <v>1682</v>
      </c>
      <c r="K281" s="23" t="s">
        <v>1683</v>
      </c>
      <c r="L281" s="23"/>
      <c r="M281" s="2">
        <v>0</v>
      </c>
      <c r="N281" s="2">
        <v>0</v>
      </c>
      <c r="O281" s="2">
        <v>0</v>
      </c>
      <c r="P281" s="2">
        <v>0</v>
      </c>
      <c r="Q281" s="2">
        <v>0</v>
      </c>
      <c r="R281" s="2">
        <v>60</v>
      </c>
      <c r="S281" s="2">
        <v>440</v>
      </c>
      <c r="T281" s="2">
        <v>0</v>
      </c>
      <c r="U281" s="116">
        <f t="shared" si="8"/>
        <v>500</v>
      </c>
      <c r="V281" s="324">
        <v>0</v>
      </c>
      <c r="W281" s="324">
        <v>0</v>
      </c>
      <c r="X281" s="324">
        <v>0</v>
      </c>
      <c r="Y281" s="324">
        <v>0</v>
      </c>
      <c r="Z281" s="324">
        <v>0</v>
      </c>
      <c r="AA281" s="324">
        <v>0</v>
      </c>
      <c r="AB281" s="324">
        <v>0</v>
      </c>
      <c r="AC281" s="324">
        <v>0</v>
      </c>
      <c r="AD281" s="324">
        <v>0</v>
      </c>
      <c r="AE281" s="324">
        <v>0</v>
      </c>
      <c r="AF281" s="324">
        <v>0</v>
      </c>
      <c r="AG281" s="324">
        <v>0</v>
      </c>
      <c r="AH281" s="140">
        <f t="shared" si="9"/>
        <v>0</v>
      </c>
    </row>
    <row r="282" spans="1:34" ht="12.75" customHeight="1" x14ac:dyDescent="0.25">
      <c r="A282" s="202"/>
      <c r="B282" s="22" t="s">
        <v>57</v>
      </c>
      <c r="C282" s="34" t="s">
        <v>44</v>
      </c>
      <c r="D282" s="22" t="s">
        <v>1059</v>
      </c>
      <c r="E282" s="22" t="s">
        <v>56</v>
      </c>
      <c r="F282" s="25" t="s">
        <v>1063</v>
      </c>
      <c r="G282" s="373" t="s">
        <v>1017</v>
      </c>
      <c r="H282" s="37" t="s">
        <v>59</v>
      </c>
      <c r="I282" s="23" t="s">
        <v>1018</v>
      </c>
      <c r="J282" s="23"/>
      <c r="K282" s="23"/>
      <c r="L282" s="23"/>
      <c r="M282" s="2">
        <v>0</v>
      </c>
      <c r="N282" s="2">
        <v>0</v>
      </c>
      <c r="O282" s="2">
        <v>0</v>
      </c>
      <c r="P282" s="2">
        <v>0</v>
      </c>
      <c r="Q282" s="2">
        <v>0</v>
      </c>
      <c r="R282" s="2">
        <v>0</v>
      </c>
      <c r="S282" s="2">
        <v>0</v>
      </c>
      <c r="T282" s="2">
        <v>0</v>
      </c>
      <c r="U282" s="116">
        <f t="shared" si="8"/>
        <v>0</v>
      </c>
      <c r="V282" s="324">
        <v>0</v>
      </c>
      <c r="W282" s="324">
        <v>0</v>
      </c>
      <c r="X282" s="324">
        <v>0</v>
      </c>
      <c r="Y282" s="324">
        <v>0</v>
      </c>
      <c r="Z282" s="324">
        <v>0</v>
      </c>
      <c r="AA282" s="324">
        <v>0</v>
      </c>
      <c r="AB282" s="324">
        <v>300</v>
      </c>
      <c r="AC282" s="324">
        <v>0</v>
      </c>
      <c r="AD282" s="324">
        <v>0</v>
      </c>
      <c r="AE282" s="324">
        <v>0</v>
      </c>
      <c r="AF282" s="324">
        <v>0</v>
      </c>
      <c r="AG282" s="324">
        <v>0</v>
      </c>
      <c r="AH282" s="140">
        <f t="shared" si="9"/>
        <v>300</v>
      </c>
    </row>
    <row r="283" spans="1:34" ht="12.75" customHeight="1" x14ac:dyDescent="0.25">
      <c r="A283" s="202"/>
      <c r="B283" s="22" t="s">
        <v>57</v>
      </c>
      <c r="C283" s="34" t="s">
        <v>44</v>
      </c>
      <c r="D283" s="22" t="s">
        <v>318</v>
      </c>
      <c r="E283" s="22" t="s">
        <v>56</v>
      </c>
      <c r="F283" s="25" t="s">
        <v>1066</v>
      </c>
      <c r="G283" s="373" t="s">
        <v>1350</v>
      </c>
      <c r="H283" s="37" t="s">
        <v>1352</v>
      </c>
      <c r="I283" s="23" t="s">
        <v>1006</v>
      </c>
      <c r="J283" s="23" t="s">
        <v>1007</v>
      </c>
      <c r="K283" s="23" t="s">
        <v>1008</v>
      </c>
      <c r="L283" s="23"/>
      <c r="M283" s="2">
        <v>0</v>
      </c>
      <c r="N283" s="2">
        <v>0</v>
      </c>
      <c r="O283" s="2">
        <v>0</v>
      </c>
      <c r="P283" s="2">
        <v>0</v>
      </c>
      <c r="Q283" s="2">
        <v>0</v>
      </c>
      <c r="R283" s="2">
        <v>0</v>
      </c>
      <c r="S283" s="2">
        <v>0</v>
      </c>
      <c r="T283" s="2">
        <v>0</v>
      </c>
      <c r="U283" s="116">
        <f t="shared" si="8"/>
        <v>0</v>
      </c>
      <c r="V283" s="324">
        <v>0</v>
      </c>
      <c r="W283" s="324">
        <v>0</v>
      </c>
      <c r="X283" s="324">
        <v>221</v>
      </c>
      <c r="Y283" s="324">
        <v>58</v>
      </c>
      <c r="Z283" s="324">
        <v>0</v>
      </c>
      <c r="AA283" s="324">
        <v>0</v>
      </c>
      <c r="AB283" s="324">
        <v>0</v>
      </c>
      <c r="AC283" s="324">
        <v>0</v>
      </c>
      <c r="AD283" s="324">
        <v>0</v>
      </c>
      <c r="AE283" s="324">
        <v>0</v>
      </c>
      <c r="AF283" s="324">
        <v>0</v>
      </c>
      <c r="AG283" s="324">
        <v>0</v>
      </c>
      <c r="AH283" s="140">
        <f t="shared" si="9"/>
        <v>279</v>
      </c>
    </row>
    <row r="284" spans="1:34" ht="12.75" customHeight="1" x14ac:dyDescent="0.25">
      <c r="A284" s="202"/>
      <c r="B284" s="22" t="s">
        <v>57</v>
      </c>
      <c r="C284" s="34" t="s">
        <v>44</v>
      </c>
      <c r="D284" s="22" t="s">
        <v>1059</v>
      </c>
      <c r="E284" s="22" t="s">
        <v>56</v>
      </c>
      <c r="F284" s="25" t="s">
        <v>1063</v>
      </c>
      <c r="G284" s="373" t="s">
        <v>565</v>
      </c>
      <c r="H284" s="37" t="s">
        <v>59</v>
      </c>
      <c r="I284" s="23" t="s">
        <v>419</v>
      </c>
      <c r="J284" s="23" t="s">
        <v>420</v>
      </c>
      <c r="K284" s="23" t="s">
        <v>421</v>
      </c>
      <c r="L284" s="23"/>
      <c r="M284" s="2">
        <v>0</v>
      </c>
      <c r="N284" s="2">
        <v>0</v>
      </c>
      <c r="O284" s="2">
        <v>0</v>
      </c>
      <c r="P284" s="2">
        <v>0</v>
      </c>
      <c r="Q284" s="2">
        <v>0</v>
      </c>
      <c r="R284" s="2">
        <v>0</v>
      </c>
      <c r="S284" s="2">
        <v>0</v>
      </c>
      <c r="T284" s="2">
        <v>0</v>
      </c>
      <c r="U284" s="116">
        <f t="shared" si="8"/>
        <v>0</v>
      </c>
      <c r="V284" s="324">
        <v>0</v>
      </c>
      <c r="W284" s="324">
        <v>0</v>
      </c>
      <c r="X284" s="324">
        <v>0</v>
      </c>
      <c r="Y284" s="324">
        <v>0</v>
      </c>
      <c r="Z284" s="324">
        <v>0</v>
      </c>
      <c r="AA284" s="324">
        <v>0</v>
      </c>
      <c r="AB284" s="324">
        <v>0</v>
      </c>
      <c r="AC284" s="324">
        <v>0</v>
      </c>
      <c r="AD284" s="324">
        <v>0</v>
      </c>
      <c r="AE284" s="324">
        <v>0</v>
      </c>
      <c r="AF284" s="324">
        <v>0</v>
      </c>
      <c r="AG284" s="324">
        <v>0</v>
      </c>
      <c r="AH284" s="140">
        <f t="shared" si="9"/>
        <v>0</v>
      </c>
    </row>
    <row r="285" spans="1:34" ht="12.75" customHeight="1" x14ac:dyDescent="0.25">
      <c r="A285" s="202"/>
      <c r="B285" s="22" t="s">
        <v>57</v>
      </c>
      <c r="C285" s="34" t="s">
        <v>44</v>
      </c>
      <c r="D285" s="22" t="s">
        <v>1059</v>
      </c>
      <c r="E285" s="22" t="s">
        <v>62</v>
      </c>
      <c r="F285" s="25" t="s">
        <v>1063</v>
      </c>
      <c r="G285" s="373" t="s">
        <v>565</v>
      </c>
      <c r="H285" s="37" t="s">
        <v>59</v>
      </c>
      <c r="I285" s="23" t="s">
        <v>533</v>
      </c>
      <c r="J285" s="23" t="s">
        <v>534</v>
      </c>
      <c r="K285" s="23" t="s">
        <v>535</v>
      </c>
      <c r="L285" s="23"/>
      <c r="M285" s="2">
        <v>0</v>
      </c>
      <c r="N285" s="2">
        <v>0</v>
      </c>
      <c r="O285" s="2">
        <v>0</v>
      </c>
      <c r="P285" s="2">
        <v>0</v>
      </c>
      <c r="Q285" s="2">
        <v>0</v>
      </c>
      <c r="R285" s="2">
        <v>0</v>
      </c>
      <c r="S285" s="2">
        <v>0</v>
      </c>
      <c r="T285" s="2">
        <v>0</v>
      </c>
      <c r="U285" s="116">
        <f t="shared" si="8"/>
        <v>0</v>
      </c>
      <c r="V285" s="324">
        <v>0</v>
      </c>
      <c r="W285" s="324">
        <v>0</v>
      </c>
      <c r="X285" s="324">
        <v>0</v>
      </c>
      <c r="Y285" s="324">
        <v>200</v>
      </c>
      <c r="Z285" s="324">
        <v>0</v>
      </c>
      <c r="AA285" s="324">
        <v>150</v>
      </c>
      <c r="AB285" s="324">
        <v>0</v>
      </c>
      <c r="AC285" s="324">
        <v>0</v>
      </c>
      <c r="AD285" s="324">
        <v>0</v>
      </c>
      <c r="AE285" s="324">
        <v>0</v>
      </c>
      <c r="AF285" s="324">
        <v>0</v>
      </c>
      <c r="AG285" s="324">
        <v>0</v>
      </c>
      <c r="AH285" s="140">
        <f t="shared" si="9"/>
        <v>350</v>
      </c>
    </row>
    <row r="286" spans="1:34" ht="12.75" customHeight="1" x14ac:dyDescent="0.25">
      <c r="A286" s="202"/>
      <c r="B286" s="22" t="s">
        <v>57</v>
      </c>
      <c r="C286" s="34" t="s">
        <v>44</v>
      </c>
      <c r="D286" s="22" t="s">
        <v>1059</v>
      </c>
      <c r="E286" s="22" t="s">
        <v>56</v>
      </c>
      <c r="F286" s="25" t="s">
        <v>1063</v>
      </c>
      <c r="G286" s="373" t="s">
        <v>565</v>
      </c>
      <c r="H286" s="37" t="s">
        <v>59</v>
      </c>
      <c r="I286" s="23" t="s">
        <v>1786</v>
      </c>
      <c r="J286" s="23"/>
      <c r="K286" s="23"/>
      <c r="L286" s="23"/>
      <c r="M286" s="2">
        <v>0</v>
      </c>
      <c r="N286" s="2">
        <v>0</v>
      </c>
      <c r="O286" s="2">
        <v>0</v>
      </c>
      <c r="P286" s="2">
        <v>0</v>
      </c>
      <c r="Q286" s="2">
        <v>0</v>
      </c>
      <c r="R286" s="2"/>
      <c r="S286" s="2"/>
      <c r="T286" s="2"/>
      <c r="U286" s="116">
        <f t="shared" si="8"/>
        <v>0</v>
      </c>
      <c r="V286" s="324">
        <v>0</v>
      </c>
      <c r="W286" s="324">
        <v>0</v>
      </c>
      <c r="X286" s="324">
        <v>0</v>
      </c>
      <c r="Y286" s="324">
        <v>0</v>
      </c>
      <c r="Z286" s="324">
        <v>0</v>
      </c>
      <c r="AA286" s="324">
        <v>0</v>
      </c>
      <c r="AB286" s="324">
        <v>100</v>
      </c>
      <c r="AC286" s="324">
        <v>0</v>
      </c>
      <c r="AD286" s="324">
        <v>250</v>
      </c>
      <c r="AE286" s="324">
        <v>0</v>
      </c>
      <c r="AF286" s="324">
        <v>241</v>
      </c>
      <c r="AG286" s="324">
        <v>0</v>
      </c>
      <c r="AH286" s="140">
        <f t="shared" si="9"/>
        <v>591</v>
      </c>
    </row>
    <row r="287" spans="1:34" ht="12.75" customHeight="1" x14ac:dyDescent="0.25">
      <c r="A287" s="202"/>
      <c r="B287" s="22" t="s">
        <v>57</v>
      </c>
      <c r="C287" s="34" t="s">
        <v>44</v>
      </c>
      <c r="D287" s="22" t="s">
        <v>1059</v>
      </c>
      <c r="E287" s="22" t="s">
        <v>62</v>
      </c>
      <c r="F287" s="25" t="s">
        <v>1063</v>
      </c>
      <c r="G287" s="373" t="s">
        <v>565</v>
      </c>
      <c r="H287" s="37" t="s">
        <v>59</v>
      </c>
      <c r="I287" s="23" t="s">
        <v>862</v>
      </c>
      <c r="J287" s="23" t="s">
        <v>863</v>
      </c>
      <c r="K287" s="23" t="s">
        <v>864</v>
      </c>
      <c r="L287" s="23"/>
      <c r="M287" s="2">
        <v>0</v>
      </c>
      <c r="N287" s="2">
        <v>0</v>
      </c>
      <c r="O287" s="2">
        <v>0</v>
      </c>
      <c r="P287" s="2">
        <v>25</v>
      </c>
      <c r="Q287" s="2">
        <v>25</v>
      </c>
      <c r="R287" s="2">
        <v>50</v>
      </c>
      <c r="S287" s="2">
        <v>25</v>
      </c>
      <c r="T287" s="2">
        <v>75</v>
      </c>
      <c r="U287" s="116">
        <f t="shared" si="8"/>
        <v>200</v>
      </c>
      <c r="V287" s="324">
        <v>0</v>
      </c>
      <c r="W287" s="324">
        <v>0</v>
      </c>
      <c r="X287" s="324">
        <v>0</v>
      </c>
      <c r="Y287" s="324">
        <v>0</v>
      </c>
      <c r="Z287" s="324">
        <v>0</v>
      </c>
      <c r="AA287" s="324">
        <v>0</v>
      </c>
      <c r="AB287" s="324">
        <v>0</v>
      </c>
      <c r="AC287" s="324">
        <v>0</v>
      </c>
      <c r="AD287" s="324">
        <v>0</v>
      </c>
      <c r="AE287" s="324">
        <v>0</v>
      </c>
      <c r="AF287" s="324">
        <v>0</v>
      </c>
      <c r="AG287" s="324">
        <v>0</v>
      </c>
      <c r="AH287" s="140">
        <f t="shared" si="9"/>
        <v>0</v>
      </c>
    </row>
    <row r="288" spans="1:34" ht="12.75" customHeight="1" x14ac:dyDescent="0.25">
      <c r="A288" s="202"/>
      <c r="B288" s="22" t="s">
        <v>57</v>
      </c>
      <c r="C288" s="34" t="s">
        <v>44</v>
      </c>
      <c r="D288" s="22" t="s">
        <v>1059</v>
      </c>
      <c r="E288" s="22" t="s">
        <v>56</v>
      </c>
      <c r="F288" s="25" t="s">
        <v>1065</v>
      </c>
      <c r="G288" s="373" t="s">
        <v>566</v>
      </c>
      <c r="H288" s="37" t="s">
        <v>1374</v>
      </c>
      <c r="I288" s="23" t="s">
        <v>713</v>
      </c>
      <c r="J288" s="23" t="s">
        <v>714</v>
      </c>
      <c r="K288" s="23" t="s">
        <v>715</v>
      </c>
      <c r="L288" s="23"/>
      <c r="M288" s="2">
        <v>0</v>
      </c>
      <c r="N288" s="2">
        <v>0</v>
      </c>
      <c r="O288" s="2">
        <v>0</v>
      </c>
      <c r="P288" s="2">
        <v>0</v>
      </c>
      <c r="Q288" s="2">
        <v>100</v>
      </c>
      <c r="R288" s="2">
        <v>100</v>
      </c>
      <c r="S288" s="2">
        <v>125</v>
      </c>
      <c r="T288" s="2">
        <v>124</v>
      </c>
      <c r="U288" s="116">
        <f t="shared" si="8"/>
        <v>449</v>
      </c>
      <c r="V288" s="324">
        <v>0</v>
      </c>
      <c r="W288" s="324">
        <v>0</v>
      </c>
      <c r="X288" s="324">
        <v>0</v>
      </c>
      <c r="Y288" s="324">
        <v>0</v>
      </c>
      <c r="Z288" s="324">
        <v>0</v>
      </c>
      <c r="AA288" s="324">
        <v>0</v>
      </c>
      <c r="AB288" s="324">
        <v>0</v>
      </c>
      <c r="AC288" s="324">
        <v>0</v>
      </c>
      <c r="AD288" s="324">
        <v>0</v>
      </c>
      <c r="AE288" s="324">
        <v>0</v>
      </c>
      <c r="AF288" s="324">
        <v>0</v>
      </c>
      <c r="AG288" s="324">
        <v>0</v>
      </c>
      <c r="AH288" s="140">
        <f t="shared" si="9"/>
        <v>0</v>
      </c>
    </row>
    <row r="289" spans="1:34" ht="12.75" customHeight="1" x14ac:dyDescent="0.25">
      <c r="A289" s="202"/>
      <c r="B289" s="22" t="s">
        <v>57</v>
      </c>
      <c r="C289" s="34" t="s">
        <v>44</v>
      </c>
      <c r="D289" s="22" t="s">
        <v>1059</v>
      </c>
      <c r="E289" s="22" t="s">
        <v>56</v>
      </c>
      <c r="F289" s="25" t="s">
        <v>1063</v>
      </c>
      <c r="G289" s="373" t="s">
        <v>565</v>
      </c>
      <c r="H289" s="37" t="s">
        <v>59</v>
      </c>
      <c r="I289" s="23" t="s">
        <v>1015</v>
      </c>
      <c r="J289" s="23" t="s">
        <v>1016</v>
      </c>
      <c r="K289" s="23"/>
      <c r="L289" s="23"/>
      <c r="M289" s="2">
        <v>0</v>
      </c>
      <c r="N289" s="2">
        <v>0</v>
      </c>
      <c r="O289" s="2">
        <v>0</v>
      </c>
      <c r="P289" s="2">
        <v>0</v>
      </c>
      <c r="Q289" s="2">
        <v>0</v>
      </c>
      <c r="R289" s="2">
        <v>0</v>
      </c>
      <c r="S289" s="2">
        <v>0</v>
      </c>
      <c r="T289" s="2">
        <v>0</v>
      </c>
      <c r="U289" s="116">
        <f t="shared" si="8"/>
        <v>0</v>
      </c>
      <c r="V289" s="324">
        <v>0</v>
      </c>
      <c r="W289" s="324">
        <v>0</v>
      </c>
      <c r="X289" s="324">
        <v>0</v>
      </c>
      <c r="Y289" s="324">
        <v>0</v>
      </c>
      <c r="Z289" s="324">
        <v>0</v>
      </c>
      <c r="AA289" s="324">
        <v>0</v>
      </c>
      <c r="AB289" s="324">
        <v>0</v>
      </c>
      <c r="AC289" s="324">
        <v>0</v>
      </c>
      <c r="AD289" s="324">
        <v>0</v>
      </c>
      <c r="AE289" s="324">
        <v>0</v>
      </c>
      <c r="AF289" s="324">
        <v>0</v>
      </c>
      <c r="AG289" s="324">
        <v>0</v>
      </c>
      <c r="AH289" s="140">
        <f t="shared" si="9"/>
        <v>0</v>
      </c>
    </row>
    <row r="290" spans="1:34" ht="12.75" customHeight="1" x14ac:dyDescent="0.25">
      <c r="A290" s="202"/>
      <c r="B290" s="22" t="s">
        <v>57</v>
      </c>
      <c r="C290" s="34" t="s">
        <v>44</v>
      </c>
      <c r="D290" s="22" t="s">
        <v>1060</v>
      </c>
      <c r="E290" s="22" t="s">
        <v>56</v>
      </c>
      <c r="F290" s="25" t="s">
        <v>1064</v>
      </c>
      <c r="G290" s="373" t="s">
        <v>568</v>
      </c>
      <c r="H290" s="37" t="s">
        <v>1375</v>
      </c>
      <c r="I290" s="23" t="s">
        <v>567</v>
      </c>
      <c r="J290" s="23" t="s">
        <v>709</v>
      </c>
      <c r="K290" s="23" t="s">
        <v>710</v>
      </c>
      <c r="L290" s="23"/>
      <c r="M290" s="2">
        <v>0</v>
      </c>
      <c r="N290" s="2">
        <v>0</v>
      </c>
      <c r="O290" s="2">
        <v>47</v>
      </c>
      <c r="P290" s="2">
        <v>50</v>
      </c>
      <c r="Q290" s="2">
        <v>0</v>
      </c>
      <c r="R290" s="2">
        <v>0</v>
      </c>
      <c r="S290" s="2">
        <v>0</v>
      </c>
      <c r="T290" s="2">
        <v>0</v>
      </c>
      <c r="U290" s="116">
        <f t="shared" si="8"/>
        <v>97</v>
      </c>
      <c r="V290" s="324">
        <v>0</v>
      </c>
      <c r="W290" s="324">
        <v>0</v>
      </c>
      <c r="X290" s="324">
        <v>0</v>
      </c>
      <c r="Y290" s="324">
        <v>0</v>
      </c>
      <c r="Z290" s="324">
        <v>0</v>
      </c>
      <c r="AA290" s="324">
        <v>0</v>
      </c>
      <c r="AB290" s="324">
        <v>0</v>
      </c>
      <c r="AC290" s="324">
        <v>0</v>
      </c>
      <c r="AD290" s="324">
        <v>0</v>
      </c>
      <c r="AE290" s="324">
        <v>0</v>
      </c>
      <c r="AF290" s="324">
        <v>0</v>
      </c>
      <c r="AG290" s="324">
        <v>0</v>
      </c>
      <c r="AH290" s="140">
        <f t="shared" si="9"/>
        <v>0</v>
      </c>
    </row>
    <row r="291" spans="1:34" ht="12.75" customHeight="1" x14ac:dyDescent="0.25">
      <c r="A291" s="202"/>
      <c r="B291" s="22" t="s">
        <v>57</v>
      </c>
      <c r="C291" s="34" t="s">
        <v>44</v>
      </c>
      <c r="D291" s="22" t="s">
        <v>1059</v>
      </c>
      <c r="E291" s="22" t="s">
        <v>62</v>
      </c>
      <c r="F291" s="25" t="s">
        <v>1063</v>
      </c>
      <c r="G291" s="373" t="s">
        <v>565</v>
      </c>
      <c r="H291" s="37" t="s">
        <v>59</v>
      </c>
      <c r="I291" s="23" t="s">
        <v>545</v>
      </c>
      <c r="J291" s="23" t="s">
        <v>546</v>
      </c>
      <c r="K291" s="23" t="s">
        <v>547</v>
      </c>
      <c r="L291" s="23"/>
      <c r="M291" s="2">
        <v>0</v>
      </c>
      <c r="N291" s="2">
        <v>0</v>
      </c>
      <c r="O291" s="2">
        <v>0</v>
      </c>
      <c r="P291" s="2">
        <v>0</v>
      </c>
      <c r="Q291" s="2">
        <v>0</v>
      </c>
      <c r="R291" s="2">
        <v>0</v>
      </c>
      <c r="S291" s="2">
        <v>0</v>
      </c>
      <c r="T291" s="2">
        <v>0</v>
      </c>
      <c r="U291" s="116">
        <f t="shared" si="8"/>
        <v>0</v>
      </c>
      <c r="V291" s="324">
        <v>0</v>
      </c>
      <c r="W291" s="324">
        <v>0</v>
      </c>
      <c r="X291" s="324">
        <v>0</v>
      </c>
      <c r="Y291" s="324">
        <v>0</v>
      </c>
      <c r="Z291" s="324">
        <v>0</v>
      </c>
      <c r="AA291" s="324">
        <v>300</v>
      </c>
      <c r="AB291" s="324">
        <v>0</v>
      </c>
      <c r="AC291" s="324">
        <v>0</v>
      </c>
      <c r="AD291" s="324">
        <v>0</v>
      </c>
      <c r="AE291" s="324">
        <v>0</v>
      </c>
      <c r="AF291" s="324">
        <v>0</v>
      </c>
      <c r="AG291" s="324">
        <v>200</v>
      </c>
      <c r="AH291" s="140">
        <f t="shared" si="9"/>
        <v>500</v>
      </c>
    </row>
    <row r="292" spans="1:34" ht="12.75" customHeight="1" x14ac:dyDescent="0.25">
      <c r="A292" s="202"/>
      <c r="B292" s="22" t="s">
        <v>57</v>
      </c>
      <c r="C292" s="34" t="s">
        <v>44</v>
      </c>
      <c r="D292" s="22" t="s">
        <v>1059</v>
      </c>
      <c r="E292" s="22" t="s">
        <v>56</v>
      </c>
      <c r="F292" s="25" t="s">
        <v>1065</v>
      </c>
      <c r="G292" s="373" t="s">
        <v>1368</v>
      </c>
      <c r="H292" s="37" t="s">
        <v>1370</v>
      </c>
      <c r="I292" s="23" t="s">
        <v>522</v>
      </c>
      <c r="J292" s="23" t="s">
        <v>523</v>
      </c>
      <c r="K292" s="23" t="s">
        <v>524</v>
      </c>
      <c r="L292" s="23"/>
      <c r="M292" s="2">
        <v>69.509599685668945</v>
      </c>
      <c r="N292" s="2">
        <v>0</v>
      </c>
      <c r="O292" s="2">
        <v>0</v>
      </c>
      <c r="P292" s="2">
        <v>0</v>
      </c>
      <c r="Q292" s="2">
        <v>0</v>
      </c>
      <c r="R292" s="2">
        <v>0</v>
      </c>
      <c r="S292" s="2">
        <v>0</v>
      </c>
      <c r="T292" s="2">
        <v>50</v>
      </c>
      <c r="U292" s="116">
        <f t="shared" si="8"/>
        <v>119.50959968566895</v>
      </c>
      <c r="V292" s="324">
        <v>0</v>
      </c>
      <c r="W292" s="324">
        <v>0</v>
      </c>
      <c r="X292" s="324">
        <v>100</v>
      </c>
      <c r="Y292" s="324">
        <v>0</v>
      </c>
      <c r="Z292" s="324">
        <v>0</v>
      </c>
      <c r="AA292" s="324">
        <v>100</v>
      </c>
      <c r="AB292" s="324">
        <v>0</v>
      </c>
      <c r="AC292" s="324">
        <v>0</v>
      </c>
      <c r="AD292" s="324">
        <v>0</v>
      </c>
      <c r="AE292" s="324">
        <v>130</v>
      </c>
      <c r="AF292" s="324">
        <v>0</v>
      </c>
      <c r="AG292" s="324">
        <v>350</v>
      </c>
      <c r="AH292" s="140">
        <f t="shared" si="9"/>
        <v>680</v>
      </c>
    </row>
    <row r="293" spans="1:34" ht="12.75" customHeight="1" x14ac:dyDescent="0.25">
      <c r="A293" s="202"/>
      <c r="B293" s="22" t="s">
        <v>57</v>
      </c>
      <c r="C293" s="34" t="s">
        <v>44</v>
      </c>
      <c r="D293" s="22" t="s">
        <v>1059</v>
      </c>
      <c r="E293" s="22" t="s">
        <v>62</v>
      </c>
      <c r="F293" s="25" t="s">
        <v>1063</v>
      </c>
      <c r="G293" s="373" t="s">
        <v>565</v>
      </c>
      <c r="H293" s="37" t="s">
        <v>59</v>
      </c>
      <c r="I293" s="23" t="s">
        <v>539</v>
      </c>
      <c r="J293" s="23" t="s">
        <v>540</v>
      </c>
      <c r="K293" s="23" t="s">
        <v>541</v>
      </c>
      <c r="L293" s="23"/>
      <c r="M293" s="2">
        <v>0</v>
      </c>
      <c r="N293" s="2">
        <v>0</v>
      </c>
      <c r="O293" s="2">
        <v>0</v>
      </c>
      <c r="P293" s="2">
        <v>0</v>
      </c>
      <c r="Q293" s="2">
        <v>0</v>
      </c>
      <c r="R293" s="2">
        <v>0</v>
      </c>
      <c r="S293" s="2">
        <v>0</v>
      </c>
      <c r="T293" s="2">
        <v>0</v>
      </c>
      <c r="U293" s="116">
        <f t="shared" si="8"/>
        <v>0</v>
      </c>
      <c r="V293" s="324">
        <v>50</v>
      </c>
      <c r="W293" s="324">
        <v>50</v>
      </c>
      <c r="X293" s="324">
        <v>100</v>
      </c>
      <c r="Y293" s="324">
        <v>100</v>
      </c>
      <c r="Z293" s="324">
        <v>150</v>
      </c>
      <c r="AA293" s="324">
        <v>300</v>
      </c>
      <c r="AB293" s="324">
        <v>300</v>
      </c>
      <c r="AC293" s="324">
        <v>300</v>
      </c>
      <c r="AD293" s="324">
        <v>300</v>
      </c>
      <c r="AE293" s="324">
        <v>350</v>
      </c>
      <c r="AF293" s="324">
        <v>350</v>
      </c>
      <c r="AG293" s="324">
        <v>150</v>
      </c>
      <c r="AH293" s="140">
        <f t="shared" si="9"/>
        <v>2500</v>
      </c>
    </row>
    <row r="294" spans="1:34" ht="12.75" customHeight="1" x14ac:dyDescent="0.25">
      <c r="A294" s="202"/>
      <c r="B294" s="22" t="s">
        <v>57</v>
      </c>
      <c r="C294" s="34" t="s">
        <v>44</v>
      </c>
      <c r="D294" s="22" t="s">
        <v>1059</v>
      </c>
      <c r="E294" s="22" t="s">
        <v>62</v>
      </c>
      <c r="F294" s="25" t="s">
        <v>1063</v>
      </c>
      <c r="G294" s="373" t="s">
        <v>565</v>
      </c>
      <c r="H294" s="37" t="s">
        <v>59</v>
      </c>
      <c r="I294" s="23" t="s">
        <v>536</v>
      </c>
      <c r="J294" s="23" t="s">
        <v>537</v>
      </c>
      <c r="K294" s="23" t="s">
        <v>538</v>
      </c>
      <c r="L294" s="23"/>
      <c r="M294" s="2">
        <v>0</v>
      </c>
      <c r="N294" s="2">
        <v>0</v>
      </c>
      <c r="O294" s="2">
        <v>0</v>
      </c>
      <c r="P294" s="2">
        <v>0</v>
      </c>
      <c r="Q294" s="2">
        <v>0</v>
      </c>
      <c r="R294" s="2">
        <v>500</v>
      </c>
      <c r="S294" s="2">
        <v>0</v>
      </c>
      <c r="T294" s="2">
        <v>0</v>
      </c>
      <c r="U294" s="116">
        <f t="shared" si="8"/>
        <v>500</v>
      </c>
      <c r="V294" s="324">
        <v>0</v>
      </c>
      <c r="W294" s="324">
        <v>0</v>
      </c>
      <c r="X294" s="324">
        <v>0</v>
      </c>
      <c r="Y294" s="324">
        <v>0</v>
      </c>
      <c r="Z294" s="324">
        <v>0</v>
      </c>
      <c r="AA294" s="324">
        <v>0</v>
      </c>
      <c r="AB294" s="324">
        <v>0</v>
      </c>
      <c r="AC294" s="324">
        <v>0</v>
      </c>
      <c r="AD294" s="324">
        <v>0</v>
      </c>
      <c r="AE294" s="324">
        <v>0</v>
      </c>
      <c r="AF294" s="324">
        <v>0</v>
      </c>
      <c r="AG294" s="324">
        <v>0</v>
      </c>
      <c r="AH294" s="140">
        <f t="shared" si="9"/>
        <v>0</v>
      </c>
    </row>
    <row r="295" spans="1:34" ht="12.75" customHeight="1" x14ac:dyDescent="0.25">
      <c r="A295" s="202"/>
      <c r="B295" s="22" t="s">
        <v>57</v>
      </c>
      <c r="C295" s="34" t="s">
        <v>44</v>
      </c>
      <c r="D295" s="22" t="s">
        <v>1059</v>
      </c>
      <c r="E295" s="22" t="s">
        <v>56</v>
      </c>
      <c r="F295" s="25" t="s">
        <v>1063</v>
      </c>
      <c r="G295" s="373" t="s">
        <v>1140</v>
      </c>
      <c r="H295" s="37" t="s">
        <v>1387</v>
      </c>
      <c r="I295" s="23" t="s">
        <v>1009</v>
      </c>
      <c r="J295" s="23" t="s">
        <v>1141</v>
      </c>
      <c r="K295" s="23" t="s">
        <v>1142</v>
      </c>
      <c r="L295" s="23"/>
      <c r="M295" s="2">
        <v>813.67767333984375</v>
      </c>
      <c r="N295" s="2">
        <v>86.322310000000002</v>
      </c>
      <c r="O295" s="2">
        <v>0</v>
      </c>
      <c r="P295" s="2">
        <v>0</v>
      </c>
      <c r="Q295" s="2">
        <v>0</v>
      </c>
      <c r="R295" s="2">
        <v>0</v>
      </c>
      <c r="S295" s="2">
        <v>0</v>
      </c>
      <c r="T295" s="2">
        <v>0</v>
      </c>
      <c r="U295" s="116">
        <f t="shared" si="8"/>
        <v>899.99998333984377</v>
      </c>
      <c r="V295" s="324">
        <v>0</v>
      </c>
      <c r="W295" s="324">
        <v>0</v>
      </c>
      <c r="X295" s="324">
        <v>0</v>
      </c>
      <c r="Y295" s="324">
        <v>0</v>
      </c>
      <c r="Z295" s="324">
        <v>0</v>
      </c>
      <c r="AA295" s="324">
        <v>0</v>
      </c>
      <c r="AB295" s="324">
        <v>0</v>
      </c>
      <c r="AC295" s="324">
        <v>0</v>
      </c>
      <c r="AD295" s="324">
        <v>0</v>
      </c>
      <c r="AE295" s="324">
        <v>0</v>
      </c>
      <c r="AF295" s="324">
        <v>0</v>
      </c>
      <c r="AG295" s="324">
        <v>0</v>
      </c>
      <c r="AH295" s="140">
        <f t="shared" si="9"/>
        <v>0</v>
      </c>
    </row>
    <row r="296" spans="1:34" ht="12.75" customHeight="1" x14ac:dyDescent="0.25">
      <c r="A296" s="202"/>
      <c r="B296" s="22" t="s">
        <v>57</v>
      </c>
      <c r="C296" s="34" t="s">
        <v>44</v>
      </c>
      <c r="D296" s="22" t="s">
        <v>318</v>
      </c>
      <c r="E296" s="22" t="s">
        <v>56</v>
      </c>
      <c r="F296" s="25" t="s">
        <v>1035</v>
      </c>
      <c r="G296" s="373" t="s">
        <v>1521</v>
      </c>
      <c r="H296" s="37" t="s">
        <v>1522</v>
      </c>
      <c r="I296" s="23" t="s">
        <v>1000</v>
      </c>
      <c r="J296" s="23" t="s">
        <v>1600</v>
      </c>
      <c r="K296" s="23" t="s">
        <v>1603</v>
      </c>
      <c r="L296" s="23"/>
      <c r="M296" s="2">
        <v>0</v>
      </c>
      <c r="N296" s="2">
        <v>0</v>
      </c>
      <c r="O296" s="2">
        <v>0</v>
      </c>
      <c r="P296" s="2">
        <v>0</v>
      </c>
      <c r="Q296" s="2">
        <v>200</v>
      </c>
      <c r="R296" s="2">
        <v>0</v>
      </c>
      <c r="S296" s="2">
        <v>0</v>
      </c>
      <c r="T296" s="2">
        <v>0</v>
      </c>
      <c r="U296" s="116">
        <f t="shared" si="8"/>
        <v>200</v>
      </c>
      <c r="V296" s="324">
        <v>0</v>
      </c>
      <c r="W296" s="324">
        <v>0</v>
      </c>
      <c r="X296" s="324">
        <v>0</v>
      </c>
      <c r="Y296" s="324">
        <v>0</v>
      </c>
      <c r="Z296" s="324">
        <v>0</v>
      </c>
      <c r="AA296" s="324">
        <v>0</v>
      </c>
      <c r="AB296" s="324">
        <v>0</v>
      </c>
      <c r="AC296" s="324">
        <v>0</v>
      </c>
      <c r="AD296" s="324">
        <v>0</v>
      </c>
      <c r="AE296" s="324">
        <v>0</v>
      </c>
      <c r="AF296" s="324">
        <v>0</v>
      </c>
      <c r="AG296" s="324">
        <v>0</v>
      </c>
      <c r="AH296" s="140">
        <f t="shared" si="9"/>
        <v>0</v>
      </c>
    </row>
    <row r="297" spans="1:34" ht="12.75" customHeight="1" x14ac:dyDescent="0.25">
      <c r="A297" s="202"/>
      <c r="B297" s="22" t="s">
        <v>57</v>
      </c>
      <c r="C297" s="34" t="s">
        <v>44</v>
      </c>
      <c r="D297" s="22" t="s">
        <v>1059</v>
      </c>
      <c r="E297" s="22" t="s">
        <v>56</v>
      </c>
      <c r="F297" s="25" t="s">
        <v>1063</v>
      </c>
      <c r="G297" s="373" t="s">
        <v>565</v>
      </c>
      <c r="H297" s="37" t="s">
        <v>59</v>
      </c>
      <c r="I297" s="23" t="s">
        <v>1137</v>
      </c>
      <c r="J297" s="23" t="s">
        <v>422</v>
      </c>
      <c r="K297" s="23" t="s">
        <v>798</v>
      </c>
      <c r="L297" s="23"/>
      <c r="M297" s="2">
        <v>0</v>
      </c>
      <c r="N297" s="2">
        <v>0</v>
      </c>
      <c r="O297" s="2">
        <v>0</v>
      </c>
      <c r="P297" s="2">
        <v>0</v>
      </c>
      <c r="Q297" s="2">
        <v>0</v>
      </c>
      <c r="R297" s="2">
        <v>0</v>
      </c>
      <c r="S297" s="2">
        <v>0</v>
      </c>
      <c r="T297" s="2">
        <v>0</v>
      </c>
      <c r="U297" s="116">
        <f t="shared" si="8"/>
        <v>0</v>
      </c>
      <c r="V297" s="324">
        <v>0</v>
      </c>
      <c r="W297" s="324">
        <v>0</v>
      </c>
      <c r="X297" s="324">
        <v>0</v>
      </c>
      <c r="Y297" s="324">
        <v>0</v>
      </c>
      <c r="Z297" s="324">
        <v>0</v>
      </c>
      <c r="AA297" s="324">
        <v>0</v>
      </c>
      <c r="AB297" s="324">
        <v>0</v>
      </c>
      <c r="AC297" s="324">
        <v>0</v>
      </c>
      <c r="AD297" s="324">
        <v>0</v>
      </c>
      <c r="AE297" s="324">
        <v>0</v>
      </c>
      <c r="AF297" s="324">
        <v>0</v>
      </c>
      <c r="AG297" s="324">
        <v>0</v>
      </c>
      <c r="AH297" s="140">
        <f t="shared" si="9"/>
        <v>0</v>
      </c>
    </row>
    <row r="298" spans="1:34" ht="12.75" customHeight="1" x14ac:dyDescent="0.25">
      <c r="A298" s="202"/>
      <c r="B298" s="22" t="s">
        <v>57</v>
      </c>
      <c r="C298" s="34" t="s">
        <v>44</v>
      </c>
      <c r="D298" s="22" t="s">
        <v>1059</v>
      </c>
      <c r="E298" s="22" t="s">
        <v>56</v>
      </c>
      <c r="F298" s="25" t="s">
        <v>1063</v>
      </c>
      <c r="G298" s="373" t="s">
        <v>565</v>
      </c>
      <c r="H298" s="37" t="s">
        <v>59</v>
      </c>
      <c r="I298" s="23" t="s">
        <v>1133</v>
      </c>
      <c r="J298" s="23" t="s">
        <v>423</v>
      </c>
      <c r="K298" s="23" t="s">
        <v>424</v>
      </c>
      <c r="L298" s="23"/>
      <c r="M298" s="2">
        <v>0</v>
      </c>
      <c r="N298" s="2">
        <v>0</v>
      </c>
      <c r="O298" s="2">
        <v>0</v>
      </c>
      <c r="P298" s="2">
        <v>0</v>
      </c>
      <c r="Q298" s="2">
        <v>50</v>
      </c>
      <c r="R298" s="2">
        <v>50</v>
      </c>
      <c r="S298" s="2">
        <v>55</v>
      </c>
      <c r="T298" s="2">
        <v>100</v>
      </c>
      <c r="U298" s="116">
        <f t="shared" si="8"/>
        <v>255</v>
      </c>
      <c r="V298" s="324">
        <v>0</v>
      </c>
      <c r="W298" s="324">
        <v>25</v>
      </c>
      <c r="X298" s="324">
        <v>25</v>
      </c>
      <c r="Y298" s="324">
        <v>40</v>
      </c>
      <c r="Z298" s="324">
        <v>50</v>
      </c>
      <c r="AA298" s="324">
        <v>50</v>
      </c>
      <c r="AB298" s="324">
        <v>30</v>
      </c>
      <c r="AC298" s="324">
        <v>30</v>
      </c>
      <c r="AD298" s="324">
        <v>50</v>
      </c>
      <c r="AE298" s="324">
        <v>50</v>
      </c>
      <c r="AF298" s="324">
        <v>50</v>
      </c>
      <c r="AG298" s="324">
        <v>100</v>
      </c>
      <c r="AH298" s="140">
        <f t="shared" si="9"/>
        <v>500</v>
      </c>
    </row>
    <row r="299" spans="1:34" ht="12.75" customHeight="1" x14ac:dyDescent="0.25">
      <c r="A299" s="202"/>
      <c r="B299" s="22" t="s">
        <v>57</v>
      </c>
      <c r="C299" s="34" t="s">
        <v>44</v>
      </c>
      <c r="D299" s="22" t="s">
        <v>1060</v>
      </c>
      <c r="E299" s="22" t="s">
        <v>56</v>
      </c>
      <c r="F299" s="25" t="s">
        <v>1596</v>
      </c>
      <c r="G299" s="373" t="s">
        <v>565</v>
      </c>
      <c r="H299" s="37" t="s">
        <v>59</v>
      </c>
      <c r="I299" s="23" t="s">
        <v>1026</v>
      </c>
      <c r="J299" s="23" t="s">
        <v>1027</v>
      </c>
      <c r="K299" s="23" t="s">
        <v>1028</v>
      </c>
      <c r="L299" s="23"/>
      <c r="M299" s="2">
        <v>0</v>
      </c>
      <c r="N299" s="2">
        <v>0</v>
      </c>
      <c r="O299" s="2">
        <v>0</v>
      </c>
      <c r="P299" s="2">
        <v>0</v>
      </c>
      <c r="Q299" s="2">
        <v>0</v>
      </c>
      <c r="R299" s="2">
        <v>0</v>
      </c>
      <c r="S299" s="2">
        <v>0</v>
      </c>
      <c r="T299" s="2">
        <v>80</v>
      </c>
      <c r="U299" s="116">
        <f t="shared" si="8"/>
        <v>80</v>
      </c>
      <c r="V299" s="324">
        <v>0</v>
      </c>
      <c r="W299" s="324">
        <v>0</v>
      </c>
      <c r="X299" s="324">
        <v>0</v>
      </c>
      <c r="Y299" s="324">
        <v>0</v>
      </c>
      <c r="Z299" s="324">
        <v>0</v>
      </c>
      <c r="AA299" s="324">
        <v>0</v>
      </c>
      <c r="AB299" s="324">
        <v>0</v>
      </c>
      <c r="AC299" s="324">
        <v>0</v>
      </c>
      <c r="AD299" s="324">
        <v>0</v>
      </c>
      <c r="AE299" s="324">
        <v>0</v>
      </c>
      <c r="AF299" s="324">
        <v>0</v>
      </c>
      <c r="AG299" s="324">
        <v>0</v>
      </c>
      <c r="AH299" s="140">
        <f t="shared" si="9"/>
        <v>0</v>
      </c>
    </row>
    <row r="300" spans="1:34" ht="12.75" customHeight="1" x14ac:dyDescent="0.25">
      <c r="A300" s="202"/>
      <c r="B300" s="22" t="s">
        <v>57</v>
      </c>
      <c r="C300" s="34" t="s">
        <v>44</v>
      </c>
      <c r="D300" s="22" t="s">
        <v>1059</v>
      </c>
      <c r="E300" s="22" t="s">
        <v>56</v>
      </c>
      <c r="F300" s="25" t="s">
        <v>1063</v>
      </c>
      <c r="G300" s="373" t="s">
        <v>565</v>
      </c>
      <c r="H300" s="37" t="s">
        <v>59</v>
      </c>
      <c r="I300" s="23" t="s">
        <v>1139</v>
      </c>
      <c r="J300" s="23" t="s">
        <v>220</v>
      </c>
      <c r="K300" s="23" t="s">
        <v>221</v>
      </c>
      <c r="L300" s="23"/>
      <c r="M300" s="2">
        <v>0</v>
      </c>
      <c r="N300" s="2">
        <v>0</v>
      </c>
      <c r="O300" s="2">
        <v>0</v>
      </c>
      <c r="P300" s="2">
        <v>0</v>
      </c>
      <c r="Q300" s="2"/>
      <c r="R300" s="2"/>
      <c r="S300" s="2"/>
      <c r="T300" s="2">
        <v>100</v>
      </c>
      <c r="U300" s="116">
        <f t="shared" si="8"/>
        <v>100</v>
      </c>
      <c r="V300" s="324">
        <v>0</v>
      </c>
      <c r="W300" s="324">
        <v>0</v>
      </c>
      <c r="X300" s="324">
        <v>50</v>
      </c>
      <c r="Y300" s="324">
        <v>0</v>
      </c>
      <c r="Z300" s="324">
        <v>0</v>
      </c>
      <c r="AA300" s="324">
        <v>75</v>
      </c>
      <c r="AB300" s="324">
        <v>0</v>
      </c>
      <c r="AC300" s="324">
        <v>0</v>
      </c>
      <c r="AD300" s="324">
        <v>75</v>
      </c>
      <c r="AE300" s="324">
        <v>0</v>
      </c>
      <c r="AF300" s="324">
        <v>0</v>
      </c>
      <c r="AG300" s="324">
        <v>0</v>
      </c>
      <c r="AH300" s="140">
        <f t="shared" si="9"/>
        <v>200</v>
      </c>
    </row>
    <row r="301" spans="1:34" ht="12.75" customHeight="1" x14ac:dyDescent="0.25">
      <c r="A301" s="202"/>
      <c r="B301" s="22" t="s">
        <v>57</v>
      </c>
      <c r="C301" s="34" t="s">
        <v>44</v>
      </c>
      <c r="D301" s="22" t="s">
        <v>1059</v>
      </c>
      <c r="E301" s="22" t="s">
        <v>56</v>
      </c>
      <c r="F301" s="25" t="s">
        <v>1063</v>
      </c>
      <c r="G301" s="373" t="s">
        <v>565</v>
      </c>
      <c r="H301" s="37" t="s">
        <v>59</v>
      </c>
      <c r="I301" s="23" t="s">
        <v>1787</v>
      </c>
      <c r="J301" s="23" t="s">
        <v>222</v>
      </c>
      <c r="K301" s="23" t="s">
        <v>223</v>
      </c>
      <c r="L301" s="23"/>
      <c r="M301" s="2">
        <v>0</v>
      </c>
      <c r="N301" s="2">
        <v>0</v>
      </c>
      <c r="O301" s="2">
        <v>0</v>
      </c>
      <c r="P301" s="2">
        <v>0</v>
      </c>
      <c r="Q301" s="2">
        <v>0</v>
      </c>
      <c r="R301" s="2">
        <v>0</v>
      </c>
      <c r="S301" s="2">
        <v>40</v>
      </c>
      <c r="T301" s="2">
        <v>40</v>
      </c>
      <c r="U301" s="116">
        <f t="shared" si="8"/>
        <v>80</v>
      </c>
      <c r="V301" s="324">
        <v>0</v>
      </c>
      <c r="W301" s="324">
        <v>0</v>
      </c>
      <c r="X301" s="324">
        <v>30</v>
      </c>
      <c r="Y301" s="324">
        <v>0</v>
      </c>
      <c r="Z301" s="324">
        <v>15</v>
      </c>
      <c r="AA301" s="324">
        <v>30</v>
      </c>
      <c r="AB301" s="324">
        <v>0</v>
      </c>
      <c r="AC301" s="324">
        <v>15</v>
      </c>
      <c r="AD301" s="324">
        <v>30</v>
      </c>
      <c r="AE301" s="324">
        <v>0</v>
      </c>
      <c r="AF301" s="324">
        <v>0</v>
      </c>
      <c r="AG301" s="324">
        <v>30</v>
      </c>
      <c r="AH301" s="140">
        <f t="shared" si="9"/>
        <v>150</v>
      </c>
    </row>
    <row r="302" spans="1:34" ht="12.75" customHeight="1" x14ac:dyDescent="0.25">
      <c r="A302" s="202"/>
      <c r="B302" s="22" t="s">
        <v>57</v>
      </c>
      <c r="C302" s="34" t="s">
        <v>44</v>
      </c>
      <c r="D302" s="22" t="s">
        <v>1059</v>
      </c>
      <c r="E302" s="22" t="s">
        <v>56</v>
      </c>
      <c r="F302" s="25" t="s">
        <v>1063</v>
      </c>
      <c r="G302" s="373" t="s">
        <v>565</v>
      </c>
      <c r="H302" s="37"/>
      <c r="I302" s="23" t="s">
        <v>1789</v>
      </c>
      <c r="J302" s="23"/>
      <c r="K302" s="23"/>
      <c r="L302" s="23"/>
      <c r="M302" s="2"/>
      <c r="N302" s="2"/>
      <c r="O302" s="2"/>
      <c r="P302" s="2"/>
      <c r="Q302" s="2"/>
      <c r="R302" s="2"/>
      <c r="S302" s="2"/>
      <c r="T302" s="2">
        <v>50</v>
      </c>
      <c r="U302" s="116">
        <f t="shared" si="8"/>
        <v>50</v>
      </c>
      <c r="V302" s="324">
        <v>0</v>
      </c>
      <c r="W302" s="324">
        <v>0</v>
      </c>
      <c r="X302" s="324">
        <v>0</v>
      </c>
      <c r="Y302" s="324">
        <v>0</v>
      </c>
      <c r="Z302" s="324">
        <v>0</v>
      </c>
      <c r="AA302" s="324">
        <v>20</v>
      </c>
      <c r="AB302" s="324">
        <v>0</v>
      </c>
      <c r="AC302" s="324">
        <v>0</v>
      </c>
      <c r="AD302" s="324">
        <v>0</v>
      </c>
      <c r="AE302" s="324">
        <v>0</v>
      </c>
      <c r="AF302" s="324">
        <v>0</v>
      </c>
      <c r="AG302" s="324">
        <v>0</v>
      </c>
      <c r="AH302" s="140">
        <f t="shared" si="9"/>
        <v>20</v>
      </c>
    </row>
    <row r="303" spans="1:34" ht="12.75" customHeight="1" x14ac:dyDescent="0.25">
      <c r="A303" s="202"/>
      <c r="B303" s="22" t="s">
        <v>57</v>
      </c>
      <c r="C303" s="34" t="s">
        <v>44</v>
      </c>
      <c r="D303" s="22" t="s">
        <v>1059</v>
      </c>
      <c r="E303" s="22" t="s">
        <v>56</v>
      </c>
      <c r="F303" s="25" t="s">
        <v>1063</v>
      </c>
      <c r="G303" s="373" t="s">
        <v>565</v>
      </c>
      <c r="H303" s="37" t="s">
        <v>59</v>
      </c>
      <c r="I303" s="23" t="s">
        <v>1788</v>
      </c>
      <c r="J303" s="23" t="s">
        <v>224</v>
      </c>
      <c r="K303" s="23" t="s">
        <v>225</v>
      </c>
      <c r="L303" s="23"/>
      <c r="M303" s="2">
        <v>0</v>
      </c>
      <c r="N303" s="2">
        <v>0</v>
      </c>
      <c r="O303" s="2">
        <v>0</v>
      </c>
      <c r="P303" s="2">
        <v>0</v>
      </c>
      <c r="Q303" s="2">
        <v>0</v>
      </c>
      <c r="R303" s="2">
        <v>0</v>
      </c>
      <c r="S303" s="2">
        <v>50</v>
      </c>
      <c r="T303" s="2">
        <v>50</v>
      </c>
      <c r="U303" s="116">
        <f t="shared" si="8"/>
        <v>100</v>
      </c>
      <c r="V303" s="324">
        <v>30</v>
      </c>
      <c r="W303" s="324">
        <v>30</v>
      </c>
      <c r="X303" s="324">
        <v>30</v>
      </c>
      <c r="Y303" s="324">
        <v>30</v>
      </c>
      <c r="Z303" s="324">
        <v>0</v>
      </c>
      <c r="AA303" s="324">
        <v>0</v>
      </c>
      <c r="AB303" s="324">
        <v>0</v>
      </c>
      <c r="AC303" s="324">
        <v>0</v>
      </c>
      <c r="AD303" s="324">
        <v>0</v>
      </c>
      <c r="AE303" s="324">
        <v>0</v>
      </c>
      <c r="AF303" s="324">
        <v>0</v>
      </c>
      <c r="AG303" s="324">
        <v>0</v>
      </c>
      <c r="AH303" s="140">
        <f t="shared" si="9"/>
        <v>120</v>
      </c>
    </row>
    <row r="304" spans="1:34" ht="12.75" customHeight="1" x14ac:dyDescent="0.25">
      <c r="A304" s="202"/>
      <c r="B304" s="22" t="s">
        <v>57</v>
      </c>
      <c r="C304" s="34" t="s">
        <v>44</v>
      </c>
      <c r="D304" s="22" t="s">
        <v>318</v>
      </c>
      <c r="E304" s="22" t="s">
        <v>56</v>
      </c>
      <c r="F304" s="25" t="s">
        <v>1066</v>
      </c>
      <c r="G304" s="373" t="s">
        <v>1343</v>
      </c>
      <c r="H304" s="37" t="s">
        <v>1345</v>
      </c>
      <c r="I304" s="23" t="s">
        <v>828</v>
      </c>
      <c r="J304" s="23" t="s">
        <v>829</v>
      </c>
      <c r="K304" s="23" t="s">
        <v>830</v>
      </c>
      <c r="L304" s="23"/>
      <c r="M304" s="2">
        <v>0</v>
      </c>
      <c r="N304" s="2">
        <v>0</v>
      </c>
      <c r="O304" s="2">
        <v>0</v>
      </c>
      <c r="P304" s="2">
        <v>0</v>
      </c>
      <c r="Q304" s="2">
        <v>0</v>
      </c>
      <c r="R304" s="2">
        <v>0</v>
      </c>
      <c r="S304" s="2">
        <v>0</v>
      </c>
      <c r="T304" s="2">
        <v>0</v>
      </c>
      <c r="U304" s="116">
        <f t="shared" si="8"/>
        <v>0</v>
      </c>
      <c r="V304" s="324">
        <v>0</v>
      </c>
      <c r="W304" s="324">
        <v>0</v>
      </c>
      <c r="X304" s="324">
        <v>671</v>
      </c>
      <c r="Y304" s="324">
        <v>161</v>
      </c>
      <c r="Z304" s="324">
        <v>0</v>
      </c>
      <c r="AA304" s="324">
        <v>0</v>
      </c>
      <c r="AB304" s="324">
        <v>0</v>
      </c>
      <c r="AC304" s="324">
        <v>0</v>
      </c>
      <c r="AD304" s="324">
        <v>0</v>
      </c>
      <c r="AE304" s="324">
        <v>0</v>
      </c>
      <c r="AF304" s="324">
        <v>0</v>
      </c>
      <c r="AG304" s="324">
        <v>0</v>
      </c>
      <c r="AH304" s="140">
        <f t="shared" si="9"/>
        <v>832</v>
      </c>
    </row>
    <row r="305" spans="1:34" ht="12.75" customHeight="1" x14ac:dyDescent="0.25">
      <c r="A305" s="202"/>
      <c r="B305" s="22" t="s">
        <v>57</v>
      </c>
      <c r="C305" s="34" t="s">
        <v>44</v>
      </c>
      <c r="D305" s="22" t="s">
        <v>318</v>
      </c>
      <c r="E305" s="22" t="s">
        <v>56</v>
      </c>
      <c r="F305" s="25" t="s">
        <v>1066</v>
      </c>
      <c r="G305" s="373" t="s">
        <v>1377</v>
      </c>
      <c r="H305" s="37" t="s">
        <v>1379</v>
      </c>
      <c r="I305" s="23" t="s">
        <v>999</v>
      </c>
      <c r="J305" s="23" t="s">
        <v>826</v>
      </c>
      <c r="K305" s="23" t="s">
        <v>827</v>
      </c>
      <c r="L305" s="23"/>
      <c r="M305" s="2">
        <v>28.273269653320313</v>
      </c>
      <c r="N305" s="2">
        <v>91</v>
      </c>
      <c r="O305" s="2">
        <v>100</v>
      </c>
      <c r="P305" s="2">
        <v>3003.7267299999999</v>
      </c>
      <c r="Q305" s="2">
        <v>0</v>
      </c>
      <c r="R305" s="2">
        <v>0</v>
      </c>
      <c r="S305" s="2">
        <v>0</v>
      </c>
      <c r="T305" s="2">
        <v>0</v>
      </c>
      <c r="U305" s="116">
        <f t="shared" si="8"/>
        <v>3222.9999996533202</v>
      </c>
      <c r="V305" s="324">
        <v>0</v>
      </c>
      <c r="W305" s="324">
        <v>0</v>
      </c>
      <c r="X305" s="324">
        <v>0</v>
      </c>
      <c r="Y305" s="324">
        <v>0</v>
      </c>
      <c r="Z305" s="324">
        <v>0</v>
      </c>
      <c r="AA305" s="324">
        <v>0</v>
      </c>
      <c r="AB305" s="324">
        <v>0</v>
      </c>
      <c r="AC305" s="324">
        <v>0</v>
      </c>
      <c r="AD305" s="324">
        <v>0</v>
      </c>
      <c r="AE305" s="324">
        <v>0</v>
      </c>
      <c r="AF305" s="324">
        <v>0</v>
      </c>
      <c r="AG305" s="324">
        <v>0</v>
      </c>
      <c r="AH305" s="140">
        <f t="shared" si="9"/>
        <v>0</v>
      </c>
    </row>
    <row r="306" spans="1:34" ht="12.75" customHeight="1" x14ac:dyDescent="0.25">
      <c r="A306" s="202"/>
      <c r="B306" s="22" t="s">
        <v>57</v>
      </c>
      <c r="C306" s="34" t="s">
        <v>44</v>
      </c>
      <c r="D306" s="22" t="s">
        <v>318</v>
      </c>
      <c r="E306" s="22" t="s">
        <v>56</v>
      </c>
      <c r="F306" s="25" t="s">
        <v>1066</v>
      </c>
      <c r="G306" s="373" t="s">
        <v>565</v>
      </c>
      <c r="H306" s="37" t="s">
        <v>59</v>
      </c>
      <c r="I306" s="23" t="s">
        <v>1790</v>
      </c>
      <c r="J306" s="23" t="s">
        <v>821</v>
      </c>
      <c r="K306" s="23" t="s">
        <v>822</v>
      </c>
      <c r="L306" s="23"/>
      <c r="M306" s="2">
        <v>0</v>
      </c>
      <c r="N306" s="2">
        <v>0</v>
      </c>
      <c r="O306" s="2">
        <v>0</v>
      </c>
      <c r="P306" s="2">
        <v>0</v>
      </c>
      <c r="Q306" s="2">
        <v>0</v>
      </c>
      <c r="R306" s="2">
        <v>0</v>
      </c>
      <c r="S306" s="2">
        <v>0</v>
      </c>
      <c r="T306" s="2">
        <v>0</v>
      </c>
      <c r="U306" s="116">
        <f t="shared" si="8"/>
        <v>0</v>
      </c>
      <c r="V306" s="324">
        <v>0</v>
      </c>
      <c r="W306" s="324">
        <v>0</v>
      </c>
      <c r="X306" s="324">
        <v>0</v>
      </c>
      <c r="Y306" s="324">
        <v>0</v>
      </c>
      <c r="Z306" s="324">
        <v>0</v>
      </c>
      <c r="AA306" s="324">
        <v>1500</v>
      </c>
      <c r="AB306" s="324">
        <v>0</v>
      </c>
      <c r="AC306" s="324">
        <v>0</v>
      </c>
      <c r="AD306" s="324">
        <v>0</v>
      </c>
      <c r="AE306" s="324">
        <v>0</v>
      </c>
      <c r="AF306" s="324">
        <v>0</v>
      </c>
      <c r="AG306" s="324">
        <v>0</v>
      </c>
      <c r="AH306" s="140">
        <f t="shared" si="9"/>
        <v>1500</v>
      </c>
    </row>
    <row r="307" spans="1:34" ht="12.75" customHeight="1" x14ac:dyDescent="0.25">
      <c r="A307" s="202"/>
      <c r="B307" s="22" t="s">
        <v>57</v>
      </c>
      <c r="C307" s="34" t="s">
        <v>44</v>
      </c>
      <c r="D307" s="22" t="s">
        <v>1059</v>
      </c>
      <c r="E307" s="22" t="s">
        <v>56</v>
      </c>
      <c r="F307" s="25" t="s">
        <v>1065</v>
      </c>
      <c r="G307" s="373" t="s">
        <v>752</v>
      </c>
      <c r="H307" s="37" t="s">
        <v>1360</v>
      </c>
      <c r="I307" s="23" t="s">
        <v>329</v>
      </c>
      <c r="J307" s="23" t="s">
        <v>330</v>
      </c>
      <c r="K307" s="23" t="s">
        <v>331</v>
      </c>
      <c r="L307" s="23"/>
      <c r="M307" s="2">
        <v>3489.3745973110199</v>
      </c>
      <c r="N307" s="2">
        <v>600</v>
      </c>
      <c r="O307" s="2">
        <v>600</v>
      </c>
      <c r="P307" s="2">
        <v>600</v>
      </c>
      <c r="Q307" s="2">
        <v>600</v>
      </c>
      <c r="R307" s="2">
        <v>750</v>
      </c>
      <c r="S307" s="2">
        <v>750</v>
      </c>
      <c r="T307" s="2">
        <v>961</v>
      </c>
      <c r="U307" s="116">
        <f t="shared" si="8"/>
        <v>8350.3745973110199</v>
      </c>
      <c r="V307" s="324">
        <v>554.25</v>
      </c>
      <c r="W307" s="324">
        <v>704.25</v>
      </c>
      <c r="X307" s="324">
        <v>704.25</v>
      </c>
      <c r="Y307" s="324">
        <v>704.25</v>
      </c>
      <c r="Z307" s="324">
        <v>554.25</v>
      </c>
      <c r="AA307" s="324">
        <v>704.25</v>
      </c>
      <c r="AB307" s="324">
        <v>554.25</v>
      </c>
      <c r="AC307" s="324">
        <v>704.25</v>
      </c>
      <c r="AD307" s="324">
        <v>704.25</v>
      </c>
      <c r="AE307" s="324">
        <v>554.25</v>
      </c>
      <c r="AF307" s="324">
        <v>704.25</v>
      </c>
      <c r="AG307" s="324">
        <v>704.25</v>
      </c>
      <c r="AH307" s="140">
        <f t="shared" si="9"/>
        <v>7851</v>
      </c>
    </row>
    <row r="308" spans="1:34" ht="12.75" customHeight="1" x14ac:dyDescent="0.25">
      <c r="A308" s="202"/>
      <c r="B308" s="22" t="s">
        <v>57</v>
      </c>
      <c r="C308" s="34" t="s">
        <v>44</v>
      </c>
      <c r="D308" s="22" t="s">
        <v>1059</v>
      </c>
      <c r="E308" s="22" t="s">
        <v>56</v>
      </c>
      <c r="F308" s="25" t="s">
        <v>1063</v>
      </c>
      <c r="G308" s="373" t="s">
        <v>753</v>
      </c>
      <c r="H308" s="37" t="s">
        <v>1372</v>
      </c>
      <c r="I308" s="23" t="s">
        <v>332</v>
      </c>
      <c r="J308" s="23" t="s">
        <v>333</v>
      </c>
      <c r="K308" s="23" t="s">
        <v>334</v>
      </c>
      <c r="L308" s="23"/>
      <c r="M308" s="2">
        <v>41.252120971679688</v>
      </c>
      <c r="N308" s="2">
        <v>50</v>
      </c>
      <c r="O308" s="2">
        <v>0</v>
      </c>
      <c r="P308" s="2">
        <v>58.747879999999995</v>
      </c>
      <c r="Q308" s="2">
        <v>0</v>
      </c>
      <c r="R308" s="2">
        <v>50.151000000000003</v>
      </c>
      <c r="S308" s="2">
        <v>75</v>
      </c>
      <c r="T308" s="2">
        <v>75</v>
      </c>
      <c r="U308" s="116">
        <f t="shared" si="8"/>
        <v>350.15100097167971</v>
      </c>
      <c r="V308" s="324">
        <v>15</v>
      </c>
      <c r="W308" s="324">
        <v>15</v>
      </c>
      <c r="X308" s="324">
        <v>15</v>
      </c>
      <c r="Y308" s="324">
        <v>15</v>
      </c>
      <c r="Z308" s="324">
        <v>20</v>
      </c>
      <c r="AA308" s="324">
        <v>30</v>
      </c>
      <c r="AB308" s="324">
        <v>25</v>
      </c>
      <c r="AC308" s="324">
        <v>72</v>
      </c>
      <c r="AD308" s="324">
        <v>75</v>
      </c>
      <c r="AE308" s="324">
        <v>125</v>
      </c>
      <c r="AF308" s="324">
        <v>120</v>
      </c>
      <c r="AG308" s="324">
        <v>120</v>
      </c>
      <c r="AH308" s="140">
        <f t="shared" si="9"/>
        <v>647</v>
      </c>
    </row>
    <row r="309" spans="1:34" ht="12.75" customHeight="1" x14ac:dyDescent="0.25">
      <c r="A309" s="202"/>
      <c r="B309" s="22" t="s">
        <v>57</v>
      </c>
      <c r="C309" s="34" t="s">
        <v>44</v>
      </c>
      <c r="D309" s="22" t="s">
        <v>1059</v>
      </c>
      <c r="E309" s="22" t="s">
        <v>56</v>
      </c>
      <c r="F309" s="25" t="s">
        <v>1063</v>
      </c>
      <c r="G309" s="373" t="s">
        <v>565</v>
      </c>
      <c r="H309" s="37" t="s">
        <v>59</v>
      </c>
      <c r="I309" s="23" t="s">
        <v>1020</v>
      </c>
      <c r="J309" s="23" t="s">
        <v>1021</v>
      </c>
      <c r="K309" s="23"/>
      <c r="L309" s="23"/>
      <c r="M309" s="2">
        <v>0</v>
      </c>
      <c r="N309" s="2">
        <v>0</v>
      </c>
      <c r="O309" s="2">
        <v>0</v>
      </c>
      <c r="P309" s="2">
        <v>0</v>
      </c>
      <c r="Q309" s="2">
        <v>0</v>
      </c>
      <c r="R309" s="2">
        <v>0</v>
      </c>
      <c r="S309" s="2">
        <v>0</v>
      </c>
      <c r="T309" s="2">
        <v>0</v>
      </c>
      <c r="U309" s="116">
        <f t="shared" si="8"/>
        <v>0</v>
      </c>
      <c r="V309" s="324">
        <v>400</v>
      </c>
      <c r="W309" s="324">
        <v>0</v>
      </c>
      <c r="X309" s="324">
        <v>0</v>
      </c>
      <c r="Y309" s="324">
        <v>0</v>
      </c>
      <c r="Z309" s="324">
        <v>0</v>
      </c>
      <c r="AA309" s="324">
        <v>0</v>
      </c>
      <c r="AB309" s="324">
        <v>0</v>
      </c>
      <c r="AC309" s="324">
        <v>0</v>
      </c>
      <c r="AD309" s="324">
        <v>0</v>
      </c>
      <c r="AE309" s="324">
        <v>0</v>
      </c>
      <c r="AF309" s="324">
        <v>0</v>
      </c>
      <c r="AG309" s="324">
        <v>0</v>
      </c>
      <c r="AH309" s="140">
        <f t="shared" si="9"/>
        <v>400</v>
      </c>
    </row>
    <row r="310" spans="1:34" ht="12.75" customHeight="1" x14ac:dyDescent="0.25">
      <c r="A310" s="202"/>
      <c r="B310" s="22" t="s">
        <v>57</v>
      </c>
      <c r="C310" s="34" t="s">
        <v>44</v>
      </c>
      <c r="D310" s="22" t="s">
        <v>1059</v>
      </c>
      <c r="E310" s="22" t="s">
        <v>56</v>
      </c>
      <c r="F310" s="25" t="s">
        <v>1063</v>
      </c>
      <c r="G310" s="373" t="s">
        <v>565</v>
      </c>
      <c r="H310" s="37" t="s">
        <v>59</v>
      </c>
      <c r="I310" s="23" t="s">
        <v>409</v>
      </c>
      <c r="J310" s="23" t="s">
        <v>776</v>
      </c>
      <c r="K310" s="23" t="s">
        <v>777</v>
      </c>
      <c r="L310" s="23"/>
      <c r="M310" s="2">
        <v>0</v>
      </c>
      <c r="N310" s="2">
        <v>0</v>
      </c>
      <c r="O310" s="2">
        <v>0</v>
      </c>
      <c r="P310" s="2">
        <v>0</v>
      </c>
      <c r="Q310" s="2">
        <v>0</v>
      </c>
      <c r="R310" s="2">
        <v>0</v>
      </c>
      <c r="S310" s="2">
        <v>0</v>
      </c>
      <c r="T310" s="2">
        <v>0</v>
      </c>
      <c r="U310" s="116">
        <f t="shared" si="8"/>
        <v>0</v>
      </c>
      <c r="V310" s="324">
        <v>0</v>
      </c>
      <c r="W310" s="324">
        <v>0</v>
      </c>
      <c r="X310" s="324">
        <v>0</v>
      </c>
      <c r="Y310" s="324">
        <v>0</v>
      </c>
      <c r="Z310" s="324">
        <v>0</v>
      </c>
      <c r="AA310" s="324">
        <v>0</v>
      </c>
      <c r="AB310" s="324">
        <v>0</v>
      </c>
      <c r="AC310" s="324">
        <v>0</v>
      </c>
      <c r="AD310" s="324">
        <v>0</v>
      </c>
      <c r="AE310" s="324">
        <v>0</v>
      </c>
      <c r="AF310" s="324">
        <v>0</v>
      </c>
      <c r="AG310" s="324">
        <v>300</v>
      </c>
      <c r="AH310" s="140">
        <f t="shared" si="9"/>
        <v>300</v>
      </c>
    </row>
    <row r="311" spans="1:34" ht="12.75" customHeight="1" x14ac:dyDescent="0.25">
      <c r="A311" s="202"/>
      <c r="B311" s="22" t="s">
        <v>57</v>
      </c>
      <c r="C311" s="34" t="s">
        <v>44</v>
      </c>
      <c r="D311" s="22" t="s">
        <v>1059</v>
      </c>
      <c r="E311" s="22" t="s">
        <v>56</v>
      </c>
      <c r="F311" s="25" t="s">
        <v>1063</v>
      </c>
      <c r="G311" s="373" t="s">
        <v>565</v>
      </c>
      <c r="H311" s="37" t="s">
        <v>59</v>
      </c>
      <c r="I311" s="23" t="s">
        <v>416</v>
      </c>
      <c r="J311" s="23" t="s">
        <v>794</v>
      </c>
      <c r="K311" s="23" t="s">
        <v>795</v>
      </c>
      <c r="L311" s="23"/>
      <c r="M311" s="2">
        <v>0</v>
      </c>
      <c r="N311" s="2">
        <v>0</v>
      </c>
      <c r="O311" s="2">
        <v>0</v>
      </c>
      <c r="P311" s="2">
        <v>0</v>
      </c>
      <c r="Q311" s="2">
        <v>0</v>
      </c>
      <c r="R311" s="2">
        <v>0</v>
      </c>
      <c r="S311" s="2">
        <v>0</v>
      </c>
      <c r="T311" s="2">
        <v>0</v>
      </c>
      <c r="U311" s="116">
        <f t="shared" si="8"/>
        <v>0</v>
      </c>
      <c r="V311" s="324">
        <v>0</v>
      </c>
      <c r="W311" s="324">
        <v>0</v>
      </c>
      <c r="X311" s="324">
        <v>0</v>
      </c>
      <c r="Y311" s="324">
        <v>0</v>
      </c>
      <c r="Z311" s="324">
        <v>0</v>
      </c>
      <c r="AA311" s="324">
        <v>0</v>
      </c>
      <c r="AB311" s="324">
        <v>0</v>
      </c>
      <c r="AC311" s="324">
        <v>0</v>
      </c>
      <c r="AD311" s="324">
        <v>150</v>
      </c>
      <c r="AE311" s="324">
        <v>0</v>
      </c>
      <c r="AF311" s="324">
        <v>0</v>
      </c>
      <c r="AG311" s="324">
        <v>150</v>
      </c>
      <c r="AH311" s="140">
        <f t="shared" si="9"/>
        <v>300</v>
      </c>
    </row>
    <row r="312" spans="1:34" ht="12.75" customHeight="1" x14ac:dyDescent="0.25">
      <c r="A312" s="202"/>
      <c r="B312" s="22" t="s">
        <v>57</v>
      </c>
      <c r="C312" s="34" t="s">
        <v>44</v>
      </c>
      <c r="D312" s="22" t="s">
        <v>1059</v>
      </c>
      <c r="E312" s="22" t="s">
        <v>56</v>
      </c>
      <c r="F312" s="25" t="s">
        <v>1063</v>
      </c>
      <c r="G312" s="373" t="s">
        <v>565</v>
      </c>
      <c r="H312" s="37" t="s">
        <v>59</v>
      </c>
      <c r="I312" s="23" t="s">
        <v>411</v>
      </c>
      <c r="J312" s="23" t="s">
        <v>783</v>
      </c>
      <c r="K312" s="23" t="s">
        <v>777</v>
      </c>
      <c r="L312" s="23"/>
      <c r="M312" s="2">
        <v>0</v>
      </c>
      <c r="N312" s="2">
        <v>0</v>
      </c>
      <c r="O312" s="2">
        <v>0</v>
      </c>
      <c r="P312" s="2">
        <v>0</v>
      </c>
      <c r="Q312" s="2">
        <v>0</v>
      </c>
      <c r="R312" s="2">
        <v>0</v>
      </c>
      <c r="S312" s="2">
        <v>0</v>
      </c>
      <c r="T312" s="2">
        <v>0</v>
      </c>
      <c r="U312" s="116">
        <f t="shared" si="8"/>
        <v>0</v>
      </c>
      <c r="V312" s="324">
        <v>0</v>
      </c>
      <c r="W312" s="324">
        <v>0</v>
      </c>
      <c r="X312" s="324">
        <v>0</v>
      </c>
      <c r="Y312" s="324">
        <v>0</v>
      </c>
      <c r="Z312" s="324">
        <v>0</v>
      </c>
      <c r="AA312" s="324">
        <v>0</v>
      </c>
      <c r="AB312" s="324">
        <v>0</v>
      </c>
      <c r="AC312" s="324">
        <v>0</v>
      </c>
      <c r="AD312" s="324">
        <v>0</v>
      </c>
      <c r="AE312" s="324">
        <v>0</v>
      </c>
      <c r="AF312" s="324">
        <v>0</v>
      </c>
      <c r="AG312" s="324">
        <v>150</v>
      </c>
      <c r="AH312" s="140">
        <f t="shared" si="9"/>
        <v>150</v>
      </c>
    </row>
    <row r="313" spans="1:34" ht="12.75" customHeight="1" x14ac:dyDescent="0.25">
      <c r="A313" s="202"/>
      <c r="B313" s="22" t="s">
        <v>57</v>
      </c>
      <c r="C313" s="34" t="s">
        <v>44</v>
      </c>
      <c r="D313" s="22" t="s">
        <v>318</v>
      </c>
      <c r="E313" s="22" t="s">
        <v>56</v>
      </c>
      <c r="F313" s="25" t="s">
        <v>1066</v>
      </c>
      <c r="G313" s="373" t="s">
        <v>565</v>
      </c>
      <c r="H313" s="37" t="s">
        <v>59</v>
      </c>
      <c r="I313" s="23" t="s">
        <v>1579</v>
      </c>
      <c r="J313" s="23"/>
      <c r="K313" s="23"/>
      <c r="L313" s="23"/>
      <c r="M313" s="2">
        <v>0</v>
      </c>
      <c r="N313" s="2">
        <v>0</v>
      </c>
      <c r="O313" s="2">
        <v>0</v>
      </c>
      <c r="P313" s="2">
        <v>0</v>
      </c>
      <c r="Q313" s="2">
        <v>0</v>
      </c>
      <c r="R313" s="2">
        <v>0</v>
      </c>
      <c r="S313" s="2">
        <v>0</v>
      </c>
      <c r="T313" s="2">
        <v>0</v>
      </c>
      <c r="U313" s="116">
        <f t="shared" si="8"/>
        <v>0</v>
      </c>
      <c r="V313" s="324">
        <v>0</v>
      </c>
      <c r="W313" s="324">
        <v>0</v>
      </c>
      <c r="X313" s="324">
        <v>0</v>
      </c>
      <c r="Y313" s="324">
        <v>0</v>
      </c>
      <c r="Z313" s="324">
        <v>0</v>
      </c>
      <c r="AA313" s="324">
        <v>0</v>
      </c>
      <c r="AB313" s="324">
        <v>0</v>
      </c>
      <c r="AC313" s="324">
        <v>523</v>
      </c>
      <c r="AD313" s="324">
        <v>0</v>
      </c>
      <c r="AE313" s="324">
        <v>0</v>
      </c>
      <c r="AF313" s="324">
        <v>0</v>
      </c>
      <c r="AG313" s="324">
        <v>0</v>
      </c>
      <c r="AH313" s="140">
        <f t="shared" si="9"/>
        <v>523</v>
      </c>
    </row>
    <row r="314" spans="1:34" ht="12.75" customHeight="1" x14ac:dyDescent="0.25">
      <c r="A314" s="202"/>
      <c r="B314" s="22" t="s">
        <v>57</v>
      </c>
      <c r="C314" s="34" t="s">
        <v>44</v>
      </c>
      <c r="D314" s="22" t="s">
        <v>1058</v>
      </c>
      <c r="E314" s="22" t="s">
        <v>56</v>
      </c>
      <c r="F314" s="25" t="s">
        <v>1062</v>
      </c>
      <c r="G314" s="373" t="s">
        <v>565</v>
      </c>
      <c r="H314" s="37" t="s">
        <v>59</v>
      </c>
      <c r="I314" s="23" t="s">
        <v>362</v>
      </c>
      <c r="J314" s="23" t="s">
        <v>363</v>
      </c>
      <c r="K314" s="23" t="s">
        <v>364</v>
      </c>
      <c r="L314" s="23"/>
      <c r="M314" s="2">
        <v>0</v>
      </c>
      <c r="N314" s="2">
        <v>0</v>
      </c>
      <c r="O314" s="2">
        <v>0</v>
      </c>
      <c r="P314" s="2">
        <v>0</v>
      </c>
      <c r="Q314" s="2">
        <v>0</v>
      </c>
      <c r="R314" s="2">
        <v>0</v>
      </c>
      <c r="S314" s="2">
        <v>0</v>
      </c>
      <c r="T314" s="2">
        <v>0</v>
      </c>
      <c r="U314" s="116">
        <f t="shared" si="8"/>
        <v>0</v>
      </c>
      <c r="V314" s="324">
        <v>0</v>
      </c>
      <c r="W314" s="324">
        <v>0</v>
      </c>
      <c r="X314" s="324">
        <v>0</v>
      </c>
      <c r="Y314" s="324">
        <v>0</v>
      </c>
      <c r="Z314" s="324">
        <v>0</v>
      </c>
      <c r="AA314" s="324">
        <v>0</v>
      </c>
      <c r="AB314" s="324">
        <v>0</v>
      </c>
      <c r="AC314" s="324">
        <v>0</v>
      </c>
      <c r="AD314" s="324">
        <v>0</v>
      </c>
      <c r="AE314" s="324">
        <v>0</v>
      </c>
      <c r="AF314" s="324">
        <v>0</v>
      </c>
      <c r="AG314" s="324">
        <v>0</v>
      </c>
      <c r="AH314" s="140">
        <f t="shared" si="9"/>
        <v>0</v>
      </c>
    </row>
    <row r="315" spans="1:34" ht="12.75" customHeight="1" x14ac:dyDescent="0.25">
      <c r="A315" s="202"/>
      <c r="B315" s="22" t="s">
        <v>57</v>
      </c>
      <c r="C315" s="34" t="s">
        <v>45</v>
      </c>
      <c r="D315" s="22" t="s">
        <v>58</v>
      </c>
      <c r="E315" s="22" t="s">
        <v>56</v>
      </c>
      <c r="F315" s="25" t="s">
        <v>484</v>
      </c>
      <c r="G315" s="373" t="s">
        <v>565</v>
      </c>
      <c r="H315" s="37"/>
      <c r="I315" s="23" t="s">
        <v>860</v>
      </c>
      <c r="J315" s="23" t="s">
        <v>861</v>
      </c>
      <c r="K315" s="23" t="s">
        <v>697</v>
      </c>
      <c r="L315" s="23"/>
      <c r="M315" s="2">
        <v>0</v>
      </c>
      <c r="N315" s="2"/>
      <c r="O315" s="2"/>
      <c r="P315" s="2"/>
      <c r="Q315" s="2"/>
      <c r="R315" s="2"/>
      <c r="S315" s="2"/>
      <c r="T315" s="2"/>
      <c r="U315" s="116">
        <f t="shared" si="8"/>
        <v>0</v>
      </c>
      <c r="V315" s="324"/>
      <c r="W315" s="324"/>
      <c r="X315" s="324"/>
      <c r="Y315" s="324"/>
      <c r="Z315" s="324"/>
      <c r="AA315" s="324"/>
      <c r="AB315" s="324"/>
      <c r="AC315" s="324"/>
      <c r="AD315" s="324"/>
      <c r="AE315" s="324"/>
      <c r="AF315" s="324"/>
      <c r="AG315" s="324"/>
      <c r="AH315" s="140">
        <f t="shared" si="9"/>
        <v>0</v>
      </c>
    </row>
    <row r="316" spans="1:34" ht="12.75" customHeight="1" x14ac:dyDescent="0.25">
      <c r="A316" s="202"/>
      <c r="B316" s="329" t="s">
        <v>57</v>
      </c>
      <c r="C316" s="330" t="s">
        <v>45</v>
      </c>
      <c r="D316" s="329" t="s">
        <v>58</v>
      </c>
      <c r="E316" s="329" t="s">
        <v>56</v>
      </c>
      <c r="F316" s="331" t="s">
        <v>484</v>
      </c>
      <c r="G316" s="404" t="s">
        <v>565</v>
      </c>
      <c r="H316" s="332"/>
      <c r="I316" s="94" t="s">
        <v>685</v>
      </c>
      <c r="J316" s="94" t="s">
        <v>686</v>
      </c>
      <c r="K316" s="94" t="s">
        <v>688</v>
      </c>
      <c r="L316" s="94"/>
      <c r="M316" s="2">
        <v>0</v>
      </c>
      <c r="N316" s="333"/>
      <c r="O316" s="333"/>
      <c r="P316" s="333"/>
      <c r="Q316" s="333"/>
      <c r="R316" s="333"/>
      <c r="S316" s="333"/>
      <c r="T316" s="333"/>
      <c r="U316" s="116">
        <f t="shared" si="8"/>
        <v>0</v>
      </c>
      <c r="V316" s="334"/>
      <c r="W316" s="334"/>
      <c r="X316" s="334"/>
      <c r="Y316" s="334"/>
      <c r="Z316" s="334"/>
      <c r="AA316" s="334"/>
      <c r="AB316" s="334"/>
      <c r="AC316" s="334"/>
      <c r="AD316" s="334"/>
      <c r="AE316" s="334"/>
      <c r="AF316" s="334"/>
      <c r="AG316" s="334"/>
      <c r="AH316" s="140">
        <f t="shared" si="9"/>
        <v>0</v>
      </c>
    </row>
    <row r="317" spans="1:34" ht="12.75" customHeight="1" x14ac:dyDescent="0.25">
      <c r="A317" s="202"/>
      <c r="B317" s="25" t="s">
        <v>57</v>
      </c>
      <c r="C317" s="34" t="s">
        <v>45</v>
      </c>
      <c r="D317" s="22" t="s">
        <v>58</v>
      </c>
      <c r="E317" s="22" t="s">
        <v>56</v>
      </c>
      <c r="F317" s="25" t="s">
        <v>484</v>
      </c>
      <c r="G317" s="378" t="s">
        <v>565</v>
      </c>
      <c r="H317" s="136"/>
      <c r="I317" s="23" t="s">
        <v>1545</v>
      </c>
      <c r="J317" s="23" t="s">
        <v>1547</v>
      </c>
      <c r="K317" s="23" t="s">
        <v>688</v>
      </c>
      <c r="L317" s="23"/>
      <c r="M317" s="2">
        <v>0</v>
      </c>
      <c r="N317" s="2"/>
      <c r="O317" s="2"/>
      <c r="P317" s="2"/>
      <c r="Q317" s="2"/>
      <c r="R317" s="2"/>
      <c r="S317" s="2"/>
      <c r="T317" s="2"/>
      <c r="U317" s="116">
        <f t="shared" si="8"/>
        <v>0</v>
      </c>
      <c r="V317" s="324"/>
      <c r="W317" s="324"/>
      <c r="X317" s="324"/>
      <c r="Y317" s="324"/>
      <c r="Z317" s="324"/>
      <c r="AA317" s="324"/>
      <c r="AB317" s="324"/>
      <c r="AC317" s="324"/>
      <c r="AD317" s="324"/>
      <c r="AE317" s="324"/>
      <c r="AF317" s="324"/>
      <c r="AG317" s="324"/>
      <c r="AH317" s="140">
        <f t="shared" si="9"/>
        <v>0</v>
      </c>
    </row>
    <row r="318" spans="1:34" ht="12.75" customHeight="1" x14ac:dyDescent="0.25">
      <c r="A318" s="202"/>
      <c r="B318" s="22" t="s">
        <v>57</v>
      </c>
      <c r="C318" s="34" t="s">
        <v>45</v>
      </c>
      <c r="D318" s="22" t="s">
        <v>58</v>
      </c>
      <c r="E318" s="22" t="s">
        <v>56</v>
      </c>
      <c r="F318" s="25" t="s">
        <v>484</v>
      </c>
      <c r="G318" s="378" t="s">
        <v>1426</v>
      </c>
      <c r="H318" s="136" t="s">
        <v>1512</v>
      </c>
      <c r="I318" s="23" t="s">
        <v>1546</v>
      </c>
      <c r="J318" s="23" t="s">
        <v>1547</v>
      </c>
      <c r="K318" s="23" t="s">
        <v>688</v>
      </c>
      <c r="L318" s="381" t="s">
        <v>1766</v>
      </c>
      <c r="M318" s="2">
        <v>0</v>
      </c>
      <c r="N318" s="2"/>
      <c r="O318" s="2"/>
      <c r="P318" s="2"/>
      <c r="Q318" s="2"/>
      <c r="R318" s="358"/>
      <c r="S318" s="2"/>
      <c r="T318" s="2"/>
      <c r="U318" s="116">
        <f t="shared" si="8"/>
        <v>0</v>
      </c>
      <c r="V318" s="324"/>
      <c r="W318" s="324"/>
      <c r="X318" s="324"/>
      <c r="Y318" s="324">
        <f>1746-90</f>
        <v>1656</v>
      </c>
      <c r="Z318" s="324"/>
      <c r="AA318" s="324"/>
      <c r="AB318" s="324"/>
      <c r="AC318" s="324"/>
      <c r="AD318" s="324"/>
      <c r="AE318" s="324"/>
      <c r="AF318" s="324"/>
      <c r="AG318" s="324"/>
      <c r="AH318" s="140">
        <f t="shared" si="9"/>
        <v>1656</v>
      </c>
    </row>
    <row r="319" spans="1:34" ht="12.75" customHeight="1" x14ac:dyDescent="0.25">
      <c r="A319" s="202"/>
      <c r="B319" s="22" t="s">
        <v>57</v>
      </c>
      <c r="C319" s="34" t="s">
        <v>45</v>
      </c>
      <c r="D319" s="22" t="s">
        <v>58</v>
      </c>
      <c r="E319" s="22" t="s">
        <v>56</v>
      </c>
      <c r="F319" s="25" t="s">
        <v>484</v>
      </c>
      <c r="G319" s="373" t="s">
        <v>565</v>
      </c>
      <c r="H319" s="37"/>
      <c r="I319" s="23" t="s">
        <v>485</v>
      </c>
      <c r="J319" s="23" t="s">
        <v>683</v>
      </c>
      <c r="K319" s="23" t="s">
        <v>684</v>
      </c>
      <c r="L319" s="23"/>
      <c r="M319" s="2">
        <v>0</v>
      </c>
      <c r="N319" s="2"/>
      <c r="O319" s="2"/>
      <c r="P319" s="2"/>
      <c r="Q319" s="2"/>
      <c r="R319" s="2"/>
      <c r="S319" s="2"/>
      <c r="T319" s="2"/>
      <c r="U319" s="116">
        <f t="shared" si="8"/>
        <v>0</v>
      </c>
      <c r="V319" s="324"/>
      <c r="W319" s="324"/>
      <c r="X319" s="324"/>
      <c r="Y319" s="324"/>
      <c r="Z319" s="324"/>
      <c r="AA319" s="324"/>
      <c r="AB319" s="324"/>
      <c r="AC319" s="324"/>
      <c r="AD319" s="324"/>
      <c r="AE319" s="324"/>
      <c r="AF319" s="324"/>
      <c r="AG319" s="324"/>
      <c r="AH319" s="140">
        <f t="shared" si="9"/>
        <v>0</v>
      </c>
    </row>
    <row r="320" spans="1:34" ht="12.75" customHeight="1" x14ac:dyDescent="0.25">
      <c r="A320" s="202"/>
      <c r="B320" s="22" t="s">
        <v>57</v>
      </c>
      <c r="C320" s="34" t="s">
        <v>45</v>
      </c>
      <c r="D320" s="22" t="s">
        <v>58</v>
      </c>
      <c r="E320" s="22" t="s">
        <v>56</v>
      </c>
      <c r="F320" s="25" t="s">
        <v>484</v>
      </c>
      <c r="G320" s="373" t="s">
        <v>565</v>
      </c>
      <c r="H320" s="37"/>
      <c r="I320" s="23" t="s">
        <v>694</v>
      </c>
      <c r="J320" s="23" t="s">
        <v>695</v>
      </c>
      <c r="K320" s="23" t="s">
        <v>696</v>
      </c>
      <c r="L320" s="23"/>
      <c r="M320" s="2">
        <v>0</v>
      </c>
      <c r="N320" s="2"/>
      <c r="O320" s="2"/>
      <c r="P320" s="2"/>
      <c r="Q320" s="2"/>
      <c r="R320" s="2"/>
      <c r="S320" s="2"/>
      <c r="T320" s="2"/>
      <c r="U320" s="116">
        <f t="shared" si="8"/>
        <v>0</v>
      </c>
      <c r="V320" s="324"/>
      <c r="W320" s="324"/>
      <c r="X320" s="324"/>
      <c r="Y320" s="324"/>
      <c r="Z320" s="324"/>
      <c r="AA320" s="324"/>
      <c r="AB320" s="324"/>
      <c r="AC320" s="324"/>
      <c r="AD320" s="324"/>
      <c r="AE320" s="324"/>
      <c r="AF320" s="324"/>
      <c r="AG320" s="324"/>
      <c r="AH320" s="140">
        <f t="shared" si="9"/>
        <v>0</v>
      </c>
    </row>
    <row r="321" spans="1:58" ht="12.75" customHeight="1" x14ac:dyDescent="0.25">
      <c r="A321" s="202"/>
      <c r="B321" s="22" t="s">
        <v>57</v>
      </c>
      <c r="C321" s="34" t="s">
        <v>45</v>
      </c>
      <c r="D321" s="22" t="s">
        <v>58</v>
      </c>
      <c r="E321" s="22" t="s">
        <v>56</v>
      </c>
      <c r="F321" s="25" t="s">
        <v>484</v>
      </c>
      <c r="G321" s="373" t="s">
        <v>565</v>
      </c>
      <c r="H321" s="37"/>
      <c r="I321" s="23" t="s">
        <v>486</v>
      </c>
      <c r="J321" s="23" t="s">
        <v>487</v>
      </c>
      <c r="K321" s="23" t="s">
        <v>699</v>
      </c>
      <c r="L321" s="382" t="s">
        <v>1767</v>
      </c>
      <c r="M321" s="2">
        <v>0</v>
      </c>
      <c r="N321" s="2"/>
      <c r="O321" s="2"/>
      <c r="P321" s="2"/>
      <c r="Q321" s="2"/>
      <c r="R321" s="2"/>
      <c r="S321" s="2"/>
      <c r="T321" s="2"/>
      <c r="U321" s="116">
        <f t="shared" si="8"/>
        <v>0</v>
      </c>
      <c r="V321" s="324"/>
      <c r="W321" s="324"/>
      <c r="X321" s="324"/>
      <c r="Y321" s="324"/>
      <c r="Z321" s="324"/>
      <c r="AA321" s="324"/>
      <c r="AB321" s="324"/>
      <c r="AC321" s="324"/>
      <c r="AD321" s="324">
        <v>300</v>
      </c>
      <c r="AE321" s="324"/>
      <c r="AF321" s="324"/>
      <c r="AG321" s="324"/>
      <c r="AH321" s="140">
        <f t="shared" si="9"/>
        <v>300</v>
      </c>
    </row>
    <row r="322" spans="1:58" ht="12.75" customHeight="1" x14ac:dyDescent="0.25">
      <c r="A322" s="202"/>
      <c r="B322" s="22" t="s">
        <v>57</v>
      </c>
      <c r="C322" s="34" t="s">
        <v>45</v>
      </c>
      <c r="D322" s="22" t="s">
        <v>58</v>
      </c>
      <c r="E322" s="22" t="s">
        <v>56</v>
      </c>
      <c r="F322" s="25" t="s">
        <v>484</v>
      </c>
      <c r="G322" s="373" t="s">
        <v>565</v>
      </c>
      <c r="H322" s="136"/>
      <c r="I322" s="23" t="s">
        <v>1762</v>
      </c>
      <c r="J322" s="23"/>
      <c r="K322" s="23"/>
      <c r="L322" s="23"/>
      <c r="M322" s="2"/>
      <c r="N322" s="2"/>
      <c r="O322" s="2"/>
      <c r="P322" s="2"/>
      <c r="Q322" s="2"/>
      <c r="R322" s="358"/>
      <c r="S322" s="2"/>
      <c r="T322" s="2">
        <v>90</v>
      </c>
      <c r="U322" s="116">
        <f t="shared" si="8"/>
        <v>90</v>
      </c>
      <c r="V322" s="324"/>
      <c r="W322" s="324"/>
      <c r="X322" s="324"/>
      <c r="Y322" s="324"/>
      <c r="Z322" s="324"/>
      <c r="AA322" s="324"/>
      <c r="AB322" s="324"/>
      <c r="AC322" s="324"/>
      <c r="AD322" s="324"/>
      <c r="AE322" s="324"/>
      <c r="AF322" s="324"/>
      <c r="AG322" s="324"/>
      <c r="AH322" s="140">
        <f t="shared" si="9"/>
        <v>0</v>
      </c>
    </row>
    <row r="323" spans="1:58" ht="12.75" customHeight="1" x14ac:dyDescent="0.25">
      <c r="A323" s="202"/>
      <c r="B323" s="22" t="s">
        <v>57</v>
      </c>
      <c r="C323" s="34" t="s">
        <v>45</v>
      </c>
      <c r="D323" s="22" t="s">
        <v>58</v>
      </c>
      <c r="E323" s="22" t="s">
        <v>56</v>
      </c>
      <c r="F323" s="25" t="s">
        <v>484</v>
      </c>
      <c r="G323" s="373" t="s">
        <v>565</v>
      </c>
      <c r="H323" s="37"/>
      <c r="I323" s="23" t="s">
        <v>874</v>
      </c>
      <c r="J323" s="23" t="s">
        <v>874</v>
      </c>
      <c r="K323" s="23" t="s">
        <v>875</v>
      </c>
      <c r="L323" s="23"/>
      <c r="M323" s="2">
        <v>0</v>
      </c>
      <c r="N323" s="2"/>
      <c r="O323" s="2"/>
      <c r="P323" s="2"/>
      <c r="Q323" s="2"/>
      <c r="R323" s="2"/>
      <c r="S323" s="2"/>
      <c r="T323" s="2"/>
      <c r="U323" s="116">
        <f t="shared" si="8"/>
        <v>0</v>
      </c>
      <c r="V323" s="324"/>
      <c r="W323" s="324"/>
      <c r="X323" s="324"/>
      <c r="Y323" s="324"/>
      <c r="Z323" s="324"/>
      <c r="AA323" s="324"/>
      <c r="AB323" s="324">
        <v>500</v>
      </c>
      <c r="AC323" s="324"/>
      <c r="AD323" s="324"/>
      <c r="AE323" s="324"/>
      <c r="AF323" s="324"/>
      <c r="AG323" s="324"/>
      <c r="AH323" s="140">
        <f t="shared" si="9"/>
        <v>500</v>
      </c>
    </row>
    <row r="324" spans="1:58" ht="12.75" customHeight="1" x14ac:dyDescent="0.25">
      <c r="A324" s="202"/>
      <c r="B324" s="25" t="s">
        <v>57</v>
      </c>
      <c r="C324" s="34" t="s">
        <v>45</v>
      </c>
      <c r="D324" s="22" t="s">
        <v>586</v>
      </c>
      <c r="E324" s="22" t="s">
        <v>56</v>
      </c>
      <c r="F324" s="25" t="s">
        <v>606</v>
      </c>
      <c r="G324" s="373" t="s">
        <v>565</v>
      </c>
      <c r="H324" s="37"/>
      <c r="I324" s="23" t="s">
        <v>1048</v>
      </c>
      <c r="J324" s="23" t="s">
        <v>608</v>
      </c>
      <c r="K324" s="23" t="s">
        <v>609</v>
      </c>
      <c r="L324" s="382" t="s">
        <v>1768</v>
      </c>
      <c r="M324" s="2">
        <v>0</v>
      </c>
      <c r="N324" s="2"/>
      <c r="O324" s="2"/>
      <c r="P324" s="2"/>
      <c r="Q324" s="2"/>
      <c r="R324" s="2"/>
      <c r="S324" s="2"/>
      <c r="T324" s="2"/>
      <c r="U324" s="116">
        <f t="shared" si="8"/>
        <v>0</v>
      </c>
      <c r="V324" s="324"/>
      <c r="W324" s="324"/>
      <c r="X324" s="324"/>
      <c r="Y324" s="324"/>
      <c r="Z324" s="324"/>
      <c r="AA324" s="324"/>
      <c r="AB324" s="324"/>
      <c r="AC324" s="324"/>
      <c r="AD324" s="324"/>
      <c r="AE324" s="324">
        <v>82</v>
      </c>
      <c r="AF324" s="324"/>
      <c r="AG324" s="324"/>
      <c r="AH324" s="140">
        <f t="shared" si="9"/>
        <v>82</v>
      </c>
    </row>
    <row r="325" spans="1:58" ht="12.75" customHeight="1" x14ac:dyDescent="0.25">
      <c r="A325" s="202"/>
      <c r="B325" s="25" t="s">
        <v>57</v>
      </c>
      <c r="C325" s="34" t="s">
        <v>45</v>
      </c>
      <c r="D325" s="22" t="s">
        <v>586</v>
      </c>
      <c r="E325" s="22" t="s">
        <v>56</v>
      </c>
      <c r="F325" s="25" t="s">
        <v>606</v>
      </c>
      <c r="G325" s="373" t="s">
        <v>565</v>
      </c>
      <c r="H325" s="37"/>
      <c r="I325" s="23" t="s">
        <v>898</v>
      </c>
      <c r="J325" s="23" t="s">
        <v>607</v>
      </c>
      <c r="K325" s="23" t="s">
        <v>897</v>
      </c>
      <c r="L325" s="23"/>
      <c r="M325" s="2">
        <v>0</v>
      </c>
      <c r="N325" s="2"/>
      <c r="O325" s="2"/>
      <c r="P325" s="2"/>
      <c r="Q325" s="2"/>
      <c r="R325" s="2"/>
      <c r="S325" s="2"/>
      <c r="T325" s="2"/>
      <c r="U325" s="116">
        <f t="shared" si="8"/>
        <v>0</v>
      </c>
      <c r="V325" s="324">
        <v>1364</v>
      </c>
      <c r="W325" s="324"/>
      <c r="X325" s="324"/>
      <c r="Y325" s="324"/>
      <c r="Z325" s="324"/>
      <c r="AA325" s="324"/>
      <c r="AB325" s="324"/>
      <c r="AC325" s="324"/>
      <c r="AD325" s="324"/>
      <c r="AE325" s="324"/>
      <c r="AF325" s="324"/>
      <c r="AG325" s="324"/>
      <c r="AH325" s="140">
        <f t="shared" si="9"/>
        <v>1364</v>
      </c>
    </row>
    <row r="326" spans="1:58" ht="12.75" customHeight="1" x14ac:dyDescent="0.25">
      <c r="A326" s="202"/>
      <c r="B326" s="22" t="s">
        <v>57</v>
      </c>
      <c r="C326" s="34" t="s">
        <v>45</v>
      </c>
      <c r="D326" s="22" t="s">
        <v>58</v>
      </c>
      <c r="E326" s="22" t="s">
        <v>56</v>
      </c>
      <c r="F326" s="25" t="s">
        <v>484</v>
      </c>
      <c r="G326" s="373" t="s">
        <v>565</v>
      </c>
      <c r="H326" s="37"/>
      <c r="I326" s="23" t="s">
        <v>582</v>
      </c>
      <c r="J326" s="23" t="s">
        <v>681</v>
      </c>
      <c r="K326" s="23" t="s">
        <v>682</v>
      </c>
      <c r="L326" s="380" t="s">
        <v>1765</v>
      </c>
      <c r="M326" s="2">
        <v>0</v>
      </c>
      <c r="N326" s="2"/>
      <c r="O326" s="2"/>
      <c r="P326" s="2"/>
      <c r="Q326" s="2"/>
      <c r="R326" s="2"/>
      <c r="S326" s="2"/>
      <c r="T326" s="2"/>
      <c r="U326" s="116">
        <f t="shared" si="8"/>
        <v>0</v>
      </c>
      <c r="V326" s="324"/>
      <c r="W326" s="324"/>
      <c r="X326" s="324"/>
      <c r="Y326" s="324"/>
      <c r="Z326" s="324"/>
      <c r="AA326" s="324"/>
      <c r="AB326" s="324">
        <v>1054.4000000000001</v>
      </c>
      <c r="AC326" s="324"/>
      <c r="AD326" s="324"/>
      <c r="AE326" s="324"/>
      <c r="AF326" s="324"/>
      <c r="AG326" s="324"/>
      <c r="AH326" s="140">
        <f t="shared" si="9"/>
        <v>1054.4000000000001</v>
      </c>
    </row>
    <row r="327" spans="1:58" ht="12.75" customHeight="1" x14ac:dyDescent="0.25">
      <c r="A327" s="202"/>
      <c r="B327" s="22" t="s">
        <v>406</v>
      </c>
      <c r="C327" s="34" t="s">
        <v>46</v>
      </c>
      <c r="D327" s="22" t="s">
        <v>1058</v>
      </c>
      <c r="E327" s="22" t="s">
        <v>56</v>
      </c>
      <c r="F327" s="25" t="s">
        <v>1062</v>
      </c>
      <c r="G327" s="373" t="s">
        <v>1482</v>
      </c>
      <c r="H327" s="37" t="s">
        <v>1483</v>
      </c>
      <c r="I327" s="23" t="s">
        <v>1720</v>
      </c>
      <c r="J327" s="23" t="s">
        <v>407</v>
      </c>
      <c r="K327" s="23" t="s">
        <v>59</v>
      </c>
      <c r="L327" s="23"/>
      <c r="M327" s="2">
        <v>0</v>
      </c>
      <c r="N327" s="2">
        <v>0</v>
      </c>
      <c r="O327" s="2">
        <v>0</v>
      </c>
      <c r="P327" s="2">
        <v>0</v>
      </c>
      <c r="Q327" s="2">
        <v>75</v>
      </c>
      <c r="R327" s="2">
        <v>0</v>
      </c>
      <c r="S327" s="2">
        <v>0</v>
      </c>
      <c r="T327" s="2">
        <v>0</v>
      </c>
      <c r="U327" s="116">
        <f t="shared" si="8"/>
        <v>75</v>
      </c>
      <c r="V327" s="324">
        <v>0</v>
      </c>
      <c r="W327" s="324">
        <v>0</v>
      </c>
      <c r="X327" s="324">
        <v>0</v>
      </c>
      <c r="Y327" s="324">
        <v>0</v>
      </c>
      <c r="Z327" s="324">
        <v>0</v>
      </c>
      <c r="AA327" s="324">
        <v>0</v>
      </c>
      <c r="AB327" s="324">
        <v>0</v>
      </c>
      <c r="AC327" s="324">
        <v>0</v>
      </c>
      <c r="AD327" s="324">
        <v>75</v>
      </c>
      <c r="AE327" s="324">
        <v>0</v>
      </c>
      <c r="AF327" s="324">
        <v>0</v>
      </c>
      <c r="AG327" s="324">
        <v>0</v>
      </c>
      <c r="AH327" s="140">
        <f t="shared" si="9"/>
        <v>75</v>
      </c>
    </row>
    <row r="328" spans="1:58" ht="12.75" customHeight="1" x14ac:dyDescent="0.25">
      <c r="A328" s="202"/>
      <c r="B328" s="22" t="s">
        <v>406</v>
      </c>
      <c r="C328" s="34" t="s">
        <v>47</v>
      </c>
      <c r="D328" s="22" t="s">
        <v>1058</v>
      </c>
      <c r="E328" s="22" t="s">
        <v>56</v>
      </c>
      <c r="F328" s="25" t="s">
        <v>1134</v>
      </c>
      <c r="G328" s="373" t="s">
        <v>1802</v>
      </c>
      <c r="H328" s="37" t="s">
        <v>59</v>
      </c>
      <c r="I328" s="23" t="s">
        <v>1713</v>
      </c>
      <c r="J328" s="23" t="s">
        <v>373</v>
      </c>
      <c r="K328" s="23" t="s">
        <v>59</v>
      </c>
      <c r="L328" s="23"/>
      <c r="M328" s="2">
        <v>0</v>
      </c>
      <c r="N328" s="2">
        <v>0</v>
      </c>
      <c r="O328" s="2">
        <v>0</v>
      </c>
      <c r="P328" s="2">
        <v>15</v>
      </c>
      <c r="Q328" s="2">
        <v>0</v>
      </c>
      <c r="R328" s="2">
        <v>0</v>
      </c>
      <c r="S328" s="2">
        <v>0</v>
      </c>
      <c r="T328" s="2">
        <v>0</v>
      </c>
      <c r="U328" s="116">
        <f t="shared" ref="U328:U329" si="10">SUM(M328:T328)</f>
        <v>15</v>
      </c>
      <c r="V328" s="324">
        <v>0</v>
      </c>
      <c r="W328" s="324">
        <v>0</v>
      </c>
      <c r="X328" s="324">
        <v>0</v>
      </c>
      <c r="Y328" s="324">
        <v>0</v>
      </c>
      <c r="Z328" s="324">
        <v>0</v>
      </c>
      <c r="AA328" s="324">
        <v>0</v>
      </c>
      <c r="AB328" s="324">
        <v>0</v>
      </c>
      <c r="AC328" s="324">
        <v>15</v>
      </c>
      <c r="AD328" s="324">
        <v>0</v>
      </c>
      <c r="AE328" s="324">
        <v>0</v>
      </c>
      <c r="AF328" s="324">
        <v>0</v>
      </c>
      <c r="AG328" s="324">
        <v>0</v>
      </c>
      <c r="AH328" s="140">
        <f t="shared" si="9"/>
        <v>15</v>
      </c>
    </row>
    <row r="329" spans="1:58" ht="12.75" customHeight="1" x14ac:dyDescent="0.25">
      <c r="A329" s="202"/>
      <c r="B329" s="22" t="s">
        <v>406</v>
      </c>
      <c r="C329" s="34" t="s">
        <v>47</v>
      </c>
      <c r="D329" s="22" t="s">
        <v>1059</v>
      </c>
      <c r="E329" s="22" t="s">
        <v>56</v>
      </c>
      <c r="F329" s="25" t="s">
        <v>1063</v>
      </c>
      <c r="G329" s="373" t="s">
        <v>801</v>
      </c>
      <c r="H329" s="37" t="s">
        <v>1406</v>
      </c>
      <c r="I329" s="23" t="s">
        <v>802</v>
      </c>
      <c r="J329" s="23" t="s">
        <v>803</v>
      </c>
      <c r="K329" s="23" t="s">
        <v>804</v>
      </c>
      <c r="L329" s="23"/>
      <c r="M329" s="2">
        <v>7.60504150390625</v>
      </c>
      <c r="N329" s="2">
        <v>212.02916999999999</v>
      </c>
      <c r="O329" s="2">
        <v>0</v>
      </c>
      <c r="P329" s="2">
        <v>0</v>
      </c>
      <c r="Q329" s="2">
        <v>0</v>
      </c>
      <c r="R329" s="2">
        <v>0</v>
      </c>
      <c r="S329" s="2">
        <v>0</v>
      </c>
      <c r="T329" s="2"/>
      <c r="U329" s="116">
        <f t="shared" si="10"/>
        <v>219.63421150390624</v>
      </c>
      <c r="V329" s="324">
        <v>0</v>
      </c>
      <c r="W329" s="324">
        <v>0</v>
      </c>
      <c r="X329" s="324">
        <v>0</v>
      </c>
      <c r="Y329" s="324">
        <v>0</v>
      </c>
      <c r="Z329" s="324">
        <v>0</v>
      </c>
      <c r="AA329" s="324">
        <v>0</v>
      </c>
      <c r="AB329" s="324">
        <v>0</v>
      </c>
      <c r="AC329" s="324">
        <v>0</v>
      </c>
      <c r="AD329" s="324">
        <v>0</v>
      </c>
      <c r="AE329" s="324">
        <v>0</v>
      </c>
      <c r="AF329" s="324">
        <v>0</v>
      </c>
      <c r="AG329" s="324">
        <v>0</v>
      </c>
      <c r="AH329" s="140">
        <f t="shared" ref="AH329" si="11">SUM(V329:AG329)</f>
        <v>0</v>
      </c>
    </row>
    <row r="330" spans="1:58" x14ac:dyDescent="0.25">
      <c r="B330" s="77"/>
      <c r="C330" s="77"/>
      <c r="D330" s="77"/>
      <c r="E330" s="77"/>
      <c r="F330" s="77"/>
      <c r="G330" s="77"/>
      <c r="H330" s="77"/>
      <c r="I330" s="78"/>
      <c r="J330" s="78"/>
      <c r="K330" s="78"/>
      <c r="L330" s="78"/>
      <c r="M330" s="366">
        <f t="shared" ref="M330:AH330" si="12">SUBTOTAL(9,M7:M329)</f>
        <v>9232.7012758255005</v>
      </c>
      <c r="N330" s="77">
        <f t="shared" si="12"/>
        <v>3621.4750301382824</v>
      </c>
      <c r="O330" s="77">
        <f t="shared" si="12"/>
        <v>2372.6880999999998</v>
      </c>
      <c r="P330" s="77">
        <f t="shared" si="12"/>
        <v>10754.230889885561</v>
      </c>
      <c r="Q330" s="77">
        <f t="shared" si="12"/>
        <v>7667.4854400747681</v>
      </c>
      <c r="R330" s="77">
        <f t="shared" si="12"/>
        <v>8846.068580000001</v>
      </c>
      <c r="S330" s="77">
        <f t="shared" si="12"/>
        <v>6009.11528</v>
      </c>
      <c r="T330" s="77">
        <f t="shared" si="12"/>
        <v>28306.512464132044</v>
      </c>
      <c r="U330" s="77">
        <f t="shared" si="12"/>
        <v>76810.277060056149</v>
      </c>
      <c r="V330" s="77">
        <f t="shared" si="12"/>
        <v>5321.1755475</v>
      </c>
      <c r="W330" s="77">
        <f t="shared" si="12"/>
        <v>4811.6645475000005</v>
      </c>
      <c r="X330" s="77">
        <f t="shared" si="12"/>
        <v>10667.315377499999</v>
      </c>
      <c r="Y330" s="77">
        <f t="shared" si="12"/>
        <v>7092.8610475000005</v>
      </c>
      <c r="Z330" s="77">
        <f t="shared" si="12"/>
        <v>5297.0990474999999</v>
      </c>
      <c r="AA330" s="77">
        <f t="shared" si="12"/>
        <v>10394.978047500001</v>
      </c>
      <c r="AB330" s="77">
        <f t="shared" si="12"/>
        <v>11737.937847499999</v>
      </c>
      <c r="AC330" s="77">
        <f t="shared" si="12"/>
        <v>20921.240047499999</v>
      </c>
      <c r="AD330" s="77">
        <f t="shared" si="12"/>
        <v>7467.4830474999999</v>
      </c>
      <c r="AE330" s="77">
        <f t="shared" si="12"/>
        <v>4294.6592191609998</v>
      </c>
      <c r="AF330" s="77">
        <f t="shared" si="12"/>
        <v>4071.9390475</v>
      </c>
      <c r="AG330" s="77">
        <f t="shared" si="12"/>
        <v>12848.999172653004</v>
      </c>
      <c r="AH330" s="77">
        <f t="shared" si="12"/>
        <v>104927.35199681402</v>
      </c>
    </row>
    <row r="331" spans="1:58" x14ac:dyDescent="0.25">
      <c r="U331" s="364"/>
    </row>
    <row r="332" spans="1:58" s="377" customFormat="1" x14ac:dyDescent="0.25">
      <c r="A332" s="374"/>
      <c r="B332" s="375"/>
      <c r="C332" s="375"/>
      <c r="D332" s="375"/>
      <c r="E332" s="375"/>
      <c r="F332" s="375"/>
      <c r="G332" s="375"/>
      <c r="H332" s="375"/>
      <c r="I332" s="376"/>
      <c r="J332" s="35"/>
      <c r="K332" s="376"/>
      <c r="L332" s="376"/>
      <c r="M332" s="95"/>
      <c r="N332" s="367"/>
      <c r="O332" s="367"/>
      <c r="P332" s="367"/>
      <c r="Q332" s="367"/>
      <c r="R332" s="367"/>
      <c r="S332" s="367"/>
      <c r="T332" s="367"/>
      <c r="U332" s="115"/>
      <c r="V332" s="115"/>
      <c r="W332" s="115"/>
      <c r="X332" s="115"/>
      <c r="Y332" s="115"/>
      <c r="Z332" s="115"/>
      <c r="AA332" s="115"/>
      <c r="AB332" s="115"/>
      <c r="AC332" s="115"/>
      <c r="AD332" s="115"/>
      <c r="AE332" s="115"/>
      <c r="AF332" s="115"/>
      <c r="AG332" s="115"/>
      <c r="AH332" s="115"/>
      <c r="AI332" s="406"/>
      <c r="AJ332" s="406"/>
      <c r="AK332" s="406"/>
      <c r="AL332" s="406"/>
      <c r="AM332" s="406"/>
      <c r="AN332" s="406"/>
      <c r="AO332" s="406"/>
      <c r="AP332" s="406"/>
      <c r="AQ332" s="406"/>
      <c r="AR332" s="406"/>
      <c r="AS332" s="406"/>
      <c r="AT332" s="406"/>
      <c r="AU332" s="406"/>
      <c r="AV332" s="406"/>
      <c r="AW332" s="406"/>
      <c r="AX332" s="406"/>
      <c r="AY332" s="406"/>
      <c r="AZ332" s="406"/>
      <c r="BA332" s="406"/>
      <c r="BB332" s="406"/>
      <c r="BC332" s="406"/>
      <c r="BD332" s="406"/>
      <c r="BE332" s="406"/>
      <c r="BF332" s="406"/>
    </row>
    <row r="333" spans="1:58" x14ac:dyDescent="0.25">
      <c r="M333" s="203"/>
      <c r="N333" s="203"/>
      <c r="O333" s="203"/>
      <c r="P333" s="203"/>
      <c r="Q333" s="203"/>
      <c r="R333" s="203"/>
      <c r="S333" s="203"/>
      <c r="T333" s="203"/>
      <c r="U333" s="203"/>
    </row>
    <row r="334" spans="1:58" x14ac:dyDescent="0.25">
      <c r="N334" s="95"/>
    </row>
    <row r="335" spans="1:58" x14ac:dyDescent="0.25">
      <c r="U335" s="115"/>
      <c r="V335" s="326"/>
      <c r="W335" s="326"/>
      <c r="X335" s="326"/>
      <c r="Y335" s="326"/>
      <c r="Z335" s="326"/>
      <c r="AA335" s="326"/>
      <c r="AB335" s="326"/>
      <c r="AC335" s="326"/>
      <c r="AD335" s="326"/>
      <c r="AE335" s="326"/>
      <c r="AF335" s="326"/>
      <c r="AG335" s="326"/>
      <c r="AH335" s="326"/>
    </row>
    <row r="337" spans="18:34" x14ac:dyDescent="0.25">
      <c r="R337" s="203"/>
    </row>
    <row r="341" spans="18:34" x14ac:dyDescent="0.25">
      <c r="AH341" s="363"/>
    </row>
  </sheetData>
  <autoFilter ref="A6:AI333"/>
  <dataConsolidate/>
  <mergeCells count="2">
    <mergeCell ref="M4:AH4"/>
    <mergeCell ref="M5:U5"/>
  </mergeCells>
  <dataValidations count="1">
    <dataValidation type="list" allowBlank="1" showInputMessage="1" showErrorMessage="1" sqref="B7:B329">
      <formula1>"Geração,Transmissão,Distribuição,Holding"</formula1>
    </dataValidation>
  </dataValidations>
  <pageMargins left="0.51181102362204722" right="0.51181102362204722" top="0.59055118110236227" bottom="0.59055118110236227" header="0.31496062992125984" footer="0.31496062992125984"/>
  <pageSetup paperSize="8" scale="32" fitToHeight="2"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3:O20"/>
  <sheetViews>
    <sheetView showGridLines="0" workbookViewId="0">
      <selection activeCell="A22" sqref="A22:XFD22"/>
    </sheetView>
  </sheetViews>
  <sheetFormatPr defaultRowHeight="15" x14ac:dyDescent="0.25"/>
  <cols>
    <col min="1" max="1" width="24" customWidth="1"/>
    <col min="2" max="2" width="14.85546875" customWidth="1"/>
    <col min="3" max="3" width="11" customWidth="1"/>
    <col min="4" max="4" width="10.42578125" customWidth="1"/>
    <col min="5" max="5" width="11.28515625" customWidth="1"/>
    <col min="6" max="6" width="10.85546875" customWidth="1"/>
    <col min="7" max="7" width="11.140625" customWidth="1"/>
    <col min="8" max="8" width="11.42578125" customWidth="1"/>
    <col min="9" max="9" width="11.28515625" bestFit="1" customWidth="1"/>
    <col min="10" max="10" width="10.85546875" customWidth="1"/>
    <col min="11" max="11" width="11" customWidth="1"/>
    <col min="12" max="12" width="11.5703125" customWidth="1"/>
    <col min="13" max="13" width="11" customWidth="1"/>
    <col min="14" max="14" width="11.42578125" customWidth="1"/>
    <col min="15" max="15" width="11" customWidth="1"/>
  </cols>
  <sheetData>
    <row r="3" spans="1:15" x14ac:dyDescent="0.25">
      <c r="A3" s="21" t="s">
        <v>1814</v>
      </c>
    </row>
    <row r="4" spans="1:15" x14ac:dyDescent="0.25">
      <c r="A4" s="341" t="s">
        <v>1812</v>
      </c>
      <c r="B4" s="408" t="s">
        <v>1804</v>
      </c>
      <c r="C4" s="118" t="s">
        <v>1805</v>
      </c>
      <c r="D4" s="118" t="s">
        <v>1806</v>
      </c>
      <c r="E4" s="118" t="s">
        <v>1807</v>
      </c>
      <c r="F4" s="118" t="s">
        <v>1808</v>
      </c>
      <c r="G4" s="118" t="s">
        <v>1809</v>
      </c>
      <c r="H4" s="118" t="s">
        <v>1810</v>
      </c>
      <c r="I4" s="118" t="s">
        <v>1811</v>
      </c>
      <c r="J4" t="s">
        <v>1817</v>
      </c>
      <c r="K4" t="s">
        <v>1818</v>
      </c>
      <c r="L4" t="s">
        <v>1819</v>
      </c>
      <c r="M4" t="s">
        <v>1820</v>
      </c>
      <c r="N4" t="s">
        <v>1821</v>
      </c>
      <c r="O4" t="s">
        <v>1822</v>
      </c>
    </row>
    <row r="5" spans="1:15" x14ac:dyDescent="0.25">
      <c r="A5" s="342" t="s">
        <v>54</v>
      </c>
      <c r="B5" s="119">
        <v>192.33592987060547</v>
      </c>
      <c r="C5" s="119">
        <v>105.30000002384186</v>
      </c>
      <c r="D5" s="119">
        <v>170.8151</v>
      </c>
      <c r="E5" s="119">
        <v>576.38330999999994</v>
      </c>
      <c r="F5" s="119">
        <v>161.51295999999999</v>
      </c>
      <c r="G5" s="119">
        <v>664.25</v>
      </c>
      <c r="H5" s="119">
        <v>242.2</v>
      </c>
      <c r="I5" s="119">
        <v>556.59119961853105</v>
      </c>
      <c r="J5" s="119">
        <v>0</v>
      </c>
      <c r="K5" s="119">
        <v>357</v>
      </c>
      <c r="L5" s="119">
        <v>351.9</v>
      </c>
      <c r="M5" s="119">
        <v>0</v>
      </c>
      <c r="N5" s="119">
        <v>21</v>
      </c>
      <c r="O5" s="119">
        <v>41.5</v>
      </c>
    </row>
    <row r="6" spans="1:15" x14ac:dyDescent="0.25">
      <c r="A6" s="342" t="s">
        <v>63</v>
      </c>
      <c r="B6" s="119">
        <v>110.7751305103302</v>
      </c>
      <c r="C6" s="119">
        <v>102.31131999999999</v>
      </c>
      <c r="D6" s="119">
        <v>0</v>
      </c>
      <c r="E6" s="119">
        <v>443.39096999999998</v>
      </c>
      <c r="F6" s="119">
        <v>101.35312999999999</v>
      </c>
      <c r="G6" s="119">
        <v>465.75334999999995</v>
      </c>
      <c r="H6" s="119">
        <v>330</v>
      </c>
      <c r="I6" s="119">
        <v>965.15013448966977</v>
      </c>
      <c r="J6" s="119">
        <v>77.703347499999992</v>
      </c>
      <c r="K6" s="119">
        <v>77.703347499999992</v>
      </c>
      <c r="L6" s="119">
        <v>484.24317750000017</v>
      </c>
      <c r="M6" s="119">
        <v>127.70334749999999</v>
      </c>
      <c r="N6" s="119">
        <v>1690.7033475000001</v>
      </c>
      <c r="O6" s="119">
        <v>77.703347499999992</v>
      </c>
    </row>
    <row r="7" spans="1:15" x14ac:dyDescent="0.25">
      <c r="A7" s="342" t="s">
        <v>57</v>
      </c>
      <c r="B7" s="119">
        <v>8921.9851739406586</v>
      </c>
      <c r="C7" s="119">
        <v>3201.8345401144411</v>
      </c>
      <c r="D7" s="119">
        <v>2201.873</v>
      </c>
      <c r="E7" s="119">
        <v>9719.4566098855612</v>
      </c>
      <c r="F7" s="119">
        <v>7329.6193500747686</v>
      </c>
      <c r="G7" s="119">
        <v>7716.0652300000002</v>
      </c>
      <c r="H7" s="119">
        <v>5436.9152800000002</v>
      </c>
      <c r="I7" s="119">
        <v>26784.771130023844</v>
      </c>
      <c r="J7" s="119">
        <v>5243.4722000000002</v>
      </c>
      <c r="K7" s="119">
        <v>4376.9611999999997</v>
      </c>
      <c r="L7" s="119">
        <v>9831.1722000000009</v>
      </c>
      <c r="M7" s="119">
        <v>6965.1577000000007</v>
      </c>
      <c r="N7" s="119">
        <v>3585.3957000000005</v>
      </c>
      <c r="O7" s="119">
        <v>10275.774699999998</v>
      </c>
    </row>
    <row r="8" spans="1:15" x14ac:dyDescent="0.25">
      <c r="A8" s="342" t="s">
        <v>406</v>
      </c>
      <c r="B8" s="119">
        <v>7.60504150390625</v>
      </c>
      <c r="C8" s="119">
        <v>212.02916999999999</v>
      </c>
      <c r="D8" s="119">
        <v>0</v>
      </c>
      <c r="E8" s="119">
        <v>15</v>
      </c>
      <c r="F8" s="119">
        <v>75</v>
      </c>
      <c r="G8" s="119">
        <v>0</v>
      </c>
      <c r="H8" s="119">
        <v>0</v>
      </c>
      <c r="I8" s="119">
        <v>0</v>
      </c>
      <c r="J8" s="119">
        <v>0</v>
      </c>
      <c r="K8" s="119">
        <v>0</v>
      </c>
      <c r="L8" s="119">
        <v>0</v>
      </c>
      <c r="M8" s="119">
        <v>0</v>
      </c>
      <c r="N8" s="119">
        <v>0</v>
      </c>
      <c r="O8" s="119">
        <v>0</v>
      </c>
    </row>
    <row r="9" spans="1:15" x14ac:dyDescent="0.25">
      <c r="A9" s="342" t="s">
        <v>456</v>
      </c>
      <c r="B9" s="119">
        <v>9232.7012758255005</v>
      </c>
      <c r="C9" s="119">
        <v>3621.4750301382828</v>
      </c>
      <c r="D9" s="119">
        <v>2372.6880999999998</v>
      </c>
      <c r="E9" s="119">
        <v>10754.230889885561</v>
      </c>
      <c r="F9" s="119">
        <v>7667.4854400747681</v>
      </c>
      <c r="G9" s="119">
        <v>8846.0685799999992</v>
      </c>
      <c r="H9" s="119">
        <v>6009.11528</v>
      </c>
      <c r="I9" s="119">
        <v>28306.512464132044</v>
      </c>
      <c r="J9" s="119">
        <v>5321.1755475</v>
      </c>
      <c r="K9" s="119">
        <v>4811.6645474999996</v>
      </c>
      <c r="L9" s="119">
        <v>10667.315377500001</v>
      </c>
      <c r="M9" s="119">
        <v>7092.8610475000005</v>
      </c>
      <c r="N9" s="119">
        <v>5297.0990475000008</v>
      </c>
      <c r="O9" s="119">
        <v>10394.978047499999</v>
      </c>
    </row>
    <row r="14" spans="1:15" x14ac:dyDescent="0.25">
      <c r="A14" s="411" t="s">
        <v>1815</v>
      </c>
    </row>
    <row r="15" spans="1:15" x14ac:dyDescent="0.25">
      <c r="A15" t="s">
        <v>1812</v>
      </c>
      <c r="B15" s="408" t="s">
        <v>1816</v>
      </c>
      <c r="C15" s="118" t="s">
        <v>1806</v>
      </c>
      <c r="D15" s="118" t="s">
        <v>1807</v>
      </c>
      <c r="E15" s="118" t="s">
        <v>1808</v>
      </c>
      <c r="F15" s="118" t="s">
        <v>1809</v>
      </c>
      <c r="G15" s="118" t="s">
        <v>1810</v>
      </c>
      <c r="H15" s="118" t="s">
        <v>1811</v>
      </c>
      <c r="I15" s="118" t="s">
        <v>1817</v>
      </c>
      <c r="J15" s="118" t="s">
        <v>1818</v>
      </c>
      <c r="K15" s="118" t="s">
        <v>1819</v>
      </c>
      <c r="L15" s="118" t="s">
        <v>1820</v>
      </c>
      <c r="M15" s="118" t="s">
        <v>1821</v>
      </c>
      <c r="N15" s="118" t="s">
        <v>1822</v>
      </c>
    </row>
    <row r="16" spans="1:15" x14ac:dyDescent="0.25">
      <c r="A16" s="342" t="s">
        <v>54</v>
      </c>
      <c r="B16" s="119">
        <v>192.33592987060547</v>
      </c>
      <c r="C16" s="119">
        <v>105.30000002384186</v>
      </c>
      <c r="D16" s="119">
        <v>170.8151</v>
      </c>
      <c r="E16" s="119">
        <v>576.38330999999994</v>
      </c>
      <c r="F16" s="119">
        <v>161.51295999999999</v>
      </c>
      <c r="G16" s="119">
        <v>664.25</v>
      </c>
      <c r="H16" s="119">
        <v>242.2</v>
      </c>
      <c r="I16" s="119">
        <v>556.59119961853105</v>
      </c>
      <c r="J16" s="119">
        <v>0</v>
      </c>
      <c r="K16" s="119">
        <v>357</v>
      </c>
      <c r="L16" s="119">
        <v>351.9</v>
      </c>
      <c r="M16" s="119">
        <v>0</v>
      </c>
      <c r="N16" s="119">
        <v>21</v>
      </c>
    </row>
    <row r="17" spans="1:14" x14ac:dyDescent="0.25">
      <c r="A17" s="342" t="s">
        <v>63</v>
      </c>
      <c r="B17" s="119">
        <v>110.7751305103302</v>
      </c>
      <c r="C17" s="119">
        <v>102.31131999999999</v>
      </c>
      <c r="D17" s="119">
        <v>0</v>
      </c>
      <c r="E17" s="119">
        <v>443.39096999999998</v>
      </c>
      <c r="F17" s="119">
        <v>101.35312999999999</v>
      </c>
      <c r="G17" s="119">
        <v>465.75334999999995</v>
      </c>
      <c r="H17" s="119">
        <v>330</v>
      </c>
      <c r="I17" s="119">
        <v>965.15013448966977</v>
      </c>
      <c r="J17" s="119">
        <v>77.703347499999992</v>
      </c>
      <c r="K17" s="119">
        <v>77.703347499999992</v>
      </c>
      <c r="L17" s="119">
        <v>484.24317750000017</v>
      </c>
      <c r="M17" s="119">
        <v>127.70334749999999</v>
      </c>
      <c r="N17" s="119">
        <v>1690.7033475000001</v>
      </c>
    </row>
    <row r="18" spans="1:14" x14ac:dyDescent="0.25">
      <c r="A18" s="342" t="s">
        <v>57</v>
      </c>
      <c r="B18" s="119">
        <v>8921.9851739406586</v>
      </c>
      <c r="C18" s="119">
        <v>3201.8345401144411</v>
      </c>
      <c r="D18" s="119">
        <v>2201.873</v>
      </c>
      <c r="E18" s="119">
        <v>9719.4566098855612</v>
      </c>
      <c r="F18" s="119">
        <v>7329.6193500747686</v>
      </c>
      <c r="G18" s="119">
        <v>7716.0652300000002</v>
      </c>
      <c r="H18" s="119">
        <v>5436.9152800000002</v>
      </c>
      <c r="I18" s="119">
        <v>26784.771130023844</v>
      </c>
      <c r="J18" s="119">
        <v>5243.4722000000002</v>
      </c>
      <c r="K18" s="119">
        <v>4376.9611999999997</v>
      </c>
      <c r="L18" s="119">
        <v>9831.1722000000009</v>
      </c>
      <c r="M18" s="119">
        <v>6965.1577000000007</v>
      </c>
      <c r="N18" s="119">
        <v>3585.3957000000005</v>
      </c>
    </row>
    <row r="19" spans="1:14" x14ac:dyDescent="0.25">
      <c r="A19" s="342" t="s">
        <v>406</v>
      </c>
      <c r="B19" s="119">
        <v>7.60504150390625</v>
      </c>
      <c r="C19" s="119">
        <v>212.02916999999999</v>
      </c>
      <c r="D19" s="119">
        <v>0</v>
      </c>
      <c r="E19" s="119">
        <v>15</v>
      </c>
      <c r="F19" s="119">
        <v>75</v>
      </c>
      <c r="G19" s="119">
        <v>0</v>
      </c>
      <c r="H19" s="119">
        <v>0</v>
      </c>
      <c r="I19" s="119">
        <v>0</v>
      </c>
      <c r="J19" s="119">
        <v>0</v>
      </c>
      <c r="K19" s="119">
        <v>0</v>
      </c>
      <c r="L19" s="119">
        <v>0</v>
      </c>
      <c r="M19" s="119">
        <v>0</v>
      </c>
      <c r="N19" s="119">
        <v>0</v>
      </c>
    </row>
    <row r="20" spans="1:14" x14ac:dyDescent="0.25">
      <c r="A20" s="342" t="s">
        <v>456</v>
      </c>
      <c r="B20" s="119">
        <f>SUBTOTAL(109,B16:B19)</f>
        <v>9232.7012758255005</v>
      </c>
      <c r="C20" s="119">
        <f t="shared" ref="C20:H20" si="0">SUBTOTAL(109,C16:C19)</f>
        <v>3621.4750301382828</v>
      </c>
      <c r="D20" s="119">
        <f t="shared" si="0"/>
        <v>2372.6880999999998</v>
      </c>
      <c r="E20" s="119">
        <f t="shared" si="0"/>
        <v>10754.230889885561</v>
      </c>
      <c r="F20" s="119">
        <f t="shared" si="0"/>
        <v>7667.4854400747681</v>
      </c>
      <c r="G20" s="119">
        <f t="shared" si="0"/>
        <v>8846.0685799999992</v>
      </c>
      <c r="H20" s="119">
        <f t="shared" si="0"/>
        <v>6009.11528</v>
      </c>
      <c r="I20" s="119">
        <v>28306.512464132044</v>
      </c>
      <c r="J20" s="119">
        <v>5321.1755475</v>
      </c>
      <c r="K20" s="119">
        <v>4811.6645474999996</v>
      </c>
      <c r="L20" s="119">
        <v>10667.315377500001</v>
      </c>
      <c r="M20" s="119">
        <v>7092.8610475000005</v>
      </c>
      <c r="N20" s="119">
        <v>5297.0990475000008</v>
      </c>
    </row>
  </sheetData>
  <pageMargins left="0.511811024" right="0.511811024" top="0.78740157499999996" bottom="0.78740157499999996" header="0.31496062000000002" footer="0.31496062000000002"/>
  <pageSetup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74"/>
  <sheetViews>
    <sheetView showGridLines="0" topLeftCell="A76" workbookViewId="0">
      <selection activeCell="I174" sqref="I174"/>
    </sheetView>
  </sheetViews>
  <sheetFormatPr defaultRowHeight="15" x14ac:dyDescent="0.25"/>
  <cols>
    <col min="1" max="1" width="3.28515625" customWidth="1"/>
    <col min="2" max="2" width="43.5703125" customWidth="1"/>
    <col min="3" max="3" width="17.85546875" customWidth="1"/>
    <col min="4" max="4" width="16" customWidth="1"/>
    <col min="5" max="5" width="15.42578125" customWidth="1"/>
    <col min="6" max="6" width="8.5703125" customWidth="1"/>
    <col min="7" max="7" width="13.28515625" customWidth="1"/>
    <col min="8" max="8" width="14" customWidth="1"/>
    <col min="9" max="9" width="9.85546875" customWidth="1"/>
    <col min="10" max="10" width="13.5703125" customWidth="1"/>
    <col min="12" max="12" width="10.7109375" bestFit="1" customWidth="1"/>
  </cols>
  <sheetData>
    <row r="2" spans="2:12" ht="16.5" thickBot="1" x14ac:dyDescent="0.3">
      <c r="B2" s="191" t="s">
        <v>1489</v>
      </c>
      <c r="C2" s="191"/>
    </row>
    <row r="3" spans="2:12" ht="15.75" thickBot="1" x14ac:dyDescent="0.3">
      <c r="J3" s="198" t="s">
        <v>1501</v>
      </c>
      <c r="K3" s="199"/>
      <c r="L3" s="197">
        <v>43355</v>
      </c>
    </row>
    <row r="4" spans="2:12" ht="12.75" customHeight="1" x14ac:dyDescent="0.25">
      <c r="B4" s="182" t="s">
        <v>1487</v>
      </c>
      <c r="C4" s="182"/>
    </row>
    <row r="5" spans="2:12" ht="13.5" customHeight="1" x14ac:dyDescent="0.25">
      <c r="B5" s="182" t="s">
        <v>1491</v>
      </c>
      <c r="C5" s="182"/>
    </row>
    <row r="6" spans="2:12" x14ac:dyDescent="0.25">
      <c r="B6" s="182"/>
      <c r="C6" s="182"/>
    </row>
    <row r="7" spans="2:12" ht="15.75" customHeight="1" x14ac:dyDescent="0.25">
      <c r="B7" s="523" t="s">
        <v>1490</v>
      </c>
      <c r="C7" s="524"/>
      <c r="D7" s="524"/>
      <c r="E7" s="524"/>
      <c r="F7" s="524"/>
      <c r="G7" s="524"/>
      <c r="H7" s="524"/>
      <c r="I7" s="525"/>
    </row>
    <row r="8" spans="2:12" ht="20.25" customHeight="1" x14ac:dyDescent="0.25">
      <c r="B8" s="414"/>
      <c r="C8" s="521" t="s">
        <v>2015</v>
      </c>
      <c r="D8" s="521" t="s">
        <v>1736</v>
      </c>
      <c r="E8" s="193" t="s">
        <v>1499</v>
      </c>
      <c r="F8" s="193" t="s">
        <v>1498</v>
      </c>
      <c r="G8" s="193" t="s">
        <v>1497</v>
      </c>
      <c r="H8" s="193" t="s">
        <v>1496</v>
      </c>
      <c r="I8" s="193" t="s">
        <v>1500</v>
      </c>
    </row>
    <row r="9" spans="2:12" ht="12" customHeight="1" x14ac:dyDescent="0.25">
      <c r="B9" s="414" t="s">
        <v>1</v>
      </c>
      <c r="C9" s="522"/>
      <c r="D9" s="522"/>
      <c r="E9" s="196">
        <f>$L$3</f>
        <v>43355</v>
      </c>
      <c r="F9" s="194"/>
      <c r="G9" s="194"/>
      <c r="H9" s="196">
        <f>$L$3</f>
        <v>43355</v>
      </c>
      <c r="I9" s="194"/>
    </row>
    <row r="10" spans="2:12" x14ac:dyDescent="0.25">
      <c r="B10" s="195"/>
      <c r="C10" s="195" t="s">
        <v>1494</v>
      </c>
      <c r="D10" s="195" t="s">
        <v>1495</v>
      </c>
      <c r="E10" s="195" t="s">
        <v>1737</v>
      </c>
      <c r="F10" s="195" t="s">
        <v>1738</v>
      </c>
      <c r="G10" s="195" t="s">
        <v>1739</v>
      </c>
      <c r="H10" s="195" t="s">
        <v>1740</v>
      </c>
      <c r="I10" s="195" t="s">
        <v>1741</v>
      </c>
    </row>
    <row r="11" spans="2:12" x14ac:dyDescent="0.25">
      <c r="B11" s="183" t="s">
        <v>40</v>
      </c>
      <c r="C11" s="185">
        <f>PD!D18</f>
        <v>2416.9827999999998</v>
      </c>
      <c r="D11" s="185">
        <f>SUMIF('Projetos ciclo 2018-2022'!$C$7:$C$361,B11,'Projetos ciclo 2018-2022'!$T$7:$T$361)</f>
        <v>1565.483619976158</v>
      </c>
      <c r="E11" s="185">
        <f>SUMIF('Projetos ciclo 2018-2022'!$C$7:$C$361,B11,'Projetos ciclo 2018-2022'!$EX$7:$EX$361)</f>
        <v>19.024649977684021</v>
      </c>
      <c r="F11" s="186">
        <f t="shared" ref="F11:F17" si="0">IFERROR((E11/D11),0)</f>
        <v>1.2152570448468673E-2</v>
      </c>
      <c r="G11" s="185">
        <f>SUMIF('Projetos ciclo 2018-2022'!$C$7:$C$361,B11,'Projetos ciclo 2018-2022'!$FC$7:$FC$361)</f>
        <v>1478.0045647621155</v>
      </c>
      <c r="H11" s="185">
        <f>E11+G11</f>
        <v>1497.0292147397995</v>
      </c>
      <c r="I11" s="186">
        <f>IFERROR((H11/D11),0)</f>
        <v>0.9562726787026995</v>
      </c>
    </row>
    <row r="12" spans="2:12" x14ac:dyDescent="0.25">
      <c r="B12" s="183" t="s">
        <v>41</v>
      </c>
      <c r="C12" s="185">
        <f>PD!D19</f>
        <v>6259.442</v>
      </c>
      <c r="D12" s="185">
        <f>SUMIF('Projetos ciclo 2018-2022'!$C$7:$C$361,B12,'Projetos ciclo 2018-2022'!$T$7:$T$361)</f>
        <v>3206.8986121711728</v>
      </c>
      <c r="E12" s="185">
        <f>SUMIF('Projetos ciclo 2018-2022'!$C$7:$C$361,B12,'Projetos ciclo 2018-2022'!$EX$7:$EX$361)</f>
        <v>151.41643989086151</v>
      </c>
      <c r="F12" s="186">
        <f t="shared" si="0"/>
        <v>4.7215848769334101E-2</v>
      </c>
      <c r="G12" s="185">
        <f>SUMIF('Projetos ciclo 2018-2022'!$C$7:$C$361,B12,'Projetos ciclo 2018-2022'!$FC$7:$FC$361)</f>
        <v>1722.1287317276001</v>
      </c>
      <c r="H12" s="185">
        <f t="shared" ref="H12:H16" si="1">E12+G12</f>
        <v>1873.5451716184616</v>
      </c>
      <c r="I12" s="186">
        <f t="shared" ref="I12:I17" si="2">IFERROR((H12/D12),0)</f>
        <v>0.58422338782641203</v>
      </c>
    </row>
    <row r="13" spans="2:12" x14ac:dyDescent="0.25">
      <c r="B13" s="184" t="s">
        <v>42</v>
      </c>
      <c r="C13" s="185">
        <f>PD!D20</f>
        <v>4111.9169999999995</v>
      </c>
      <c r="D13" s="185">
        <f>SUMIF('Projetos ciclo 2018-2022'!$C$7:$C$361,B13,'Projetos ciclo 2018-2022'!$T$7:$T$361)</f>
        <v>3934.0860000000002</v>
      </c>
      <c r="E13" s="185">
        <f>SUMIF('Projetos ciclo 2018-2022'!$C$7:$C$361,B13,'Projetos ciclo 2018-2022'!$EX$7:$EX$361)</f>
        <v>182.99014966189861</v>
      </c>
      <c r="F13" s="186">
        <f t="shared" si="0"/>
        <v>4.6514018672163905E-2</v>
      </c>
      <c r="G13" s="185">
        <f>SUMIF('Projetos ciclo 2018-2022'!$C$7:$C$361,B13,'Projetos ciclo 2018-2022'!$FC$7:$FC$361)</f>
        <v>1313.255935408175</v>
      </c>
      <c r="H13" s="185">
        <f t="shared" si="1"/>
        <v>1496.2460850700736</v>
      </c>
      <c r="I13" s="186">
        <f t="shared" si="2"/>
        <v>0.38032876888559974</v>
      </c>
    </row>
    <row r="14" spans="2:12" x14ac:dyDescent="0.25">
      <c r="B14" s="183" t="s">
        <v>43</v>
      </c>
      <c r="C14" s="185">
        <f>PD!D21</f>
        <v>4684</v>
      </c>
      <c r="D14" s="185">
        <f>SUMIF('Projetos ciclo 2018-2022'!$C$7:$C$361,B14,'Projetos ciclo 2018-2022'!$T$7:$T$361)</f>
        <v>4684</v>
      </c>
      <c r="E14" s="185">
        <f>SUMIF('Projetos ciclo 2018-2022'!$C$7:$C$361,B14,'Projetos ciclo 2018-2022'!$EX$7:$EX$361)</f>
        <v>0</v>
      </c>
      <c r="F14" s="186">
        <f t="shared" si="0"/>
        <v>0</v>
      </c>
      <c r="G14" s="185">
        <f>SUMIF('Projetos ciclo 2018-2022'!$C$7:$C$361,B14,'Projetos ciclo 2018-2022'!$FC$7:$FC$361)</f>
        <v>4650.193359375</v>
      </c>
      <c r="H14" s="185">
        <f t="shared" si="1"/>
        <v>4650.193359375</v>
      </c>
      <c r="I14" s="186">
        <f t="shared" si="2"/>
        <v>0.99278252762062336</v>
      </c>
    </row>
    <row r="15" spans="2:12" x14ac:dyDescent="0.25">
      <c r="B15" s="183" t="s">
        <v>44</v>
      </c>
      <c r="C15" s="185">
        <f>PD!D22</f>
        <v>54226.487000000001</v>
      </c>
      <c r="D15" s="185">
        <f>SUMIF('Projetos ciclo 2018-2022'!$C$7:$C$361,B15,'Projetos ciclo 2018-2022'!$T$7:$T$361)</f>
        <v>56476.689081820536</v>
      </c>
      <c r="E15" s="185">
        <f>SUMIF('Projetos ciclo 2018-2022'!$C$7:$C$361,B15,'Projetos ciclo 2018-2022'!$EX$7:$EX$361)</f>
        <v>14018.300717830658</v>
      </c>
      <c r="F15" s="186">
        <f t="shared" si="0"/>
        <v>0.24821392588226376</v>
      </c>
      <c r="G15" s="185">
        <f>SUMIF('Projetos ciclo 2018-2022'!$C$7:$C$361,B15,'Projetos ciclo 2018-2022'!$FC$7:$FC$361)</f>
        <v>16675.00378472684</v>
      </c>
      <c r="H15" s="185">
        <f t="shared" si="1"/>
        <v>30693.304502557497</v>
      </c>
      <c r="I15" s="186">
        <f t="shared" si="2"/>
        <v>0.54346855315988174</v>
      </c>
    </row>
    <row r="16" spans="2:12" x14ac:dyDescent="0.25">
      <c r="B16" s="184" t="s">
        <v>45</v>
      </c>
      <c r="C16" s="185">
        <f>PD!D23</f>
        <v>3182.4</v>
      </c>
      <c r="D16" s="185">
        <f>SUMIF('Projetos ciclo 2018-2022'!$C$7:$C$361,B16,'Projetos ciclo 2018-2022'!$T$7:$T$361)</f>
        <v>90</v>
      </c>
      <c r="E16" s="185">
        <f>SUMIF('Projetos ciclo 2018-2022'!$C$7:$C$361,B16,'Projetos ciclo 2018-2022'!$EX$7:$EX$361)</f>
        <v>0</v>
      </c>
      <c r="F16" s="186">
        <f t="shared" si="0"/>
        <v>0</v>
      </c>
      <c r="G16" s="185">
        <f>SUMIF('Projetos ciclo 2018-2022'!$C$7:$C$361,B16,'Projetos ciclo 2018-2022'!$FC$7:$FC$361)</f>
        <v>0</v>
      </c>
      <c r="H16" s="185">
        <f t="shared" si="1"/>
        <v>0</v>
      </c>
      <c r="I16" s="186">
        <f t="shared" si="2"/>
        <v>0</v>
      </c>
    </row>
    <row r="17" spans="2:9" x14ac:dyDescent="0.25">
      <c r="B17" s="187" t="s">
        <v>1488</v>
      </c>
      <c r="C17" s="188">
        <f>SUM(C11:C16)</f>
        <v>74881.228799999997</v>
      </c>
      <c r="D17" s="188">
        <f>SUM(D11:D16)</f>
        <v>69957.157313967866</v>
      </c>
      <c r="E17" s="188">
        <f>SUM(E11:E16)</f>
        <v>14371.731957361102</v>
      </c>
      <c r="F17" s="189">
        <f t="shared" si="0"/>
        <v>0.20543619136582036</v>
      </c>
      <c r="G17" s="188">
        <f>SUM(G11:G16)</f>
        <v>25838.58637599973</v>
      </c>
      <c r="H17" s="188">
        <f>SUM(H11:H16)</f>
        <v>40210.318333360832</v>
      </c>
      <c r="I17" s="190">
        <f t="shared" si="2"/>
        <v>0.57478490946818839</v>
      </c>
    </row>
    <row r="20" spans="2:9" ht="15.75" x14ac:dyDescent="0.25">
      <c r="B20" s="523" t="s">
        <v>1726</v>
      </c>
      <c r="C20" s="524"/>
      <c r="D20" s="524"/>
      <c r="E20" s="524"/>
      <c r="F20" s="524"/>
      <c r="G20" s="524"/>
      <c r="H20" s="524"/>
      <c r="I20" s="525"/>
    </row>
    <row r="21" spans="2:9" ht="18" customHeight="1" x14ac:dyDescent="0.25">
      <c r="B21" s="414"/>
      <c r="C21" s="521" t="s">
        <v>2015</v>
      </c>
      <c r="D21" s="521" t="s">
        <v>1736</v>
      </c>
      <c r="E21" s="448" t="s">
        <v>1499</v>
      </c>
      <c r="F21" s="448" t="s">
        <v>1498</v>
      </c>
      <c r="G21" s="448" t="s">
        <v>1497</v>
      </c>
      <c r="H21" s="448" t="s">
        <v>1496</v>
      </c>
      <c r="I21" s="448" t="s">
        <v>1500</v>
      </c>
    </row>
    <row r="22" spans="2:9" ht="17.25" customHeight="1" x14ac:dyDescent="0.25">
      <c r="B22" s="414" t="s">
        <v>1</v>
      </c>
      <c r="C22" s="522"/>
      <c r="D22" s="522"/>
      <c r="E22" s="196">
        <f>$L$3</f>
        <v>43355</v>
      </c>
      <c r="F22" s="449"/>
      <c r="G22" s="449"/>
      <c r="H22" s="196">
        <f>$L$3</f>
        <v>43355</v>
      </c>
      <c r="I22" s="449"/>
    </row>
    <row r="23" spans="2:9" x14ac:dyDescent="0.25">
      <c r="B23" s="195"/>
      <c r="C23" s="195" t="s">
        <v>1494</v>
      </c>
      <c r="D23" s="195" t="s">
        <v>1495</v>
      </c>
      <c r="E23" s="195" t="s">
        <v>1737</v>
      </c>
      <c r="F23" s="195" t="s">
        <v>1738</v>
      </c>
      <c r="G23" s="195" t="s">
        <v>1739</v>
      </c>
      <c r="H23" s="195" t="s">
        <v>1740</v>
      </c>
      <c r="I23" s="195" t="s">
        <v>1741</v>
      </c>
    </row>
    <row r="24" spans="2:9" x14ac:dyDescent="0.25">
      <c r="B24" s="183" t="s">
        <v>40</v>
      </c>
      <c r="C24" s="185">
        <f>PD!I18</f>
        <v>14083.552</v>
      </c>
      <c r="D24" s="185">
        <f>SUMIF('Projetos ciclo 2018-2022'!$C$7:$C$361,B24,'Projetos ciclo 2018-2022'!$BU$7:$BU$361)</f>
        <v>13680.399999976158</v>
      </c>
      <c r="E24" s="185">
        <f>SUMIF('Projetos ciclo 2018-2022'!$C$7:$C$361,B24,'Projetos ciclo 2018-2022'!$EX$7:$EX$361)</f>
        <v>19.024649977684021</v>
      </c>
      <c r="F24" s="186">
        <f t="shared" ref="F24:F30" si="3">IFERROR((E24/D24),0)</f>
        <v>1.3906501255604498E-3</v>
      </c>
      <c r="G24" s="185">
        <f>SUMIF('Projetos ciclo 2018-2022'!$C$7:$C$361,B24,'Projetos ciclo 2018-2022'!$FC$7:$FC$361)</f>
        <v>1478.0045647621155</v>
      </c>
      <c r="H24" s="185">
        <f t="shared" ref="H24:H29" si="4">E24+G24</f>
        <v>1497.0292147397995</v>
      </c>
      <c r="I24" s="186">
        <f t="shared" ref="I24:I29" si="5">IFERROR((H24/D24),0)</f>
        <v>0.10942876047063013</v>
      </c>
    </row>
    <row r="25" spans="2:9" x14ac:dyDescent="0.25">
      <c r="B25" s="183" t="s">
        <v>41</v>
      </c>
      <c r="C25" s="185">
        <f>PD!I19</f>
        <v>40451.594999991001</v>
      </c>
      <c r="D25" s="185">
        <f>SUMIF('Projetos ciclo 2018-2022'!$C$7:$C$361,B25,'Projetos ciclo 2018-2022'!$BU$7:$BU$361)</f>
        <v>31215.81735819429</v>
      </c>
      <c r="E25" s="185">
        <f>SUMIF('Projetos ciclo 2018-2022'!$C$7:$C$361,B25,'Projetos ciclo 2018-2022'!$EX$7:$EX$361)</f>
        <v>151.41643989086151</v>
      </c>
      <c r="F25" s="186">
        <f t="shared" si="3"/>
        <v>4.8506319137311977E-3</v>
      </c>
      <c r="G25" s="185">
        <f>SUMIF('Projetos ciclo 2018-2022'!$C$7:$C$361,B25,'Projetos ciclo 2018-2022'!$FC$7:$FC$361)</f>
        <v>1722.1287317276001</v>
      </c>
      <c r="H25" s="185">
        <f t="shared" si="4"/>
        <v>1873.5451716184616</v>
      </c>
      <c r="I25" s="186">
        <f t="shared" si="5"/>
        <v>6.0019097053265136E-2</v>
      </c>
    </row>
    <row r="26" spans="2:9" x14ac:dyDescent="0.25">
      <c r="B26" s="184" t="s">
        <v>42</v>
      </c>
      <c r="C26" s="185">
        <f>PD!I20</f>
        <v>34562.445</v>
      </c>
      <c r="D26" s="185">
        <f>SUMIF('Projetos ciclo 2018-2022'!$C$7:$C$361,B26,'Projetos ciclo 2018-2022'!$BU$7:$BU$361)</f>
        <v>28677.337000000003</v>
      </c>
      <c r="E26" s="185">
        <f>SUMIF('Projetos ciclo 2018-2022'!$C$7:$C$361,B26,'Projetos ciclo 2018-2022'!$EX$7:$EX$361)</f>
        <v>182.99014966189861</v>
      </c>
      <c r="F26" s="186">
        <f t="shared" si="3"/>
        <v>6.3810021712231713E-3</v>
      </c>
      <c r="G26" s="185">
        <f>SUMIF('Projetos ciclo 2018-2022'!$C$7:$C$361,B26,'Projetos ciclo 2018-2022'!$FC$7:$FC$361)</f>
        <v>1313.255935408175</v>
      </c>
      <c r="H26" s="185">
        <f t="shared" si="4"/>
        <v>1496.2460850700736</v>
      </c>
      <c r="I26" s="186">
        <f t="shared" si="5"/>
        <v>5.2175210169273158E-2</v>
      </c>
    </row>
    <row r="27" spans="2:9" x14ac:dyDescent="0.25">
      <c r="B27" s="183" t="s">
        <v>43</v>
      </c>
      <c r="C27" s="185">
        <f>PD!I21</f>
        <v>25864</v>
      </c>
      <c r="D27" s="185">
        <f>SUMIF('Projetos ciclo 2018-2022'!$C$7:$C$361,B27,'Projetos ciclo 2018-2022'!$BU$7:$BU$361)</f>
        <v>25460</v>
      </c>
      <c r="E27" s="185">
        <f>SUMIF('Projetos ciclo 2018-2022'!$C$7:$C$361,B27,'Projetos ciclo 2018-2022'!$EX$7:$EX$361)</f>
        <v>0</v>
      </c>
      <c r="F27" s="186">
        <f t="shared" si="3"/>
        <v>0</v>
      </c>
      <c r="G27" s="185">
        <f>SUMIF('Projetos ciclo 2018-2022'!$C$7:$C$361,B27,'Projetos ciclo 2018-2022'!$FC$7:$FC$361)</f>
        <v>4650.193359375</v>
      </c>
      <c r="H27" s="185">
        <f t="shared" si="4"/>
        <v>4650.193359375</v>
      </c>
      <c r="I27" s="186">
        <f t="shared" si="5"/>
        <v>0.182647029040652</v>
      </c>
    </row>
    <row r="28" spans="2:9" x14ac:dyDescent="0.25">
      <c r="B28" s="183" t="s">
        <v>44</v>
      </c>
      <c r="C28" s="185">
        <f>PD!I22</f>
        <v>204094.98699999999</v>
      </c>
      <c r="D28" s="185">
        <f>SUMIF('Projetos ciclo 2018-2022'!$C$7:$C$361,B28,'Projetos ciclo 2018-2022'!$BU$7:$BU$361)</f>
        <v>220023.02464182052</v>
      </c>
      <c r="E28" s="185">
        <f>SUMIF('Projetos ciclo 2018-2022'!$C$7:$C$361,B28,'Projetos ciclo 2018-2022'!$EX$7:$EX$361)</f>
        <v>14018.300717830658</v>
      </c>
      <c r="F28" s="186">
        <f t="shared" si="3"/>
        <v>6.3712880688970186E-2</v>
      </c>
      <c r="G28" s="185">
        <f>SUMIF('Projetos ciclo 2018-2022'!$C$7:$C$361,B28,'Projetos ciclo 2018-2022'!$FC$7:$FC$361)</f>
        <v>16675.00378472684</v>
      </c>
      <c r="H28" s="185">
        <f t="shared" si="4"/>
        <v>30693.304502557497</v>
      </c>
      <c r="I28" s="186">
        <f t="shared" si="5"/>
        <v>0.13950042070607693</v>
      </c>
    </row>
    <row r="29" spans="2:9" x14ac:dyDescent="0.25">
      <c r="B29" s="184" t="s">
        <v>45</v>
      </c>
      <c r="C29" s="185">
        <f>PD!I23</f>
        <v>8548.4</v>
      </c>
      <c r="D29" s="185">
        <f>SUMIF('Projetos ciclo 2018-2022'!$C$7:$C$361,B29,'Projetos ciclo 2018-2022'!$BU$7:$BU$361)</f>
        <v>8548.4</v>
      </c>
      <c r="E29" s="185">
        <f>SUMIF('Projetos ciclo 2018-2022'!$C$7:$C$361,B29,'Projetos ciclo 2018-2022'!$EX$7:$EX$361)</f>
        <v>0</v>
      </c>
      <c r="F29" s="186">
        <f t="shared" si="3"/>
        <v>0</v>
      </c>
      <c r="G29" s="185">
        <f>SUMIF('Projetos ciclo 2018-2022'!$C$7:$C$361,B29,'Projetos ciclo 2018-2022'!$FC$7:$FC$361)</f>
        <v>0</v>
      </c>
      <c r="H29" s="185">
        <f t="shared" si="4"/>
        <v>0</v>
      </c>
      <c r="I29" s="186">
        <f t="shared" si="5"/>
        <v>0</v>
      </c>
    </row>
    <row r="30" spans="2:9" x14ac:dyDescent="0.25">
      <c r="B30" s="187" t="s">
        <v>1488</v>
      </c>
      <c r="C30" s="188">
        <f>SUM(C24:C29)</f>
        <v>327604.97899999103</v>
      </c>
      <c r="D30" s="188">
        <f>SUM(D24:D29)</f>
        <v>327604.97899999097</v>
      </c>
      <c r="E30" s="188">
        <f>SUM(E24:E29)</f>
        <v>14371.731957361102</v>
      </c>
      <c r="F30" s="189">
        <f t="shared" si="3"/>
        <v>4.3869088929083394E-2</v>
      </c>
      <c r="G30" s="188">
        <f>SUM(G24:G29)</f>
        <v>25838.58637599973</v>
      </c>
      <c r="H30" s="188">
        <f>SUM(H24:H29)</f>
        <v>40210.318333360832</v>
      </c>
      <c r="I30" s="190">
        <v>0</v>
      </c>
    </row>
    <row r="33" spans="2:9" ht="15.75" x14ac:dyDescent="0.25">
      <c r="B33" s="191" t="s">
        <v>1502</v>
      </c>
      <c r="C33" s="191"/>
    </row>
    <row r="35" spans="2:9" x14ac:dyDescent="0.25">
      <c r="B35" s="182" t="s">
        <v>1487</v>
      </c>
      <c r="C35" s="182"/>
    </row>
    <row r="36" spans="2:9" x14ac:dyDescent="0.25">
      <c r="B36" s="182" t="s">
        <v>1491</v>
      </c>
      <c r="C36" s="182"/>
    </row>
    <row r="37" spans="2:9" x14ac:dyDescent="0.25">
      <c r="B37" s="182"/>
      <c r="C37" s="182"/>
    </row>
    <row r="38" spans="2:9" ht="15.75" x14ac:dyDescent="0.25">
      <c r="B38" s="523" t="s">
        <v>1503</v>
      </c>
      <c r="C38" s="524"/>
      <c r="D38" s="524"/>
      <c r="E38" s="524"/>
      <c r="F38" s="524"/>
      <c r="G38" s="524"/>
      <c r="H38" s="524"/>
      <c r="I38" s="525"/>
    </row>
    <row r="39" spans="2:9" ht="17.25" customHeight="1" x14ac:dyDescent="0.25">
      <c r="B39" s="414"/>
      <c r="C39" s="521" t="s">
        <v>2015</v>
      </c>
      <c r="D39" s="521" t="s">
        <v>1736</v>
      </c>
      <c r="E39" s="448" t="s">
        <v>1499</v>
      </c>
      <c r="F39" s="448" t="s">
        <v>1498</v>
      </c>
      <c r="G39" s="448" t="s">
        <v>1497</v>
      </c>
      <c r="H39" s="448" t="s">
        <v>1496</v>
      </c>
      <c r="I39" s="448" t="s">
        <v>1500</v>
      </c>
    </row>
    <row r="40" spans="2:9" ht="12.75" customHeight="1" x14ac:dyDescent="0.25">
      <c r="B40" s="414" t="s">
        <v>1</v>
      </c>
      <c r="C40" s="522"/>
      <c r="D40" s="522"/>
      <c r="E40" s="196">
        <f>$L$3</f>
        <v>43355</v>
      </c>
      <c r="F40" s="449"/>
      <c r="G40" s="449"/>
      <c r="H40" s="196">
        <f>$L$3</f>
        <v>43355</v>
      </c>
      <c r="I40" s="449"/>
    </row>
    <row r="41" spans="2:9" x14ac:dyDescent="0.25">
      <c r="B41" s="195"/>
      <c r="C41" s="195" t="s">
        <v>1494</v>
      </c>
      <c r="D41" s="195" t="s">
        <v>1495</v>
      </c>
      <c r="E41" s="195" t="s">
        <v>1737</v>
      </c>
      <c r="F41" s="195" t="s">
        <v>1738</v>
      </c>
      <c r="G41" s="195" t="s">
        <v>1739</v>
      </c>
      <c r="H41" s="195" t="s">
        <v>1740</v>
      </c>
      <c r="I41" s="195" t="s">
        <v>1741</v>
      </c>
    </row>
    <row r="42" spans="2:9" x14ac:dyDescent="0.25">
      <c r="B42" s="183" t="s">
        <v>29</v>
      </c>
      <c r="C42" s="185">
        <f>PD!D4</f>
        <v>781.71679999999992</v>
      </c>
      <c r="D42" s="185">
        <f>SUMIF('Projetos ciclo 2018-2022'!$C$7:$C$361,B42,'Projetos ciclo 2018-2022'!$T$7:$T$361)</f>
        <v>283.39999999999986</v>
      </c>
      <c r="E42" s="185">
        <f>SUMIF('Projetos ciclo 2018-2022'!$C$7:$C$361,B42,'Projetos ciclo 2018-2022'!$EX$7:$EX$361)</f>
        <v>28.784600853919983</v>
      </c>
      <c r="F42" s="186">
        <f t="shared" ref="F42:F48" si="6">IFERROR((E42/D42),0)</f>
        <v>0.10156881035257585</v>
      </c>
      <c r="G42" s="185">
        <f>SUMIF('Projetos ciclo 2018-2022'!$C$7:$C$361,B42,'Projetos ciclo 2018-2022'!$FC$7:$FC$361)</f>
        <v>131.40626263618469</v>
      </c>
      <c r="H42" s="185">
        <f>E42+G42</f>
        <v>160.19086349010468</v>
      </c>
      <c r="I42" s="186">
        <f t="shared" ref="I42:I48" si="7">IFERROR((H42/D42),0)</f>
        <v>0.56524651901942402</v>
      </c>
    </row>
    <row r="43" spans="2:9" x14ac:dyDescent="0.25">
      <c r="B43" s="183" t="s">
        <v>30</v>
      </c>
      <c r="C43" s="185">
        <f>PD!D5</f>
        <v>29.25</v>
      </c>
      <c r="D43" s="185">
        <f>SUMIF('Projetos ciclo 2018-2022'!$C$7:$C$361,B43,'Projetos ciclo 2018-2022'!$T$7:$T$361)</f>
        <v>10.000000000000002</v>
      </c>
      <c r="E43" s="185">
        <f>SUMIF('Projetos ciclo 2018-2022'!$C$7:$C$361,B43,'Projetos ciclo 2018-2022'!$EX$7:$EX$361)</f>
        <v>2.2655799686908722</v>
      </c>
      <c r="F43" s="186">
        <f t="shared" si="6"/>
        <v>0.22655799686908717</v>
      </c>
      <c r="G43" s="185">
        <f>SUMIF('Projetos ciclo 2018-2022'!$C$7:$C$361,B43,'Projetos ciclo 2018-2022'!$FC$7:$FC$361)</f>
        <v>0</v>
      </c>
      <c r="H43" s="185">
        <f t="shared" ref="H43:H47" si="8">E43+G43</f>
        <v>2.2655799686908722</v>
      </c>
      <c r="I43" s="186">
        <f t="shared" si="7"/>
        <v>0.22655799686908717</v>
      </c>
    </row>
    <row r="44" spans="2:9" x14ac:dyDescent="0.25">
      <c r="B44" s="184" t="s">
        <v>31</v>
      </c>
      <c r="C44" s="185">
        <f>PD!D6</f>
        <v>58.6</v>
      </c>
      <c r="D44" s="185">
        <f>SUMIF('Projetos ciclo 2018-2022'!$C$7:$C$361,B44,'Projetos ciclo 2018-2022'!$T$7:$T$361)</f>
        <v>58.6</v>
      </c>
      <c r="E44" s="185">
        <f>SUMIF('Projetos ciclo 2018-2022'!$C$7:$C$361,B44,'Projetos ciclo 2018-2022'!$EX$7:$EX$361)</f>
        <v>0</v>
      </c>
      <c r="F44" s="186">
        <f t="shared" si="6"/>
        <v>0</v>
      </c>
      <c r="G44" s="185">
        <f>SUMIF('Projetos ciclo 2018-2022'!$C$7:$C$361,B44,'Projetos ciclo 2018-2022'!$FC$7:$FC$361)</f>
        <v>47.798999786376953</v>
      </c>
      <c r="H44" s="185">
        <f t="shared" si="8"/>
        <v>47.798999786376953</v>
      </c>
      <c r="I44" s="186">
        <f t="shared" si="7"/>
        <v>0.81568259021121081</v>
      </c>
    </row>
    <row r="45" spans="2:9" x14ac:dyDescent="0.25">
      <c r="B45" s="183" t="s">
        <v>32</v>
      </c>
      <c r="C45" s="185">
        <f>PD!D7</f>
        <v>1886.40985</v>
      </c>
      <c r="D45" s="185">
        <f>SUMIF('Projetos ciclo 2018-2022'!$C$7:$C$361,B45,'Projetos ciclo 2018-2022'!$T$7:$T$361)</f>
        <v>1613.0843323699953</v>
      </c>
      <c r="E45" s="185">
        <f>SUMIF('Projetos ciclo 2018-2022'!$C$7:$C$361,B45,'Projetos ciclo 2018-2022'!$EX$7:$EX$361)</f>
        <v>318.60638236999512</v>
      </c>
      <c r="F45" s="186">
        <f t="shared" si="6"/>
        <v>0.19751377902349865</v>
      </c>
      <c r="G45" s="185">
        <f>SUMIF('Projetos ciclo 2018-2022'!$C$7:$C$361,B45,'Projetos ciclo 2018-2022'!$FC$7:$FC$361)</f>
        <v>862.81965637207031</v>
      </c>
      <c r="H45" s="185">
        <f t="shared" si="8"/>
        <v>1181.4260387420654</v>
      </c>
      <c r="I45" s="186">
        <f t="shared" si="7"/>
        <v>0.73240190548889428</v>
      </c>
    </row>
    <row r="46" spans="2:9" x14ac:dyDescent="0.25">
      <c r="B46" s="183" t="s">
        <v>33</v>
      </c>
      <c r="C46" s="185">
        <f>PD!D8</f>
        <v>102.5</v>
      </c>
      <c r="D46" s="185">
        <f>SUMIF('Projetos ciclo 2018-2022'!$C$7:$C$361,B46,'Projetos ciclo 2018-2022'!$T$7:$T$361)</f>
        <v>0</v>
      </c>
      <c r="E46" s="185">
        <f>SUMIF('Projetos ciclo 2018-2022'!$C$7:$C$361,B46,'Projetos ciclo 2018-2022'!$EX$7:$EX$361)</f>
        <v>0</v>
      </c>
      <c r="F46" s="186">
        <f t="shared" si="6"/>
        <v>0</v>
      </c>
      <c r="G46" s="185">
        <f>SUMIF('Projetos ciclo 2018-2022'!$C$7:$C$361,B46,'Projetos ciclo 2018-2022'!$FC$7:$FC$361)</f>
        <v>0</v>
      </c>
      <c r="H46" s="185">
        <f t="shared" si="8"/>
        <v>0</v>
      </c>
      <c r="I46" s="186">
        <f t="shared" si="7"/>
        <v>0</v>
      </c>
    </row>
    <row r="47" spans="2:9" x14ac:dyDescent="0.25">
      <c r="B47" s="184" t="s">
        <v>1492</v>
      </c>
      <c r="C47" s="185">
        <f>PD!D9</f>
        <v>518</v>
      </c>
      <c r="D47" s="185">
        <f>SUMIF('Projetos ciclo 2018-2022'!$C$7:$C$361,B47,'Projetos ciclo 2018-2022'!$T$7:$T$361)</f>
        <v>420.29000020027132</v>
      </c>
      <c r="E47" s="185">
        <f>SUMIF('Projetos ciclo 2018-2022'!$C$7:$C$361,B47,'Projetos ciclo 2018-2022'!$EX$7:$EX$361)</f>
        <v>99.209080934524536</v>
      </c>
      <c r="F47" s="186">
        <f t="shared" si="6"/>
        <v>0.23604911105962709</v>
      </c>
      <c r="G47" s="185">
        <f>SUMIF('Projetos ciclo 2018-2022'!$C$7:$C$361,B47,'Projetos ciclo 2018-2022'!$FC$7:$FC$361)</f>
        <v>156.1749792098999</v>
      </c>
      <c r="H47" s="185">
        <f t="shared" si="8"/>
        <v>255.38406014442444</v>
      </c>
      <c r="I47" s="186">
        <f t="shared" si="7"/>
        <v>0.60763772638590507</v>
      </c>
    </row>
    <row r="48" spans="2:9" x14ac:dyDescent="0.25">
      <c r="B48" s="187" t="s">
        <v>1488</v>
      </c>
      <c r="C48" s="188">
        <f>SUM(C42:C47)</f>
        <v>3376.4766500000001</v>
      </c>
      <c r="D48" s="188">
        <f>SUM(D42:D47)</f>
        <v>2385.3743325702662</v>
      </c>
      <c r="E48" s="188">
        <f>SUM(E42:E47)</f>
        <v>448.86564412713051</v>
      </c>
      <c r="F48" s="189">
        <f t="shared" si="6"/>
        <v>0.18817408991043891</v>
      </c>
      <c r="G48" s="188">
        <f>SUM(G42:G47)</f>
        <v>1198.1998980045319</v>
      </c>
      <c r="H48" s="188">
        <f>SUM(H42:H47)</f>
        <v>1647.0655421316624</v>
      </c>
      <c r="I48" s="190">
        <f t="shared" si="7"/>
        <v>0.69048514509541636</v>
      </c>
    </row>
    <row r="51" spans="2:9" ht="13.5" customHeight="1" x14ac:dyDescent="0.25">
      <c r="B51" s="523" t="s">
        <v>1727</v>
      </c>
      <c r="C51" s="524"/>
      <c r="D51" s="524"/>
      <c r="E51" s="524"/>
      <c r="F51" s="524"/>
      <c r="G51" s="524"/>
      <c r="H51" s="524"/>
      <c r="I51" s="525"/>
    </row>
    <row r="52" spans="2:9" ht="18.75" customHeight="1" x14ac:dyDescent="0.25">
      <c r="B52" s="414"/>
      <c r="C52" s="521" t="s">
        <v>2015</v>
      </c>
      <c r="D52" s="521" t="s">
        <v>1736</v>
      </c>
      <c r="E52" s="448" t="s">
        <v>1499</v>
      </c>
      <c r="F52" s="448" t="s">
        <v>1498</v>
      </c>
      <c r="G52" s="448" t="s">
        <v>1497</v>
      </c>
      <c r="H52" s="448" t="s">
        <v>1496</v>
      </c>
      <c r="I52" s="448" t="s">
        <v>1500</v>
      </c>
    </row>
    <row r="53" spans="2:9" x14ac:dyDescent="0.25">
      <c r="B53" s="414" t="s">
        <v>1</v>
      </c>
      <c r="C53" s="522"/>
      <c r="D53" s="522"/>
      <c r="E53" s="196">
        <f>$L$3</f>
        <v>43355</v>
      </c>
      <c r="F53" s="449"/>
      <c r="G53" s="449"/>
      <c r="H53" s="196">
        <f>$L$3</f>
        <v>43355</v>
      </c>
      <c r="I53" s="449"/>
    </row>
    <row r="54" spans="2:9" x14ac:dyDescent="0.25">
      <c r="B54" s="195"/>
      <c r="C54" s="195" t="s">
        <v>1494</v>
      </c>
      <c r="D54" s="195" t="s">
        <v>1495</v>
      </c>
      <c r="E54" s="195" t="s">
        <v>1737</v>
      </c>
      <c r="F54" s="195" t="s">
        <v>1738</v>
      </c>
      <c r="G54" s="195" t="s">
        <v>1739</v>
      </c>
      <c r="H54" s="195" t="s">
        <v>1740</v>
      </c>
      <c r="I54" s="195" t="s">
        <v>1741</v>
      </c>
    </row>
    <row r="55" spans="2:9" x14ac:dyDescent="0.25">
      <c r="B55" s="183" t="s">
        <v>29</v>
      </c>
      <c r="C55" s="185">
        <f>PD!I4</f>
        <v>2636.1707999999999</v>
      </c>
      <c r="D55" s="185">
        <f>SUMIF('Projetos ciclo 2018-2022'!$C$7:$C$361,B55,'Projetos ciclo 2018-2022'!$BU$7:$BU$361)</f>
        <v>2636.1463151348903</v>
      </c>
      <c r="E55" s="185">
        <f>SUMIF('Projetos ciclo 2018-2022'!$C$7:$C$361,B55,'Projetos ciclo 2018-2022'!$EX$7:$EX$361)</f>
        <v>28.784600853919983</v>
      </c>
      <c r="F55" s="186">
        <f t="shared" ref="F55:F61" si="9">IFERROR((E55/D55),0)</f>
        <v>1.0919196968946349E-2</v>
      </c>
      <c r="G55" s="185">
        <f>SUMIF('Projetos ciclo 2018-2022'!$C$7:$C$361,B55,'Projetos ciclo 2018-2022'!$FC$7:$FC$361)</f>
        <v>131.40626263618469</v>
      </c>
      <c r="H55" s="185">
        <f t="shared" ref="H55:H60" si="10">E55+G55</f>
        <v>160.19086349010468</v>
      </c>
      <c r="I55" s="186">
        <f t="shared" ref="I55:I61" si="11">IFERROR((H55/D55),0)</f>
        <v>6.0767060830577528E-2</v>
      </c>
    </row>
    <row r="56" spans="2:9" x14ac:dyDescent="0.25">
      <c r="B56" s="183" t="s">
        <v>30</v>
      </c>
      <c r="C56" s="185">
        <f>PD!I5</f>
        <v>167.25</v>
      </c>
      <c r="D56" s="185">
        <f>SUMIF('Projetos ciclo 2018-2022'!$C$7:$C$361,B56,'Projetos ciclo 2018-2022'!$BU$7:$BU$361)</f>
        <v>167</v>
      </c>
      <c r="E56" s="185">
        <f>SUMIF('Projetos ciclo 2018-2022'!$C$7:$C$361,B56,'Projetos ciclo 2018-2022'!$EX$7:$EX$361)</f>
        <v>2.2655799686908722</v>
      </c>
      <c r="F56" s="186">
        <f t="shared" si="9"/>
        <v>1.3566347117909414E-2</v>
      </c>
      <c r="G56" s="185">
        <f>SUMIF('Projetos ciclo 2018-2022'!$C$7:$C$361,B56,'Projetos ciclo 2018-2022'!$FC$7:$FC$361)</f>
        <v>0</v>
      </c>
      <c r="H56" s="185">
        <f t="shared" si="10"/>
        <v>2.2655799686908722</v>
      </c>
      <c r="I56" s="186">
        <f t="shared" si="11"/>
        <v>1.3566347117909414E-2</v>
      </c>
    </row>
    <row r="57" spans="2:9" x14ac:dyDescent="0.25">
      <c r="B57" s="184" t="s">
        <v>31</v>
      </c>
      <c r="C57" s="185">
        <f>PD!I6</f>
        <v>955.2</v>
      </c>
      <c r="D57" s="185">
        <f>SUMIF('Projetos ciclo 2018-2022'!$C$7:$C$361,B57,'Projetos ciclo 2018-2022'!$BU$7:$BU$361)</f>
        <v>955.2</v>
      </c>
      <c r="E57" s="185">
        <f>SUMIF('Projetos ciclo 2018-2022'!$C$7:$C$361,B57,'Projetos ciclo 2018-2022'!$EX$7:$EX$361)</f>
        <v>0</v>
      </c>
      <c r="F57" s="186">
        <f t="shared" si="9"/>
        <v>0</v>
      </c>
      <c r="G57" s="185">
        <f>SUMIF('Projetos ciclo 2018-2022'!$C$7:$C$361,B57,'Projetos ciclo 2018-2022'!$FC$7:$FC$361)</f>
        <v>47.798999786376953</v>
      </c>
      <c r="H57" s="185">
        <f t="shared" si="10"/>
        <v>47.798999786376953</v>
      </c>
      <c r="I57" s="186">
        <f t="shared" si="11"/>
        <v>5.0040828922086424E-2</v>
      </c>
    </row>
    <row r="58" spans="2:9" x14ac:dyDescent="0.25">
      <c r="B58" s="183" t="s">
        <v>32</v>
      </c>
      <c r="C58" s="185">
        <f>PD!I7</f>
        <v>6120.8098499999996</v>
      </c>
      <c r="D58" s="185">
        <f>SUMIF('Projetos ciclo 2018-2022'!$C$7:$C$361,B58,'Projetos ciclo 2018-2022'!$BU$7:$BU$361)</f>
        <v>6121.0843323699946</v>
      </c>
      <c r="E58" s="185">
        <f>SUMIF('Projetos ciclo 2018-2022'!$C$7:$C$361,B58,'Projetos ciclo 2018-2022'!$EX$7:$EX$361)</f>
        <v>318.60638236999512</v>
      </c>
      <c r="F58" s="186">
        <f t="shared" si="9"/>
        <v>5.2050644145697531E-2</v>
      </c>
      <c r="G58" s="185">
        <f>SUMIF('Projetos ciclo 2018-2022'!$C$7:$C$361,B58,'Projetos ciclo 2018-2022'!$FC$7:$FC$361)</f>
        <v>862.81965637207031</v>
      </c>
      <c r="H58" s="185">
        <f t="shared" si="10"/>
        <v>1181.4260387420654</v>
      </c>
      <c r="I58" s="186">
        <f t="shared" si="11"/>
        <v>0.19300927329073972</v>
      </c>
    </row>
    <row r="59" spans="2:9" x14ac:dyDescent="0.25">
      <c r="B59" s="183" t="s">
        <v>33</v>
      </c>
      <c r="C59" s="185">
        <f>PD!I8</f>
        <v>102.5</v>
      </c>
      <c r="D59" s="185">
        <f>SUMIF('Projetos ciclo 2018-2022'!$C$7:$C$361,B59,'Projetos ciclo 2018-2022'!$BU$7:$BU$361)</f>
        <v>102.5</v>
      </c>
      <c r="E59" s="185">
        <f>SUMIF('Projetos ciclo 2018-2022'!$C$7:$C$361,B59,'Projetos ciclo 2018-2022'!$EX$7:$EX$361)</f>
        <v>0</v>
      </c>
      <c r="F59" s="186">
        <f t="shared" si="9"/>
        <v>0</v>
      </c>
      <c r="G59" s="185">
        <f>SUMIF('Projetos ciclo 2018-2022'!$C$7:$C$361,B59,'Projetos ciclo 2018-2022'!$FC$7:$FC$361)</f>
        <v>0</v>
      </c>
      <c r="H59" s="185">
        <f t="shared" si="10"/>
        <v>0</v>
      </c>
      <c r="I59" s="186">
        <f t="shared" si="11"/>
        <v>0</v>
      </c>
    </row>
    <row r="60" spans="2:9" x14ac:dyDescent="0.25">
      <c r="B60" s="184" t="s">
        <v>1492</v>
      </c>
      <c r="C60" s="185">
        <f>PD!I9</f>
        <v>2300.7269999999999</v>
      </c>
      <c r="D60" s="185">
        <f>SUMIF('Projetos ciclo 2018-2022'!$C$7:$C$361,B60,'Projetos ciclo 2018-2022'!$BU$7:$BU$361)</f>
        <v>2300.7270024951167</v>
      </c>
      <c r="E60" s="185">
        <f>SUMIF('Projetos ciclo 2018-2022'!$C$7:$C$361,B60,'Projetos ciclo 2018-2022'!$EX$7:$EX$361)</f>
        <v>99.209080934524536</v>
      </c>
      <c r="F60" s="186">
        <f t="shared" si="9"/>
        <v>4.3120753060633975E-2</v>
      </c>
      <c r="G60" s="185">
        <f>SUMIF('Projetos ciclo 2018-2022'!$C$7:$C$361,B60,'Projetos ciclo 2018-2022'!$FC$7:$FC$361)</f>
        <v>156.1749792098999</v>
      </c>
      <c r="H60" s="185">
        <f t="shared" si="10"/>
        <v>255.38406014442444</v>
      </c>
      <c r="I60" s="186">
        <f t="shared" si="11"/>
        <v>0.11100146165427834</v>
      </c>
    </row>
    <row r="61" spans="2:9" x14ac:dyDescent="0.25">
      <c r="B61" s="187" t="s">
        <v>1488</v>
      </c>
      <c r="C61" s="188">
        <f>SUM(C55:C60)</f>
        <v>12282.657649999997</v>
      </c>
      <c r="D61" s="188">
        <f>SUM(D55:D60)</f>
        <v>12282.657650000001</v>
      </c>
      <c r="E61" s="188">
        <f>SUM(E55:E60)</f>
        <v>448.86564412713051</v>
      </c>
      <c r="F61" s="189">
        <f t="shared" si="9"/>
        <v>3.6544667849399068E-2</v>
      </c>
      <c r="G61" s="188">
        <f>SUM(G55:G60)</f>
        <v>1198.1998980045319</v>
      </c>
      <c r="H61" s="188">
        <f>SUM(H55:H60)</f>
        <v>1647.0655421316624</v>
      </c>
      <c r="I61" s="190">
        <f t="shared" si="11"/>
        <v>0.13409683710688317</v>
      </c>
    </row>
    <row r="64" spans="2:9" ht="15.75" x14ac:dyDescent="0.25">
      <c r="B64" s="191" t="s">
        <v>1504</v>
      </c>
      <c r="C64" s="191"/>
    </row>
    <row r="66" spans="2:9" x14ac:dyDescent="0.25">
      <c r="B66" s="182" t="s">
        <v>1487</v>
      </c>
      <c r="C66" s="182"/>
    </row>
    <row r="67" spans="2:9" x14ac:dyDescent="0.25">
      <c r="B67" s="182" t="s">
        <v>1491</v>
      </c>
      <c r="C67" s="182"/>
    </row>
    <row r="68" spans="2:9" x14ac:dyDescent="0.25">
      <c r="B68" s="182"/>
      <c r="C68" s="182"/>
    </row>
    <row r="69" spans="2:9" ht="15.75" x14ac:dyDescent="0.25">
      <c r="B69" s="523" t="s">
        <v>1505</v>
      </c>
      <c r="C69" s="524"/>
      <c r="D69" s="524"/>
      <c r="E69" s="524"/>
      <c r="F69" s="524"/>
      <c r="G69" s="524"/>
      <c r="H69" s="524"/>
      <c r="I69" s="525"/>
    </row>
    <row r="70" spans="2:9" ht="25.5" x14ac:dyDescent="0.25">
      <c r="B70" s="414"/>
      <c r="C70" s="521" t="s">
        <v>2015</v>
      </c>
      <c r="D70" s="521" t="s">
        <v>1736</v>
      </c>
      <c r="E70" s="448" t="s">
        <v>1499</v>
      </c>
      <c r="F70" s="448" t="s">
        <v>1498</v>
      </c>
      <c r="G70" s="448" t="s">
        <v>1497</v>
      </c>
      <c r="H70" s="448" t="s">
        <v>1496</v>
      </c>
      <c r="I70" s="448" t="s">
        <v>1500</v>
      </c>
    </row>
    <row r="71" spans="2:9" x14ac:dyDescent="0.25">
      <c r="B71" s="414" t="s">
        <v>1</v>
      </c>
      <c r="C71" s="522"/>
      <c r="D71" s="522"/>
      <c r="E71" s="196">
        <f>$L$3</f>
        <v>43355</v>
      </c>
      <c r="F71" s="449"/>
      <c r="G71" s="449"/>
      <c r="H71" s="196">
        <f>$L$3</f>
        <v>43355</v>
      </c>
      <c r="I71" s="449"/>
    </row>
    <row r="72" spans="2:9" x14ac:dyDescent="0.25">
      <c r="B72" s="195"/>
      <c r="C72" s="195" t="s">
        <v>1494</v>
      </c>
      <c r="D72" s="195" t="s">
        <v>1495</v>
      </c>
      <c r="E72" s="195" t="s">
        <v>1737</v>
      </c>
      <c r="F72" s="195" t="s">
        <v>1738</v>
      </c>
      <c r="G72" s="195" t="s">
        <v>1739</v>
      </c>
      <c r="H72" s="195" t="s">
        <v>1740</v>
      </c>
      <c r="I72" s="195" t="s">
        <v>1741</v>
      </c>
    </row>
    <row r="73" spans="2:9" x14ac:dyDescent="0.25">
      <c r="B73" s="183" t="s">
        <v>35</v>
      </c>
      <c r="C73" s="185">
        <f>PD!D11</f>
        <v>0</v>
      </c>
      <c r="D73" s="185">
        <f>SUMIF('Projetos ciclo 2018-2022'!$C$7:$C$361,B73,'Projetos ciclo 2018-2022'!$T$7:$T$361)</f>
        <v>0</v>
      </c>
      <c r="E73" s="185">
        <f>SUMIF('Projetos ciclo 2018-2022'!$C$7:$C$361,B73,'Projetos ciclo 2018-2022'!$EX$7:$EX$361)</f>
        <v>0</v>
      </c>
      <c r="F73" s="186">
        <f t="shared" ref="F73:F79" si="12">IFERROR((E73/D73),0)</f>
        <v>0</v>
      </c>
      <c r="G73" s="185">
        <f>SUMIF('Projetos ciclo 2018-2022'!$C$7:$C$361,B73,'Projetos ciclo 2018-2022'!$FC$7:$FC$361)</f>
        <v>0</v>
      </c>
      <c r="H73" s="185">
        <f>E73+G73</f>
        <v>0</v>
      </c>
      <c r="I73" s="186">
        <f t="shared" ref="I73:I79" si="13">IFERROR((H73/D73),0)</f>
        <v>0</v>
      </c>
    </row>
    <row r="74" spans="2:9" x14ac:dyDescent="0.25">
      <c r="B74" s="183" t="s">
        <v>36</v>
      </c>
      <c r="C74" s="185">
        <f>PD!D12</f>
        <v>142.25</v>
      </c>
      <c r="D74" s="185">
        <f>SUMIF('Projetos ciclo 2018-2022'!$C$7:$C$361,B74,'Projetos ciclo 2018-2022'!$T$7:$T$361)</f>
        <v>142.21934999999999</v>
      </c>
      <c r="E74" s="185">
        <f>SUMIF('Projetos ciclo 2018-2022'!$C$7:$C$361,B74,'Projetos ciclo 2018-2022'!$EX$7:$EX$361)</f>
        <v>0</v>
      </c>
      <c r="F74" s="186">
        <f t="shared" si="12"/>
        <v>0</v>
      </c>
      <c r="G74" s="185">
        <f>SUMIF('Projetos ciclo 2018-2022'!$C$7:$C$361,B74,'Projetos ciclo 2018-2022'!$FC$7:$FC$361)</f>
        <v>142.21935653686523</v>
      </c>
      <c r="H74" s="185">
        <f t="shared" ref="H74:H78" si="14">E74+G74</f>
        <v>142.21935653686523</v>
      </c>
      <c r="I74" s="186">
        <f t="shared" si="13"/>
        <v>1.0000000459632621</v>
      </c>
    </row>
    <row r="75" spans="2:9" x14ac:dyDescent="0.25">
      <c r="B75" s="184" t="s">
        <v>37</v>
      </c>
      <c r="C75" s="185">
        <f>PD!D13</f>
        <v>415</v>
      </c>
      <c r="D75" s="185">
        <f>SUMIF('Projetos ciclo 2018-2022'!$C$7:$C$361,B75,'Projetos ciclo 2018-2022'!$T$7:$T$361)</f>
        <v>415</v>
      </c>
      <c r="E75" s="185">
        <f>SUMIF('Projetos ciclo 2018-2022'!$C$7:$C$361,B75,'Projetos ciclo 2018-2022'!$EX$7:$EX$361)</f>
        <v>0</v>
      </c>
      <c r="F75" s="186">
        <f t="shared" si="12"/>
        <v>0</v>
      </c>
      <c r="G75" s="185">
        <f>SUMIF('Projetos ciclo 2018-2022'!$C$7:$C$361,B75,'Projetos ciclo 2018-2022'!$FC$7:$FC$361)</f>
        <v>388.48779296875</v>
      </c>
      <c r="H75" s="185">
        <f t="shared" si="14"/>
        <v>388.48779296875</v>
      </c>
      <c r="I75" s="186">
        <f t="shared" si="13"/>
        <v>0.9361151637801205</v>
      </c>
    </row>
    <row r="76" spans="2:9" x14ac:dyDescent="0.25">
      <c r="B76" s="183" t="s">
        <v>38</v>
      </c>
      <c r="C76" s="185">
        <f>PD!D14</f>
        <v>128.52000000000001</v>
      </c>
      <c r="D76" s="185">
        <f>SUMIF('Projetos ciclo 2018-2022'!$C$7:$C$361,B76,'Projetos ciclo 2018-2022'!$T$7:$T$361)</f>
        <v>97.797317504882813</v>
      </c>
      <c r="E76" s="185">
        <f>SUMIF('Projetos ciclo 2018-2022'!$C$7:$C$361,B76,'Projetos ciclo 2018-2022'!$EX$7:$EX$361)</f>
        <v>97.797317504882813</v>
      </c>
      <c r="F76" s="186">
        <f t="shared" si="12"/>
        <v>1</v>
      </c>
      <c r="G76" s="185">
        <f>SUMIF('Projetos ciclo 2018-2022'!$C$7:$C$361,B76,'Projetos ciclo 2018-2022'!$FC$7:$FC$361)</f>
        <v>0</v>
      </c>
      <c r="H76" s="185">
        <f t="shared" si="14"/>
        <v>97.797317504882813</v>
      </c>
      <c r="I76" s="186">
        <f t="shared" si="13"/>
        <v>1</v>
      </c>
    </row>
    <row r="77" spans="2:9" x14ac:dyDescent="0.25">
      <c r="B77" s="183" t="s">
        <v>39</v>
      </c>
      <c r="C77" s="185">
        <f>PD!D15</f>
        <v>1618.44</v>
      </c>
      <c r="D77" s="185">
        <f>SUMIF('Projetos ciclo 2018-2022'!$C$7:$C$361,B77,'Projetos ciclo 2018-2022'!$T$7:$T$361)</f>
        <v>0</v>
      </c>
      <c r="E77" s="185">
        <f>SUMIF('Projetos ciclo 2018-2022'!$C$7:$C$361,B77,'Projetos ciclo 2018-2022'!$EX$7:$EX$361)</f>
        <v>0</v>
      </c>
      <c r="F77" s="186">
        <f t="shared" si="12"/>
        <v>0</v>
      </c>
      <c r="G77" s="185">
        <f>SUMIF('Projetos ciclo 2018-2022'!$C$7:$C$361,B77,'Projetos ciclo 2018-2022'!$FC$7:$FC$361)</f>
        <v>988</v>
      </c>
      <c r="H77" s="185">
        <f t="shared" si="14"/>
        <v>988</v>
      </c>
      <c r="I77" s="186">
        <f t="shared" si="13"/>
        <v>0</v>
      </c>
    </row>
    <row r="78" spans="2:9" x14ac:dyDescent="0.25">
      <c r="B78" s="184" t="s">
        <v>1493</v>
      </c>
      <c r="C78" s="185">
        <f>PD!D16</f>
        <v>1815.217365</v>
      </c>
      <c r="D78" s="185">
        <f>SUMIF('Projetos ciclo 2018-2022'!$C$7:$C$361,B78,'Projetos ciclo 2018-2022'!$T$7:$T$361)</f>
        <v>1786.6762499806587</v>
      </c>
      <c r="E78" s="185">
        <f>SUMIF('Projetos ciclo 2018-2022'!$C$7:$C$361,B78,'Projetos ciclo 2018-2022'!$EX$7:$EX$361)</f>
        <v>168.60572934150696</v>
      </c>
      <c r="F78" s="186">
        <f t="shared" si="12"/>
        <v>9.4368372190167166E-2</v>
      </c>
      <c r="G78" s="185">
        <f>SUMIF('Projetos ciclo 2018-2022'!$C$7:$C$361,B78,'Projetos ciclo 2018-2022'!$FC$7:$FC$361)</f>
        <v>1505.8081574440002</v>
      </c>
      <c r="H78" s="185">
        <f t="shared" si="14"/>
        <v>1674.4138867855072</v>
      </c>
      <c r="I78" s="186">
        <f t="shared" si="13"/>
        <v>0.93716692478765151</v>
      </c>
    </row>
    <row r="79" spans="2:9" x14ac:dyDescent="0.25">
      <c r="B79" s="187" t="s">
        <v>1488</v>
      </c>
      <c r="C79" s="188">
        <f>SUM(C73:C78)</f>
        <v>4119.4273649999996</v>
      </c>
      <c r="D79" s="188">
        <f>SUM(D73:D78)</f>
        <v>2441.6929174855413</v>
      </c>
      <c r="E79" s="188">
        <f>SUM(E73:E78)</f>
        <v>266.40304684638977</v>
      </c>
      <c r="F79" s="189">
        <f t="shared" si="12"/>
        <v>0.10910587688509658</v>
      </c>
      <c r="G79" s="188">
        <f>SUM(G73:G78)</f>
        <v>3024.5153069496155</v>
      </c>
      <c r="H79" s="188">
        <f>SUM(H73:H78)</f>
        <v>3290.9183537960052</v>
      </c>
      <c r="I79" s="190">
        <f t="shared" si="13"/>
        <v>1.3478019001607284</v>
      </c>
    </row>
    <row r="82" spans="2:9" ht="15.75" x14ac:dyDescent="0.25">
      <c r="B82" s="523" t="s">
        <v>1728</v>
      </c>
      <c r="C82" s="524"/>
      <c r="D82" s="524"/>
      <c r="E82" s="524"/>
      <c r="F82" s="524"/>
      <c r="G82" s="524"/>
      <c r="H82" s="524"/>
      <c r="I82" s="525"/>
    </row>
    <row r="83" spans="2:9" ht="25.5" x14ac:dyDescent="0.25">
      <c r="B83" s="414"/>
      <c r="C83" s="521" t="s">
        <v>2015</v>
      </c>
      <c r="D83" s="521" t="s">
        <v>1736</v>
      </c>
      <c r="E83" s="448" t="s">
        <v>1499</v>
      </c>
      <c r="F83" s="448" t="s">
        <v>1498</v>
      </c>
      <c r="G83" s="448" t="s">
        <v>1497</v>
      </c>
      <c r="H83" s="448" t="s">
        <v>1496</v>
      </c>
      <c r="I83" s="448" t="s">
        <v>1500</v>
      </c>
    </row>
    <row r="84" spans="2:9" x14ac:dyDescent="0.25">
      <c r="B84" s="414" t="s">
        <v>1</v>
      </c>
      <c r="C84" s="522"/>
      <c r="D84" s="522"/>
      <c r="E84" s="196">
        <f>$L$3</f>
        <v>43355</v>
      </c>
      <c r="F84" s="449"/>
      <c r="G84" s="449"/>
      <c r="H84" s="196">
        <f>$L$3</f>
        <v>43355</v>
      </c>
      <c r="I84" s="449"/>
    </row>
    <row r="85" spans="2:9" x14ac:dyDescent="0.25">
      <c r="B85" s="195"/>
      <c r="C85" s="195" t="s">
        <v>1494</v>
      </c>
      <c r="D85" s="195" t="s">
        <v>1495</v>
      </c>
      <c r="E85" s="195" t="s">
        <v>1737</v>
      </c>
      <c r="F85" s="195" t="s">
        <v>1738</v>
      </c>
      <c r="G85" s="195" t="s">
        <v>1739</v>
      </c>
      <c r="H85" s="195" t="s">
        <v>1740</v>
      </c>
      <c r="I85" s="195" t="s">
        <v>1741</v>
      </c>
    </row>
    <row r="86" spans="2:9" x14ac:dyDescent="0.25">
      <c r="B86" s="183" t="s">
        <v>35</v>
      </c>
      <c r="C86" s="185">
        <f>PD!I11</f>
        <v>1910.5</v>
      </c>
      <c r="D86" s="185">
        <f>SUMIF('Projetos ciclo 2018-2022'!$C$7:$C$361,B86,'Projetos ciclo 2018-2022'!$BU$7:$BU$361)</f>
        <v>1910.5</v>
      </c>
      <c r="E86" s="185">
        <f>SUMIF('Projetos ciclo 2018-2022'!$C$7:$C$361,B86,'Projetos ciclo 2018-2022'!$EX$7:$EX$361)</f>
        <v>0</v>
      </c>
      <c r="F86" s="186">
        <f t="shared" ref="F86:F92" si="15">IFERROR((E86/D86),0)</f>
        <v>0</v>
      </c>
      <c r="G86" s="185">
        <f>SUMIF('Projetos ciclo 2018-2022'!$C$7:$C$361,B86,'Projetos ciclo 2018-2022'!$FC$7:$FC$361)</f>
        <v>0</v>
      </c>
      <c r="H86" s="185">
        <f t="shared" ref="H86:H91" si="16">E86+G86</f>
        <v>0</v>
      </c>
      <c r="I86" s="186">
        <f t="shared" ref="I86:I92" si="17">IFERROR((H86/D86),0)</f>
        <v>0</v>
      </c>
    </row>
    <row r="87" spans="2:9" x14ac:dyDescent="0.25">
      <c r="B87" s="183" t="s">
        <v>36</v>
      </c>
      <c r="C87" s="185">
        <f>PD!I12</f>
        <v>438.25</v>
      </c>
      <c r="D87" s="185">
        <f>SUMIF('Projetos ciclo 2018-2022'!$C$7:$C$361,B87,'Projetos ciclo 2018-2022'!$BU$7:$BU$361)</f>
        <v>591.05268249511812</v>
      </c>
      <c r="E87" s="185">
        <f>SUMIF('Projetos ciclo 2018-2022'!$C$7:$C$361,B87,'Projetos ciclo 2018-2022'!$EX$7:$EX$361)</f>
        <v>0</v>
      </c>
      <c r="F87" s="186">
        <f t="shared" si="15"/>
        <v>0</v>
      </c>
      <c r="G87" s="185">
        <f>SUMIF('Projetos ciclo 2018-2022'!$C$7:$C$361,B87,'Projetos ciclo 2018-2022'!$FC$7:$FC$361)</f>
        <v>142.21935653686523</v>
      </c>
      <c r="H87" s="185">
        <f t="shared" si="16"/>
        <v>142.21935653686523</v>
      </c>
      <c r="I87" s="186">
        <f t="shared" si="17"/>
        <v>0.24062044001981145</v>
      </c>
    </row>
    <row r="88" spans="2:9" x14ac:dyDescent="0.25">
      <c r="B88" s="184" t="s">
        <v>37</v>
      </c>
      <c r="C88" s="185">
        <f>PD!I13</f>
        <v>943.5</v>
      </c>
      <c r="D88" s="185">
        <f>SUMIF('Projetos ciclo 2018-2022'!$C$7:$C$361,B88,'Projetos ciclo 2018-2022'!$BU$7:$BU$361)</f>
        <v>943.5</v>
      </c>
      <c r="E88" s="185">
        <f>SUMIF('Projetos ciclo 2018-2022'!$C$7:$C$361,B88,'Projetos ciclo 2018-2022'!$EX$7:$EX$361)</f>
        <v>0</v>
      </c>
      <c r="F88" s="186">
        <f t="shared" si="15"/>
        <v>0</v>
      </c>
      <c r="G88" s="185">
        <f>SUMIF('Projetos ciclo 2018-2022'!$C$7:$C$361,B88,'Projetos ciclo 2018-2022'!$FC$7:$FC$361)</f>
        <v>388.48779296875</v>
      </c>
      <c r="H88" s="185">
        <f t="shared" si="16"/>
        <v>388.48779296875</v>
      </c>
      <c r="I88" s="186">
        <f t="shared" si="17"/>
        <v>0.41175176785241124</v>
      </c>
    </row>
    <row r="89" spans="2:9" x14ac:dyDescent="0.25">
      <c r="B89" s="183" t="s">
        <v>38</v>
      </c>
      <c r="C89" s="185">
        <f>PD!I14</f>
        <v>642.6</v>
      </c>
      <c r="D89" s="185">
        <f>SUMIF('Projetos ciclo 2018-2022'!$C$7:$C$361,B89,'Projetos ciclo 2018-2022'!$BU$7:$BU$361)</f>
        <v>689.79731750488281</v>
      </c>
      <c r="E89" s="185">
        <f>SUMIF('Projetos ciclo 2018-2022'!$C$7:$C$361,B89,'Projetos ciclo 2018-2022'!$EX$7:$EX$361)</f>
        <v>97.797317504882813</v>
      </c>
      <c r="F89" s="186">
        <f t="shared" si="15"/>
        <v>0.14177688869338137</v>
      </c>
      <c r="G89" s="185">
        <f>SUMIF('Projetos ciclo 2018-2022'!$C$7:$C$361,B89,'Projetos ciclo 2018-2022'!$FC$7:$FC$361)</f>
        <v>0</v>
      </c>
      <c r="H89" s="185">
        <f t="shared" si="16"/>
        <v>97.797317504882813</v>
      </c>
      <c r="I89" s="186">
        <f t="shared" si="17"/>
        <v>0.14177688869338137</v>
      </c>
    </row>
    <row r="90" spans="2:9" x14ac:dyDescent="0.25">
      <c r="B90" s="183" t="s">
        <v>39</v>
      </c>
      <c r="C90" s="185">
        <f>PD!I15</f>
        <v>3676.44</v>
      </c>
      <c r="D90" s="185">
        <f>SUMIF('Projetos ciclo 2018-2022'!$C$7:$C$361,B90,'Projetos ciclo 2018-2022'!$BU$7:$BU$361)</f>
        <v>3676.44</v>
      </c>
      <c r="E90" s="185">
        <f>SUMIF('Projetos ciclo 2018-2022'!$C$7:$C$361,B90,'Projetos ciclo 2018-2022'!$EX$7:$EX$361)</f>
        <v>0</v>
      </c>
      <c r="F90" s="186">
        <f t="shared" si="15"/>
        <v>0</v>
      </c>
      <c r="G90" s="185">
        <f>SUMIF('Projetos ciclo 2018-2022'!$C$7:$C$361,B90,'Projetos ciclo 2018-2022'!$FC$7:$FC$361)</f>
        <v>988</v>
      </c>
      <c r="H90" s="185">
        <f t="shared" si="16"/>
        <v>988</v>
      </c>
      <c r="I90" s="186">
        <f t="shared" si="17"/>
        <v>0.2687382359021227</v>
      </c>
    </row>
    <row r="91" spans="2:9" x14ac:dyDescent="0.25">
      <c r="B91" s="184" t="s">
        <v>1493</v>
      </c>
      <c r="C91" s="185">
        <f>PD!I16</f>
        <v>6637.7099999999991</v>
      </c>
      <c r="D91" s="185">
        <f>SUMIF('Projetos ciclo 2018-2022'!$C$7:$C$361,B91,'Projetos ciclo 2018-2022'!$BU$7:$BU$361)</f>
        <v>6437.7099999999991</v>
      </c>
      <c r="E91" s="185">
        <f>SUMIF('Projetos ciclo 2018-2022'!$C$7:$C$361,B91,'Projetos ciclo 2018-2022'!$EX$7:$EX$361)</f>
        <v>168.60572934150696</v>
      </c>
      <c r="F91" s="186">
        <f t="shared" si="15"/>
        <v>2.6190326892871374E-2</v>
      </c>
      <c r="G91" s="185">
        <f>SUMIF('Projetos ciclo 2018-2022'!$C$7:$C$361,B91,'Projetos ciclo 2018-2022'!$FC$7:$FC$361)</f>
        <v>1505.8081574440002</v>
      </c>
      <c r="H91" s="185">
        <f t="shared" si="16"/>
        <v>1674.4138867855072</v>
      </c>
      <c r="I91" s="186">
        <f t="shared" si="17"/>
        <v>0.26009464340355615</v>
      </c>
    </row>
    <row r="92" spans="2:9" x14ac:dyDescent="0.25">
      <c r="B92" s="187" t="s">
        <v>1488</v>
      </c>
      <c r="C92" s="188">
        <f>SUM(C86:C91)</f>
        <v>14249</v>
      </c>
      <c r="D92" s="188">
        <f>SUM(D86:D91)</f>
        <v>14249</v>
      </c>
      <c r="E92" s="188">
        <f>SUM(E86:E91)</f>
        <v>266.40304684638977</v>
      </c>
      <c r="F92" s="189">
        <f t="shared" si="15"/>
        <v>1.8696262674320289E-2</v>
      </c>
      <c r="G92" s="188">
        <f>SUM(G86:G91)</f>
        <v>3024.5153069496155</v>
      </c>
      <c r="H92" s="188">
        <f>SUM(H86:H91)</f>
        <v>3290.9183537960052</v>
      </c>
      <c r="I92" s="190">
        <f t="shared" si="17"/>
        <v>0.23095784643104816</v>
      </c>
    </row>
    <row r="95" spans="2:9" ht="15.75" x14ac:dyDescent="0.25">
      <c r="B95" s="191" t="s">
        <v>1506</v>
      </c>
      <c r="C95" s="191"/>
    </row>
    <row r="97" spans="2:9" x14ac:dyDescent="0.25">
      <c r="B97" s="182" t="s">
        <v>1487</v>
      </c>
      <c r="C97" s="182"/>
    </row>
    <row r="98" spans="2:9" x14ac:dyDescent="0.25">
      <c r="B98" s="182" t="s">
        <v>1491</v>
      </c>
      <c r="C98" s="182"/>
    </row>
    <row r="99" spans="2:9" x14ac:dyDescent="0.25">
      <c r="B99" s="182"/>
      <c r="C99" s="182"/>
    </row>
    <row r="100" spans="2:9" ht="15.75" x14ac:dyDescent="0.25">
      <c r="B100" s="523" t="s">
        <v>1507</v>
      </c>
      <c r="C100" s="524"/>
      <c r="D100" s="524"/>
      <c r="E100" s="524"/>
      <c r="F100" s="524"/>
      <c r="G100" s="524"/>
      <c r="H100" s="524"/>
      <c r="I100" s="525"/>
    </row>
    <row r="101" spans="2:9" ht="25.5" x14ac:dyDescent="0.25">
      <c r="B101" s="414"/>
      <c r="C101" s="521" t="s">
        <v>2015</v>
      </c>
      <c r="D101" s="521" t="s">
        <v>1736</v>
      </c>
      <c r="E101" s="448" t="s">
        <v>1499</v>
      </c>
      <c r="F101" s="448" t="s">
        <v>1498</v>
      </c>
      <c r="G101" s="448" t="s">
        <v>1497</v>
      </c>
      <c r="H101" s="448" t="s">
        <v>1496</v>
      </c>
      <c r="I101" s="448" t="s">
        <v>1500</v>
      </c>
    </row>
    <row r="102" spans="2:9" x14ac:dyDescent="0.25">
      <c r="B102" s="414" t="s">
        <v>1</v>
      </c>
      <c r="C102" s="522"/>
      <c r="D102" s="522"/>
      <c r="E102" s="196">
        <f>$L$3</f>
        <v>43355</v>
      </c>
      <c r="F102" s="449"/>
      <c r="G102" s="449"/>
      <c r="H102" s="196">
        <f>$L$3</f>
        <v>43355</v>
      </c>
      <c r="I102" s="449"/>
    </row>
    <row r="103" spans="2:9" x14ac:dyDescent="0.25">
      <c r="B103" s="195"/>
      <c r="C103" s="195" t="s">
        <v>1494</v>
      </c>
      <c r="D103" s="195" t="s">
        <v>1495</v>
      </c>
      <c r="E103" s="195" t="s">
        <v>1737</v>
      </c>
      <c r="F103" s="195" t="s">
        <v>1738</v>
      </c>
      <c r="G103" s="195" t="s">
        <v>1739</v>
      </c>
      <c r="H103" s="195" t="s">
        <v>1740</v>
      </c>
      <c r="I103" s="195" t="s">
        <v>1741</v>
      </c>
    </row>
    <row r="104" spans="2:9" x14ac:dyDescent="0.25">
      <c r="B104" s="183" t="s">
        <v>46</v>
      </c>
      <c r="C104" s="185">
        <f>PD!D25</f>
        <v>75</v>
      </c>
      <c r="D104" s="185">
        <f>SUMIF('Projetos ciclo 2018-2022'!$C$7:$C$361,B104,'Projetos ciclo 2018-2022'!$T$7:$T$361)</f>
        <v>75</v>
      </c>
      <c r="E104" s="185">
        <f>SUMIF('Projetos ciclo 2018-2022'!$C$7:$C$361,B104,'Projetos ciclo 2018-2022'!$EX$7:$EX$361)</f>
        <v>0</v>
      </c>
      <c r="F104" s="186">
        <f>IFERROR((E104/D104),0)</f>
        <v>0</v>
      </c>
      <c r="G104" s="185">
        <f>SUMIF('Projetos ciclo 2018-2022'!$C$7:$C$361,B104,'Projetos ciclo 2018-2022'!$FC$7:$FC$361)</f>
        <v>47.248001098632812</v>
      </c>
      <c r="H104" s="185">
        <f>E104+G104</f>
        <v>47.248001098632812</v>
      </c>
      <c r="I104" s="186">
        <f t="shared" ref="I104:I106" si="18">IFERROR((H104/D104),0)</f>
        <v>0.62997334798177085</v>
      </c>
    </row>
    <row r="105" spans="2:9" x14ac:dyDescent="0.25">
      <c r="B105" s="183" t="s">
        <v>47</v>
      </c>
      <c r="C105" s="185">
        <f>PD!D26</f>
        <v>1289</v>
      </c>
      <c r="D105" s="185">
        <f>SUMIF('Projetos ciclo 2018-2022'!$C$7:$C$361,B105,'Projetos ciclo 2018-2022'!$T$7:$T$361)</f>
        <v>235.0000000000002</v>
      </c>
      <c r="E105" s="185">
        <f>SUMIF('Projetos ciclo 2018-2022'!$C$7:$C$361,B105,'Projetos ciclo 2018-2022'!$EX$7:$EX$361)</f>
        <v>7.6050000190734863</v>
      </c>
      <c r="F105" s="186">
        <f t="shared" ref="F105" si="19">E105/D105</f>
        <v>3.2361702208823319E-2</v>
      </c>
      <c r="G105" s="185">
        <f>SUMIF('Projetos ciclo 2018-2022'!$C$7:$C$361,B105,'Projetos ciclo 2018-2022'!$FC$7:$FC$361)</f>
        <v>14.723099708557129</v>
      </c>
      <c r="H105" s="185">
        <f>E105+G105</f>
        <v>22.328099727630615</v>
      </c>
      <c r="I105" s="186">
        <f t="shared" si="18"/>
        <v>9.5013190330342959E-2</v>
      </c>
    </row>
    <row r="106" spans="2:9" x14ac:dyDescent="0.25">
      <c r="B106" s="187" t="s">
        <v>1488</v>
      </c>
      <c r="C106" s="188">
        <f>SUM(C104:C105)</f>
        <v>1364</v>
      </c>
      <c r="D106" s="188">
        <f>SUM(D104:D105)</f>
        <v>310.00000000000023</v>
      </c>
      <c r="E106" s="188">
        <f>SUM(E104:E105)</f>
        <v>7.6050000190734863</v>
      </c>
      <c r="F106" s="189">
        <f t="shared" ref="F106" si="20">IFERROR((E106/D106),0)</f>
        <v>2.4532258126043486E-2</v>
      </c>
      <c r="G106" s="188">
        <f>SUM(G104:G105)</f>
        <v>61.971100807189941</v>
      </c>
      <c r="H106" s="188">
        <f>SUM(H104:H105)</f>
        <v>69.576100826263428</v>
      </c>
      <c r="I106" s="190">
        <f t="shared" si="18"/>
        <v>0.22443903492343026</v>
      </c>
    </row>
    <row r="109" spans="2:9" ht="15.75" x14ac:dyDescent="0.25">
      <c r="B109" s="523" t="s">
        <v>1729</v>
      </c>
      <c r="C109" s="524"/>
      <c r="D109" s="524"/>
      <c r="E109" s="524"/>
      <c r="F109" s="524"/>
      <c r="G109" s="524"/>
      <c r="H109" s="524"/>
      <c r="I109" s="525"/>
    </row>
    <row r="110" spans="2:9" ht="25.5" x14ac:dyDescent="0.25">
      <c r="B110" s="414"/>
      <c r="C110" s="521" t="s">
        <v>2015</v>
      </c>
      <c r="D110" s="521" t="s">
        <v>1736</v>
      </c>
      <c r="E110" s="448" t="s">
        <v>1499</v>
      </c>
      <c r="F110" s="448" t="s">
        <v>1498</v>
      </c>
      <c r="G110" s="448" t="s">
        <v>1497</v>
      </c>
      <c r="H110" s="448" t="s">
        <v>1496</v>
      </c>
      <c r="I110" s="448" t="s">
        <v>1500</v>
      </c>
    </row>
    <row r="111" spans="2:9" x14ac:dyDescent="0.25">
      <c r="B111" s="414" t="s">
        <v>1</v>
      </c>
      <c r="C111" s="522"/>
      <c r="D111" s="522"/>
      <c r="E111" s="196">
        <f>$L$3</f>
        <v>43355</v>
      </c>
      <c r="F111" s="449"/>
      <c r="G111" s="449"/>
      <c r="H111" s="196">
        <f>$L$3</f>
        <v>43355</v>
      </c>
      <c r="I111" s="449"/>
    </row>
    <row r="112" spans="2:9" x14ac:dyDescent="0.25">
      <c r="B112" s="195"/>
      <c r="C112" s="195" t="s">
        <v>1494</v>
      </c>
      <c r="D112" s="195" t="s">
        <v>1495</v>
      </c>
      <c r="E112" s="195" t="s">
        <v>1737</v>
      </c>
      <c r="F112" s="195" t="s">
        <v>1738</v>
      </c>
      <c r="G112" s="195" t="s">
        <v>1739</v>
      </c>
      <c r="H112" s="195" t="s">
        <v>1740</v>
      </c>
      <c r="I112" s="195" t="s">
        <v>1741</v>
      </c>
    </row>
    <row r="113" spans="2:9" x14ac:dyDescent="0.25">
      <c r="B113" s="183" t="s">
        <v>46</v>
      </c>
      <c r="C113" s="185">
        <f>PD!I25</f>
        <v>700</v>
      </c>
      <c r="D113" s="185">
        <f>SUMIF('Projetos ciclo 2018-2022'!$C$7:$C$361,B113,'Projetos ciclo 2018-2022'!$BU$7:$BU$361)</f>
        <v>700</v>
      </c>
      <c r="E113" s="185">
        <f>SUMIF('Projetos ciclo 2018-2022'!$C$7:$C$361,B113,'Projetos ciclo 2018-2022'!$EX$7:$EX$361)</f>
        <v>0</v>
      </c>
      <c r="F113" s="186">
        <f>IFERROR((E113/D113),0)</f>
        <v>0</v>
      </c>
      <c r="G113" s="185">
        <f>SUMIF('Projetos ciclo 2018-2022'!$C$7:$C$361,B113,'Projetos ciclo 2018-2022'!$FC$7:$FC$361)</f>
        <v>47.248001098632812</v>
      </c>
      <c r="H113" s="185">
        <f t="shared" ref="H113:H114" si="21">E113+G113</f>
        <v>47.248001098632812</v>
      </c>
      <c r="I113" s="186">
        <f t="shared" ref="I113:I114" si="22">IFERROR((H113/D113),0)</f>
        <v>6.7497144426618305E-2</v>
      </c>
    </row>
    <row r="114" spans="2:9" x14ac:dyDescent="0.25">
      <c r="B114" s="183" t="s">
        <v>47</v>
      </c>
      <c r="C114" s="185">
        <f>PD!I26</f>
        <v>1889</v>
      </c>
      <c r="D114" s="185">
        <f>SUMIF('Projetos ciclo 2018-2022'!$C$7:$C$361,B114,'Projetos ciclo 2018-2022'!$BU$7:$BU$361)</f>
        <v>1889.0000000000002</v>
      </c>
      <c r="E114" s="185">
        <f>SUMIF('Projetos ciclo 2018-2022'!$C$7:$C$361,B114,'Projetos ciclo 2018-2022'!$EX$7:$EX$361)</f>
        <v>7.6050000190734863</v>
      </c>
      <c r="F114" s="186">
        <f t="shared" ref="F114" si="23">E114/D114</f>
        <v>4.0259396607059215E-3</v>
      </c>
      <c r="G114" s="185">
        <f>SUMIF('Projetos ciclo 2018-2022'!$C$7:$C$361,B114,'Projetos ciclo 2018-2022'!$FC$7:$FC$361)</f>
        <v>14.723099708557129</v>
      </c>
      <c r="H114" s="185">
        <f t="shared" si="21"/>
        <v>22.328099727630615</v>
      </c>
      <c r="I114" s="186">
        <f t="shared" si="22"/>
        <v>1.1820063381487883E-2</v>
      </c>
    </row>
    <row r="115" spans="2:9" x14ac:dyDescent="0.25">
      <c r="B115" s="187" t="s">
        <v>1488</v>
      </c>
      <c r="C115" s="188">
        <f>SUM(C113:C114)</f>
        <v>2589</v>
      </c>
      <c r="D115" s="188">
        <f>SUM(D113:D114)</f>
        <v>2589</v>
      </c>
      <c r="E115" s="188">
        <f>SUM(E113:E114)</f>
        <v>7.6050000190734863</v>
      </c>
      <c r="F115" s="189">
        <f t="shared" ref="F115" si="24">IFERROR((E115/D115),0)</f>
        <v>2.9374275855826521E-3</v>
      </c>
      <c r="G115" s="188">
        <f>SUM(G113:G114)</f>
        <v>61.971100807189941</v>
      </c>
      <c r="H115" s="188">
        <f>SUM(H113:H114)</f>
        <v>69.576100826263428</v>
      </c>
      <c r="I115" s="190">
        <f t="shared" ref="I115" si="25">IFERROR((H115/D115),0)</f>
        <v>2.6873735351975059E-2</v>
      </c>
    </row>
    <row r="118" spans="2:9" ht="15.75" x14ac:dyDescent="0.25">
      <c r="B118" s="191" t="s">
        <v>1508</v>
      </c>
      <c r="C118" s="191"/>
    </row>
    <row r="120" spans="2:9" x14ac:dyDescent="0.25">
      <c r="B120" s="182" t="s">
        <v>1487</v>
      </c>
      <c r="C120" s="182"/>
    </row>
    <row r="121" spans="2:9" x14ac:dyDescent="0.25">
      <c r="B121" s="182" t="s">
        <v>1491</v>
      </c>
      <c r="C121" s="182"/>
    </row>
    <row r="122" spans="2:9" x14ac:dyDescent="0.25">
      <c r="B122" s="182"/>
      <c r="C122" s="182"/>
    </row>
    <row r="123" spans="2:9" ht="15.75" x14ac:dyDescent="0.25">
      <c r="B123" s="523" t="s">
        <v>1509</v>
      </c>
      <c r="C123" s="524"/>
      <c r="D123" s="524"/>
      <c r="E123" s="524"/>
      <c r="F123" s="524"/>
      <c r="G123" s="524"/>
      <c r="H123" s="524"/>
      <c r="I123" s="525"/>
    </row>
    <row r="124" spans="2:9" ht="25.5" x14ac:dyDescent="0.25">
      <c r="B124" s="414"/>
      <c r="C124" s="521" t="s">
        <v>2015</v>
      </c>
      <c r="D124" s="521" t="s">
        <v>1736</v>
      </c>
      <c r="E124" s="448" t="s">
        <v>1499</v>
      </c>
      <c r="F124" s="448" t="s">
        <v>1498</v>
      </c>
      <c r="G124" s="448" t="s">
        <v>1497</v>
      </c>
      <c r="H124" s="448" t="s">
        <v>1496</v>
      </c>
      <c r="I124" s="448" t="s">
        <v>1500</v>
      </c>
    </row>
    <row r="125" spans="2:9" x14ac:dyDescent="0.25">
      <c r="B125" s="414" t="s">
        <v>1</v>
      </c>
      <c r="C125" s="522"/>
      <c r="D125" s="522"/>
      <c r="E125" s="196">
        <f>$L$3</f>
        <v>43355</v>
      </c>
      <c r="F125" s="449"/>
      <c r="G125" s="449"/>
      <c r="H125" s="196">
        <f>$L$3</f>
        <v>43355</v>
      </c>
      <c r="I125" s="449"/>
    </row>
    <row r="126" spans="2:9" x14ac:dyDescent="0.25">
      <c r="B126" s="195"/>
      <c r="C126" s="195" t="s">
        <v>1494</v>
      </c>
      <c r="D126" s="195" t="s">
        <v>1495</v>
      </c>
      <c r="E126" s="195" t="s">
        <v>1737</v>
      </c>
      <c r="F126" s="195" t="s">
        <v>1738</v>
      </c>
      <c r="G126" s="195" t="s">
        <v>1739</v>
      </c>
      <c r="H126" s="195" t="s">
        <v>1740</v>
      </c>
      <c r="I126" s="195" t="s">
        <v>1741</v>
      </c>
    </row>
    <row r="127" spans="2:9" x14ac:dyDescent="0.25">
      <c r="B127" s="183" t="s">
        <v>29</v>
      </c>
      <c r="C127" s="185">
        <f>C42</f>
        <v>781.71679999999992</v>
      </c>
      <c r="D127" s="185">
        <f>SUMIF('Projetos ciclo 2018-2022'!$C$7:$C$361,B127,'Projetos ciclo 2018-2022'!$T$7:$T$361)</f>
        <v>283.39999999999986</v>
      </c>
      <c r="E127" s="185">
        <f>SUMIF('Projetos ciclo 2018-2022'!$C$7:$C$361,B127,'Projetos ciclo 2018-2022'!$EX$7:$EX$361)</f>
        <v>28.784600853919983</v>
      </c>
      <c r="F127" s="186">
        <f>IFERROR((E127/D127),0)</f>
        <v>0.10156881035257585</v>
      </c>
      <c r="G127" s="185">
        <f>SUMIF('Projetos ciclo 2018-2022'!$C$7:$C$361,B127,'Projetos ciclo 2018-2022'!$FC$7:$FC$361)</f>
        <v>131.40626263618469</v>
      </c>
      <c r="H127" s="185">
        <f>E127+G127</f>
        <v>160.19086349010468</v>
      </c>
      <c r="I127" s="186">
        <f t="shared" ref="I127:I146" si="26">IFERROR((H127/D127),0)</f>
        <v>0.56524651901942402</v>
      </c>
    </row>
    <row r="128" spans="2:9" x14ac:dyDescent="0.25">
      <c r="B128" s="183" t="s">
        <v>30</v>
      </c>
      <c r="C128" s="185">
        <f t="shared" ref="C128:C132" si="27">C43</f>
        <v>29.25</v>
      </c>
      <c r="D128" s="185">
        <f>SUMIF('Projetos ciclo 2018-2022'!$C$7:$C$361,B128,'Projetos ciclo 2018-2022'!$T$7:$T$361)</f>
        <v>10.000000000000002</v>
      </c>
      <c r="E128" s="185">
        <f>SUMIF('Projetos ciclo 2018-2022'!$C$7:$C$361,B128,'Projetos ciclo 2018-2022'!$EX$7:$EX$361)</f>
        <v>2.2655799686908722</v>
      </c>
      <c r="F128" s="186">
        <f t="shared" ref="F128:F147" si="28">IFERROR((E128/D128),0)</f>
        <v>0.22655799686908717</v>
      </c>
      <c r="G128" s="185">
        <f>SUMIF('Projetos ciclo 2018-2022'!$C$7:$C$361,B128,'Projetos ciclo 2018-2022'!$FC$7:$FC$361)</f>
        <v>0</v>
      </c>
      <c r="H128" s="185">
        <f t="shared" ref="H128:H146" si="29">E128+G128</f>
        <v>2.2655799686908722</v>
      </c>
      <c r="I128" s="186">
        <f t="shared" si="26"/>
        <v>0.22655799686908717</v>
      </c>
    </row>
    <row r="129" spans="2:9" x14ac:dyDescent="0.25">
      <c r="B129" s="183" t="s">
        <v>31</v>
      </c>
      <c r="C129" s="185">
        <f t="shared" si="27"/>
        <v>58.6</v>
      </c>
      <c r="D129" s="185">
        <f>SUMIF('Projetos ciclo 2018-2022'!$C$7:$C$361,B129,'Projetos ciclo 2018-2022'!$T$7:$T$361)</f>
        <v>58.6</v>
      </c>
      <c r="E129" s="185">
        <f>SUMIF('Projetos ciclo 2018-2022'!$C$7:$C$361,B129,'Projetos ciclo 2018-2022'!$EX$7:$EX$361)</f>
        <v>0</v>
      </c>
      <c r="F129" s="186">
        <f t="shared" si="28"/>
        <v>0</v>
      </c>
      <c r="G129" s="185">
        <f>SUMIF('Projetos ciclo 2018-2022'!$C$7:$C$361,B129,'Projetos ciclo 2018-2022'!$FC$7:$FC$361)</f>
        <v>47.798999786376953</v>
      </c>
      <c r="H129" s="185">
        <f t="shared" si="29"/>
        <v>47.798999786376953</v>
      </c>
      <c r="I129" s="186">
        <f t="shared" si="26"/>
        <v>0.81568259021121081</v>
      </c>
    </row>
    <row r="130" spans="2:9" x14ac:dyDescent="0.25">
      <c r="B130" s="183" t="s">
        <v>32</v>
      </c>
      <c r="C130" s="185">
        <f t="shared" si="27"/>
        <v>1886.40985</v>
      </c>
      <c r="D130" s="185">
        <f>SUMIF('Projetos ciclo 2018-2022'!$C$7:$C$361,B130,'Projetos ciclo 2018-2022'!$T$7:$T$361)</f>
        <v>1613.0843323699953</v>
      </c>
      <c r="E130" s="185">
        <f>SUMIF('Projetos ciclo 2018-2022'!$C$7:$C$361,B130,'Projetos ciclo 2018-2022'!$EX$7:$EX$361)</f>
        <v>318.60638236999512</v>
      </c>
      <c r="F130" s="186">
        <f t="shared" si="28"/>
        <v>0.19751377902349865</v>
      </c>
      <c r="G130" s="185">
        <f>SUMIF('Projetos ciclo 2018-2022'!$C$7:$C$361,B130,'Projetos ciclo 2018-2022'!$FC$7:$FC$361)</f>
        <v>862.81965637207031</v>
      </c>
      <c r="H130" s="185">
        <f t="shared" si="29"/>
        <v>1181.4260387420654</v>
      </c>
      <c r="I130" s="186">
        <f t="shared" si="26"/>
        <v>0.73240190548889428</v>
      </c>
    </row>
    <row r="131" spans="2:9" x14ac:dyDescent="0.25">
      <c r="B131" s="183" t="s">
        <v>33</v>
      </c>
      <c r="C131" s="185">
        <f t="shared" si="27"/>
        <v>102.5</v>
      </c>
      <c r="D131" s="185">
        <f>SUMIF('Projetos ciclo 2018-2022'!$C$7:$C$361,B131,'Projetos ciclo 2018-2022'!$T$7:$T$361)</f>
        <v>0</v>
      </c>
      <c r="E131" s="185">
        <f>SUMIF('Projetos ciclo 2018-2022'!$C$7:$C$361,B131,'Projetos ciclo 2018-2022'!$EX$7:$EX$361)</f>
        <v>0</v>
      </c>
      <c r="F131" s="186">
        <f t="shared" si="28"/>
        <v>0</v>
      </c>
      <c r="G131" s="185">
        <f>SUMIF('Projetos ciclo 2018-2022'!$C$7:$C$361,B131,'Projetos ciclo 2018-2022'!$FC$7:$FC$361)</f>
        <v>0</v>
      </c>
      <c r="H131" s="185">
        <f t="shared" si="29"/>
        <v>0</v>
      </c>
      <c r="I131" s="186">
        <f t="shared" si="26"/>
        <v>0</v>
      </c>
    </row>
    <row r="132" spans="2:9" x14ac:dyDescent="0.25">
      <c r="B132" s="183" t="s">
        <v>1492</v>
      </c>
      <c r="C132" s="185">
        <f t="shared" si="27"/>
        <v>518</v>
      </c>
      <c r="D132" s="185">
        <f>SUMIF('Projetos ciclo 2018-2022'!$C$7:$C$361,B132,'Projetos ciclo 2018-2022'!$T$7:$T$361)</f>
        <v>420.29000020027132</v>
      </c>
      <c r="E132" s="185">
        <f>SUMIF('Projetos ciclo 2018-2022'!$C$7:$C$361,B132,'Projetos ciclo 2018-2022'!$EX$7:$EX$361)</f>
        <v>99.209080934524536</v>
      </c>
      <c r="F132" s="186">
        <f t="shared" si="28"/>
        <v>0.23604911105962709</v>
      </c>
      <c r="G132" s="185">
        <f>SUMIF('Projetos ciclo 2018-2022'!$C$7:$C$361,B132,'Projetos ciclo 2018-2022'!$FC$7:$FC$361)</f>
        <v>156.1749792098999</v>
      </c>
      <c r="H132" s="185">
        <f t="shared" si="29"/>
        <v>255.38406014442444</v>
      </c>
      <c r="I132" s="186">
        <f t="shared" si="26"/>
        <v>0.60763772638590507</v>
      </c>
    </row>
    <row r="133" spans="2:9" x14ac:dyDescent="0.25">
      <c r="B133" s="183" t="s">
        <v>35</v>
      </c>
      <c r="C133" s="185">
        <f>C73</f>
        <v>0</v>
      </c>
      <c r="D133" s="185">
        <f>SUMIF('Projetos ciclo 2018-2022'!$C$7:$C$361,B133,'Projetos ciclo 2018-2022'!$T$7:$T$361)</f>
        <v>0</v>
      </c>
      <c r="E133" s="185">
        <f>SUMIF('Projetos ciclo 2018-2022'!$C$7:$C$361,B133,'Projetos ciclo 2018-2022'!$EX$7:$EX$361)</f>
        <v>0</v>
      </c>
      <c r="F133" s="186">
        <f t="shared" si="28"/>
        <v>0</v>
      </c>
      <c r="G133" s="185">
        <f>SUMIF('Projetos ciclo 2018-2022'!$C$7:$C$361,B133,'Projetos ciclo 2018-2022'!$FC$7:$FC$361)</f>
        <v>0</v>
      </c>
      <c r="H133" s="185">
        <f t="shared" si="29"/>
        <v>0</v>
      </c>
      <c r="I133" s="186">
        <f t="shared" si="26"/>
        <v>0</v>
      </c>
    </row>
    <row r="134" spans="2:9" x14ac:dyDescent="0.25">
      <c r="B134" s="183" t="s">
        <v>36</v>
      </c>
      <c r="C134" s="185">
        <f t="shared" ref="C134:C138" si="30">C74</f>
        <v>142.25</v>
      </c>
      <c r="D134" s="185">
        <f>SUMIF('Projetos ciclo 2018-2022'!$C$7:$C$361,B134,'Projetos ciclo 2018-2022'!$T$7:$T$361)</f>
        <v>142.21934999999999</v>
      </c>
      <c r="E134" s="185">
        <f>SUMIF('Projetos ciclo 2018-2022'!$C$7:$C$361,B134,'Projetos ciclo 2018-2022'!$EX$7:$EX$361)</f>
        <v>0</v>
      </c>
      <c r="F134" s="186">
        <f t="shared" si="28"/>
        <v>0</v>
      </c>
      <c r="G134" s="185">
        <f>SUMIF('Projetos ciclo 2018-2022'!$C$7:$C$361,B134,'Projetos ciclo 2018-2022'!$FC$7:$FC$361)</f>
        <v>142.21935653686523</v>
      </c>
      <c r="H134" s="185">
        <f t="shared" si="29"/>
        <v>142.21935653686523</v>
      </c>
      <c r="I134" s="186">
        <f t="shared" si="26"/>
        <v>1.0000000459632621</v>
      </c>
    </row>
    <row r="135" spans="2:9" x14ac:dyDescent="0.25">
      <c r="B135" s="183" t="s">
        <v>37</v>
      </c>
      <c r="C135" s="185">
        <f t="shared" si="30"/>
        <v>415</v>
      </c>
      <c r="D135" s="185">
        <f>SUMIF('Projetos ciclo 2018-2022'!$C$7:$C$361,B135,'Projetos ciclo 2018-2022'!$T$7:$T$361)</f>
        <v>415</v>
      </c>
      <c r="E135" s="185">
        <f>SUMIF('Projetos ciclo 2018-2022'!$C$7:$C$361,B135,'Projetos ciclo 2018-2022'!$EX$7:$EX$361)</f>
        <v>0</v>
      </c>
      <c r="F135" s="186">
        <f t="shared" si="28"/>
        <v>0</v>
      </c>
      <c r="G135" s="185">
        <f>SUMIF('Projetos ciclo 2018-2022'!$C$7:$C$361,B135,'Projetos ciclo 2018-2022'!$FC$7:$FC$361)</f>
        <v>388.48779296875</v>
      </c>
      <c r="H135" s="185">
        <f t="shared" si="29"/>
        <v>388.48779296875</v>
      </c>
      <c r="I135" s="186">
        <f t="shared" si="26"/>
        <v>0.9361151637801205</v>
      </c>
    </row>
    <row r="136" spans="2:9" x14ac:dyDescent="0.25">
      <c r="B136" s="183" t="s">
        <v>38</v>
      </c>
      <c r="C136" s="185">
        <f t="shared" si="30"/>
        <v>128.52000000000001</v>
      </c>
      <c r="D136" s="185">
        <f>SUMIF('Projetos ciclo 2018-2022'!$C$7:$C$361,B136,'Projetos ciclo 2018-2022'!$T$7:$T$361)</f>
        <v>97.797317504882813</v>
      </c>
      <c r="E136" s="185">
        <f>SUMIF('Projetos ciclo 2018-2022'!$C$7:$C$361,B136,'Projetos ciclo 2018-2022'!$EX$7:$EX$361)</f>
        <v>97.797317504882813</v>
      </c>
      <c r="F136" s="186">
        <f t="shared" si="28"/>
        <v>1</v>
      </c>
      <c r="G136" s="185">
        <f>SUMIF('Projetos ciclo 2018-2022'!$C$7:$C$361,B136,'Projetos ciclo 2018-2022'!$FC$7:$FC$361)</f>
        <v>0</v>
      </c>
      <c r="H136" s="185">
        <f t="shared" si="29"/>
        <v>97.797317504882813</v>
      </c>
      <c r="I136" s="186">
        <f t="shared" si="26"/>
        <v>1</v>
      </c>
    </row>
    <row r="137" spans="2:9" x14ac:dyDescent="0.25">
      <c r="B137" s="183" t="s">
        <v>39</v>
      </c>
      <c r="C137" s="185">
        <f t="shared" si="30"/>
        <v>1618.44</v>
      </c>
      <c r="D137" s="185">
        <f>SUMIF('Projetos ciclo 2018-2022'!$C$7:$C$361,B137,'Projetos ciclo 2018-2022'!$T$7:$T$361)</f>
        <v>0</v>
      </c>
      <c r="E137" s="185">
        <f>SUMIF('Projetos ciclo 2018-2022'!$C$7:$C$361,B137,'Projetos ciclo 2018-2022'!$EX$7:$EX$361)</f>
        <v>0</v>
      </c>
      <c r="F137" s="186">
        <f t="shared" si="28"/>
        <v>0</v>
      </c>
      <c r="G137" s="185">
        <f>SUMIF('Projetos ciclo 2018-2022'!$C$7:$C$361,B137,'Projetos ciclo 2018-2022'!$FC$7:$FC$361)</f>
        <v>988</v>
      </c>
      <c r="H137" s="185">
        <f t="shared" si="29"/>
        <v>988</v>
      </c>
      <c r="I137" s="186">
        <f t="shared" si="26"/>
        <v>0</v>
      </c>
    </row>
    <row r="138" spans="2:9" x14ac:dyDescent="0.25">
      <c r="B138" s="183" t="s">
        <v>1493</v>
      </c>
      <c r="C138" s="185">
        <f t="shared" si="30"/>
        <v>1815.217365</v>
      </c>
      <c r="D138" s="185">
        <f>SUMIF('Projetos ciclo 2018-2022'!$C$7:$C$361,B138,'Projetos ciclo 2018-2022'!$T$7:$T$361)</f>
        <v>1786.6762499806587</v>
      </c>
      <c r="E138" s="185">
        <f>SUMIF('Projetos ciclo 2018-2022'!$C$7:$C$361,B138,'Projetos ciclo 2018-2022'!$EX$7:$EX$361)</f>
        <v>168.60572934150696</v>
      </c>
      <c r="F138" s="186">
        <f t="shared" si="28"/>
        <v>9.4368372190167166E-2</v>
      </c>
      <c r="G138" s="185">
        <f>SUMIF('Projetos ciclo 2018-2022'!$C$7:$C$361,B138,'Projetos ciclo 2018-2022'!$FC$7:$FC$361)</f>
        <v>1505.8081574440002</v>
      </c>
      <c r="H138" s="185">
        <f t="shared" si="29"/>
        <v>1674.4138867855072</v>
      </c>
      <c r="I138" s="186">
        <f t="shared" si="26"/>
        <v>0.93716692478765151</v>
      </c>
    </row>
    <row r="139" spans="2:9" x14ac:dyDescent="0.25">
      <c r="B139" s="183" t="s">
        <v>40</v>
      </c>
      <c r="C139" s="185">
        <f>C11</f>
        <v>2416.9827999999998</v>
      </c>
      <c r="D139" s="185">
        <f>SUMIF('Projetos ciclo 2018-2022'!$C$7:$C$361,B139,'Projetos ciclo 2018-2022'!$T$7:$T$361)</f>
        <v>1565.483619976158</v>
      </c>
      <c r="E139" s="185">
        <f>SUMIF('Projetos ciclo 2018-2022'!$C$7:$C$361,B139,'Projetos ciclo 2018-2022'!$EX$7:$EX$361)</f>
        <v>19.024649977684021</v>
      </c>
      <c r="F139" s="186">
        <f t="shared" si="28"/>
        <v>1.2152570448468673E-2</v>
      </c>
      <c r="G139" s="185">
        <f>SUMIF('Projetos ciclo 2018-2022'!$C$7:$C$361,B139,'Projetos ciclo 2018-2022'!$FC$7:$FC$361)</f>
        <v>1478.0045647621155</v>
      </c>
      <c r="H139" s="185">
        <f t="shared" si="29"/>
        <v>1497.0292147397995</v>
      </c>
      <c r="I139" s="186">
        <f t="shared" si="26"/>
        <v>0.9562726787026995</v>
      </c>
    </row>
    <row r="140" spans="2:9" x14ac:dyDescent="0.25">
      <c r="B140" s="183" t="s">
        <v>41</v>
      </c>
      <c r="C140" s="185">
        <f t="shared" ref="C140:C144" si="31">C12</f>
        <v>6259.442</v>
      </c>
      <c r="D140" s="185">
        <f>SUMIF('Projetos ciclo 2018-2022'!$C$7:$C$361,B140,'Projetos ciclo 2018-2022'!$T$7:$T$361)</f>
        <v>3206.8986121711728</v>
      </c>
      <c r="E140" s="185">
        <f>SUMIF('Projetos ciclo 2018-2022'!$C$7:$C$361,B140,'Projetos ciclo 2018-2022'!$EX$7:$EX$361)</f>
        <v>151.41643989086151</v>
      </c>
      <c r="F140" s="186">
        <f t="shared" si="28"/>
        <v>4.7215848769334101E-2</v>
      </c>
      <c r="G140" s="185">
        <f>SUMIF('Projetos ciclo 2018-2022'!$C$7:$C$361,B140,'Projetos ciclo 2018-2022'!$FC$7:$FC$361)</f>
        <v>1722.1287317276001</v>
      </c>
      <c r="H140" s="185">
        <f t="shared" si="29"/>
        <v>1873.5451716184616</v>
      </c>
      <c r="I140" s="186">
        <f t="shared" si="26"/>
        <v>0.58422338782641203</v>
      </c>
    </row>
    <row r="141" spans="2:9" x14ac:dyDescent="0.25">
      <c r="B141" s="183" t="s">
        <v>42</v>
      </c>
      <c r="C141" s="185">
        <f t="shared" si="31"/>
        <v>4111.9169999999995</v>
      </c>
      <c r="D141" s="185">
        <f>SUMIF('Projetos ciclo 2018-2022'!$C$7:$C$361,B141,'Projetos ciclo 2018-2022'!$T$7:$T$361)</f>
        <v>3934.0860000000002</v>
      </c>
      <c r="E141" s="185">
        <f>SUMIF('Projetos ciclo 2018-2022'!$C$7:$C$361,B141,'Projetos ciclo 2018-2022'!$EX$7:$EX$361)</f>
        <v>182.99014966189861</v>
      </c>
      <c r="F141" s="186">
        <f t="shared" si="28"/>
        <v>4.6514018672163905E-2</v>
      </c>
      <c r="G141" s="185">
        <f>SUMIF('Projetos ciclo 2018-2022'!$C$7:$C$361,B141,'Projetos ciclo 2018-2022'!$FC$7:$FC$361)</f>
        <v>1313.255935408175</v>
      </c>
      <c r="H141" s="185">
        <f t="shared" si="29"/>
        <v>1496.2460850700736</v>
      </c>
      <c r="I141" s="186">
        <f t="shared" si="26"/>
        <v>0.38032876888559974</v>
      </c>
    </row>
    <row r="142" spans="2:9" x14ac:dyDescent="0.25">
      <c r="B142" s="183" t="s">
        <v>43</v>
      </c>
      <c r="C142" s="185">
        <f t="shared" si="31"/>
        <v>4684</v>
      </c>
      <c r="D142" s="185">
        <f>SUMIF('Projetos ciclo 2018-2022'!$C$7:$C$361,B142,'Projetos ciclo 2018-2022'!$T$7:$T$361)</f>
        <v>4684</v>
      </c>
      <c r="E142" s="185">
        <f>SUMIF('Projetos ciclo 2018-2022'!$C$7:$C$361,B142,'Projetos ciclo 2018-2022'!$EX$7:$EX$361)</f>
        <v>0</v>
      </c>
      <c r="F142" s="186">
        <f t="shared" si="28"/>
        <v>0</v>
      </c>
      <c r="G142" s="185">
        <f>SUMIF('Projetos ciclo 2018-2022'!$C$7:$C$361,B142,'Projetos ciclo 2018-2022'!$FC$7:$FC$361)</f>
        <v>4650.193359375</v>
      </c>
      <c r="H142" s="185">
        <f t="shared" si="29"/>
        <v>4650.193359375</v>
      </c>
      <c r="I142" s="186">
        <f t="shared" si="26"/>
        <v>0.99278252762062336</v>
      </c>
    </row>
    <row r="143" spans="2:9" x14ac:dyDescent="0.25">
      <c r="B143" s="183" t="s">
        <v>44</v>
      </c>
      <c r="C143" s="185">
        <f t="shared" si="31"/>
        <v>54226.487000000001</v>
      </c>
      <c r="D143" s="185">
        <f>SUMIF('Projetos ciclo 2018-2022'!$C$7:$C$361,B143,'Projetos ciclo 2018-2022'!$T$7:$T$361)</f>
        <v>56476.689081820536</v>
      </c>
      <c r="E143" s="185">
        <f>SUMIF('Projetos ciclo 2018-2022'!$C$7:$C$361,B143,'Projetos ciclo 2018-2022'!$EX$7:$EX$361)</f>
        <v>14018.300717830658</v>
      </c>
      <c r="F143" s="186">
        <f t="shared" si="28"/>
        <v>0.24821392588226376</v>
      </c>
      <c r="G143" s="185">
        <f>SUMIF('Projetos ciclo 2018-2022'!$C$7:$C$361,B143,'Projetos ciclo 2018-2022'!$FC$7:$FC$361)</f>
        <v>16675.00378472684</v>
      </c>
      <c r="H143" s="185">
        <f t="shared" si="29"/>
        <v>30693.304502557497</v>
      </c>
      <c r="I143" s="186">
        <f t="shared" si="26"/>
        <v>0.54346855315988174</v>
      </c>
    </row>
    <row r="144" spans="2:9" x14ac:dyDescent="0.25">
      <c r="B144" s="183" t="s">
        <v>45</v>
      </c>
      <c r="C144" s="185">
        <f t="shared" si="31"/>
        <v>3182.4</v>
      </c>
      <c r="D144" s="185">
        <f>SUMIF('Projetos ciclo 2018-2022'!$C$7:$C$361,B144,'Projetos ciclo 2018-2022'!$T$7:$T$361)</f>
        <v>90</v>
      </c>
      <c r="E144" s="185">
        <f>SUMIF('Projetos ciclo 2018-2022'!$C$7:$C$361,B144,'Projetos ciclo 2018-2022'!$EX$7:$EX$361)</f>
        <v>0</v>
      </c>
      <c r="F144" s="186">
        <f t="shared" si="28"/>
        <v>0</v>
      </c>
      <c r="G144" s="185">
        <f>SUMIF('Projetos ciclo 2018-2022'!$C$7:$C$361,B144,'Projetos ciclo 2018-2022'!$FC$7:$FC$361)</f>
        <v>0</v>
      </c>
      <c r="H144" s="185">
        <f t="shared" si="29"/>
        <v>0</v>
      </c>
      <c r="I144" s="186">
        <f t="shared" si="26"/>
        <v>0</v>
      </c>
    </row>
    <row r="145" spans="2:10" x14ac:dyDescent="0.25">
      <c r="B145" s="183" t="s">
        <v>46</v>
      </c>
      <c r="C145" s="185">
        <f>C104</f>
        <v>75</v>
      </c>
      <c r="D145" s="185">
        <f>SUMIF('Projetos ciclo 2018-2022'!$C$7:$C$361,B145,'Projetos ciclo 2018-2022'!$T$7:$T$361)</f>
        <v>75</v>
      </c>
      <c r="E145" s="185">
        <f>SUMIF('Projetos ciclo 2018-2022'!$C$7:$C$361,B145,'Projetos ciclo 2018-2022'!$EX$7:$EX$361)</f>
        <v>0</v>
      </c>
      <c r="F145" s="186">
        <f t="shared" si="28"/>
        <v>0</v>
      </c>
      <c r="G145" s="185">
        <f>SUMIF('Projetos ciclo 2018-2022'!$C$7:$C$361,B145,'Projetos ciclo 2018-2022'!$FC$7:$FC$361)</f>
        <v>47.248001098632812</v>
      </c>
      <c r="H145" s="185">
        <f t="shared" si="29"/>
        <v>47.248001098632812</v>
      </c>
      <c r="I145" s="186">
        <f t="shared" si="26"/>
        <v>0.62997334798177085</v>
      </c>
    </row>
    <row r="146" spans="2:10" x14ac:dyDescent="0.25">
      <c r="B146" s="183" t="s">
        <v>47</v>
      </c>
      <c r="C146" s="185">
        <f>C105</f>
        <v>1289</v>
      </c>
      <c r="D146" s="185">
        <f>SUMIF('Projetos ciclo 2018-2022'!$C$7:$C$361,B146,'Projetos ciclo 2018-2022'!$T$7:$T$361)</f>
        <v>235.0000000000002</v>
      </c>
      <c r="E146" s="185">
        <f>SUMIF('Projetos ciclo 2018-2022'!$C$7:$C$361,B146,'Projetos ciclo 2018-2022'!$EX$7:$EX$361)</f>
        <v>7.6050000190734863</v>
      </c>
      <c r="F146" s="186">
        <f t="shared" si="28"/>
        <v>3.2361702208823319E-2</v>
      </c>
      <c r="G146" s="185">
        <f>SUMIF('Projetos ciclo 2018-2022'!$C$7:$C$361,B146,'Projetos ciclo 2018-2022'!$FC$7:$FC$361)</f>
        <v>14.723099708557129</v>
      </c>
      <c r="H146" s="185">
        <f t="shared" si="29"/>
        <v>22.328099727630615</v>
      </c>
      <c r="I146" s="186">
        <f t="shared" si="26"/>
        <v>9.5013190330342959E-2</v>
      </c>
    </row>
    <row r="147" spans="2:10" x14ac:dyDescent="0.25">
      <c r="B147" s="187" t="s">
        <v>1488</v>
      </c>
      <c r="C147" s="188">
        <f>SUM(C127:C146)</f>
        <v>83741.13281499999</v>
      </c>
      <c r="D147" s="188">
        <f>SUM(D127:D146)</f>
        <v>75094.22456402368</v>
      </c>
      <c r="E147" s="188">
        <f>SUM(E127:E146)</f>
        <v>15094.605648353696</v>
      </c>
      <c r="F147" s="189">
        <f t="shared" si="28"/>
        <v>0.20100887566239356</v>
      </c>
      <c r="G147" s="188">
        <f>SUM(G127:G146)</f>
        <v>30123.272681761067</v>
      </c>
      <c r="H147" s="188">
        <f>SUM(H127:H146)</f>
        <v>45217.878330114763</v>
      </c>
      <c r="I147" s="190">
        <f t="shared" ref="I147" si="32">IFERROR((H147/D147),0)</f>
        <v>0.60214854860859501</v>
      </c>
      <c r="J147" s="415"/>
    </row>
    <row r="150" spans="2:10" ht="15.75" x14ac:dyDescent="0.25">
      <c r="B150" s="523" t="s">
        <v>1730</v>
      </c>
      <c r="C150" s="524"/>
      <c r="D150" s="524"/>
      <c r="E150" s="524"/>
      <c r="F150" s="524"/>
      <c r="G150" s="524"/>
      <c r="H150" s="524"/>
      <c r="I150" s="525"/>
    </row>
    <row r="151" spans="2:10" ht="25.5" x14ac:dyDescent="0.25">
      <c r="B151" s="414"/>
      <c r="C151" s="521" t="s">
        <v>2015</v>
      </c>
      <c r="D151" s="521" t="s">
        <v>1736</v>
      </c>
      <c r="E151" s="448" t="s">
        <v>1499</v>
      </c>
      <c r="F151" s="448" t="s">
        <v>1498</v>
      </c>
      <c r="G151" s="448" t="s">
        <v>1497</v>
      </c>
      <c r="H151" s="448" t="s">
        <v>1496</v>
      </c>
      <c r="I151" s="448" t="s">
        <v>1500</v>
      </c>
    </row>
    <row r="152" spans="2:10" x14ac:dyDescent="0.25">
      <c r="B152" s="414" t="s">
        <v>1</v>
      </c>
      <c r="C152" s="522"/>
      <c r="D152" s="522"/>
      <c r="E152" s="196">
        <f>$L$3</f>
        <v>43355</v>
      </c>
      <c r="F152" s="449"/>
      <c r="G152" s="449"/>
      <c r="H152" s="196">
        <f>$L$3</f>
        <v>43355</v>
      </c>
      <c r="I152" s="449"/>
    </row>
    <row r="153" spans="2:10" x14ac:dyDescent="0.25">
      <c r="B153" s="195"/>
      <c r="C153" s="195" t="s">
        <v>1494</v>
      </c>
      <c r="D153" s="195" t="s">
        <v>1495</v>
      </c>
      <c r="E153" s="195" t="s">
        <v>1737</v>
      </c>
      <c r="F153" s="195" t="s">
        <v>1738</v>
      </c>
      <c r="G153" s="195" t="s">
        <v>1739</v>
      </c>
      <c r="H153" s="195" t="s">
        <v>1740</v>
      </c>
      <c r="I153" s="195" t="s">
        <v>1741</v>
      </c>
    </row>
    <row r="154" spans="2:10" x14ac:dyDescent="0.25">
      <c r="B154" s="183" t="s">
        <v>29</v>
      </c>
      <c r="C154" s="185">
        <f>PD!I4</f>
        <v>2636.1707999999999</v>
      </c>
      <c r="D154" s="185">
        <f>SUMIF('Projetos ciclo 2018-2022'!$C$7:$C$361,B154,'Projetos ciclo 2018-2022'!$BU$7:$BU$361)</f>
        <v>2636.1463151348903</v>
      </c>
      <c r="E154" s="185">
        <f>SUMIF('Projetos ciclo 2018-2022'!$C$7:$C$361,B154,'Projetos ciclo 2018-2022'!$EX$7:$EX$361)</f>
        <v>28.784600853919983</v>
      </c>
      <c r="F154" s="186">
        <f>IFERROR((E154/D154),0)</f>
        <v>1.0919196968946349E-2</v>
      </c>
      <c r="G154" s="185">
        <f>SUMIF('Projetos ciclo 2018-2022'!$C$7:$C$361,B154,'Projetos ciclo 2018-2022'!$FC$7:$FC$361)</f>
        <v>131.40626263618469</v>
      </c>
      <c r="H154" s="185">
        <f t="shared" ref="H154:H173" si="33">E154+G154</f>
        <v>160.19086349010468</v>
      </c>
      <c r="I154" s="186">
        <f t="shared" ref="I154:I173" si="34">IFERROR((H154/D154),0)</f>
        <v>6.0767060830577528E-2</v>
      </c>
    </row>
    <row r="155" spans="2:10" x14ac:dyDescent="0.25">
      <c r="B155" s="183" t="s">
        <v>30</v>
      </c>
      <c r="C155" s="185">
        <f>PD!I5</f>
        <v>167.25</v>
      </c>
      <c r="D155" s="185">
        <f>SUMIF('Projetos ciclo 2018-2022'!$C$7:$C$361,B155,'Projetos ciclo 2018-2022'!$BU$7:$BU$361)</f>
        <v>167</v>
      </c>
      <c r="E155" s="185">
        <f>SUMIF('Projetos ciclo 2018-2022'!$C$7:$C$361,B155,'Projetos ciclo 2018-2022'!$EX$7:$EX$361)</f>
        <v>2.2655799686908722</v>
      </c>
      <c r="F155" s="186">
        <f t="shared" ref="F155:F174" si="35">IFERROR((E155/D155),0)</f>
        <v>1.3566347117909414E-2</v>
      </c>
      <c r="G155" s="185">
        <f>SUMIF('Projetos ciclo 2018-2022'!$C$7:$C$361,B155,'Projetos ciclo 2018-2022'!$FC$7:$FC$361)</f>
        <v>0</v>
      </c>
      <c r="H155" s="185">
        <f t="shared" si="33"/>
        <v>2.2655799686908722</v>
      </c>
      <c r="I155" s="186">
        <f t="shared" si="34"/>
        <v>1.3566347117909414E-2</v>
      </c>
    </row>
    <row r="156" spans="2:10" x14ac:dyDescent="0.25">
      <c r="B156" s="183" t="s">
        <v>31</v>
      </c>
      <c r="C156" s="185">
        <f>PD!I6</f>
        <v>955.2</v>
      </c>
      <c r="D156" s="185">
        <f>SUMIF('Projetos ciclo 2018-2022'!$C$7:$C$361,B156,'Projetos ciclo 2018-2022'!$BU$7:$BU$361)</f>
        <v>955.2</v>
      </c>
      <c r="E156" s="185">
        <f>SUMIF('Projetos ciclo 2018-2022'!$C$7:$C$361,B156,'Projetos ciclo 2018-2022'!$EX$7:$EX$361)</f>
        <v>0</v>
      </c>
      <c r="F156" s="186">
        <f t="shared" si="35"/>
        <v>0</v>
      </c>
      <c r="G156" s="185">
        <f>SUMIF('Projetos ciclo 2018-2022'!$C$7:$C$361,B156,'Projetos ciclo 2018-2022'!$FC$7:$FC$361)</f>
        <v>47.798999786376953</v>
      </c>
      <c r="H156" s="185">
        <f t="shared" si="33"/>
        <v>47.798999786376953</v>
      </c>
      <c r="I156" s="186">
        <f t="shared" si="34"/>
        <v>5.0040828922086424E-2</v>
      </c>
    </row>
    <row r="157" spans="2:10" x14ac:dyDescent="0.25">
      <c r="B157" s="183" t="s">
        <v>32</v>
      </c>
      <c r="C157" s="185">
        <f>PD!I7</f>
        <v>6120.8098499999996</v>
      </c>
      <c r="D157" s="185">
        <f>SUMIF('Projetos ciclo 2018-2022'!$C$7:$C$361,B157,'Projetos ciclo 2018-2022'!$BU$7:$BU$361)</f>
        <v>6121.0843323699946</v>
      </c>
      <c r="E157" s="185">
        <f>SUMIF('Projetos ciclo 2018-2022'!$C$7:$C$361,B157,'Projetos ciclo 2018-2022'!$EX$7:$EX$361)</f>
        <v>318.60638236999512</v>
      </c>
      <c r="F157" s="186">
        <f t="shared" si="35"/>
        <v>5.2050644145697531E-2</v>
      </c>
      <c r="G157" s="185">
        <f>SUMIF('Projetos ciclo 2018-2022'!$C$7:$C$361,B157,'Projetos ciclo 2018-2022'!$FC$7:$FC$361)</f>
        <v>862.81965637207031</v>
      </c>
      <c r="H157" s="185">
        <f t="shared" si="33"/>
        <v>1181.4260387420654</v>
      </c>
      <c r="I157" s="186">
        <f t="shared" si="34"/>
        <v>0.19300927329073972</v>
      </c>
    </row>
    <row r="158" spans="2:10" x14ac:dyDescent="0.25">
      <c r="B158" s="183" t="s">
        <v>33</v>
      </c>
      <c r="C158" s="185">
        <f>PD!I8</f>
        <v>102.5</v>
      </c>
      <c r="D158" s="185">
        <f>SUMIF('Projetos ciclo 2018-2022'!$C$7:$C$361,B158,'Projetos ciclo 2018-2022'!$BU$7:$BU$361)</f>
        <v>102.5</v>
      </c>
      <c r="E158" s="185">
        <f>SUMIF('Projetos ciclo 2018-2022'!$C$7:$C$361,B158,'Projetos ciclo 2018-2022'!$EX$7:$EX$361)</f>
        <v>0</v>
      </c>
      <c r="F158" s="186">
        <f t="shared" si="35"/>
        <v>0</v>
      </c>
      <c r="G158" s="185">
        <f>SUMIF('Projetos ciclo 2018-2022'!$C$7:$C$361,B158,'Projetos ciclo 2018-2022'!$FC$7:$FC$361)</f>
        <v>0</v>
      </c>
      <c r="H158" s="185">
        <f t="shared" si="33"/>
        <v>0</v>
      </c>
      <c r="I158" s="186">
        <f t="shared" si="34"/>
        <v>0</v>
      </c>
    </row>
    <row r="159" spans="2:10" x14ac:dyDescent="0.25">
      <c r="B159" s="183" t="s">
        <v>1492</v>
      </c>
      <c r="C159" s="185">
        <f>PD!I9</f>
        <v>2300.7269999999999</v>
      </c>
      <c r="D159" s="185">
        <f>SUMIF('Projetos ciclo 2018-2022'!$C$7:$C$361,B159,'Projetos ciclo 2018-2022'!$BU$7:$BU$361)</f>
        <v>2300.7270024951167</v>
      </c>
      <c r="E159" s="185">
        <f>SUMIF('Projetos ciclo 2018-2022'!$C$7:$C$361,B159,'Projetos ciclo 2018-2022'!$EX$7:$EX$361)</f>
        <v>99.209080934524536</v>
      </c>
      <c r="F159" s="186">
        <f t="shared" si="35"/>
        <v>4.3120753060633975E-2</v>
      </c>
      <c r="G159" s="185">
        <f>SUMIF('Projetos ciclo 2018-2022'!$C$7:$C$361,B159,'Projetos ciclo 2018-2022'!$FC$7:$FC$361)</f>
        <v>156.1749792098999</v>
      </c>
      <c r="H159" s="185">
        <f t="shared" si="33"/>
        <v>255.38406014442444</v>
      </c>
      <c r="I159" s="186">
        <f t="shared" si="34"/>
        <v>0.11100146165427834</v>
      </c>
    </row>
    <row r="160" spans="2:10" x14ac:dyDescent="0.25">
      <c r="B160" s="183" t="s">
        <v>35</v>
      </c>
      <c r="C160" s="185">
        <f>PD!I11</f>
        <v>1910.5</v>
      </c>
      <c r="D160" s="185">
        <f>SUMIF('Projetos ciclo 2018-2022'!$C$7:$C$361,B160,'Projetos ciclo 2018-2022'!$BU$7:$BU$361)</f>
        <v>1910.5</v>
      </c>
      <c r="E160" s="185">
        <f>SUMIF('Projetos ciclo 2018-2022'!$C$7:$C$361,B160,'Projetos ciclo 2018-2022'!$EX$7:$EX$361)</f>
        <v>0</v>
      </c>
      <c r="F160" s="186">
        <f t="shared" si="35"/>
        <v>0</v>
      </c>
      <c r="G160" s="185">
        <f>SUMIF('Projetos ciclo 2018-2022'!$C$7:$C$361,B160,'Projetos ciclo 2018-2022'!$FC$7:$FC$361)</f>
        <v>0</v>
      </c>
      <c r="H160" s="185">
        <f t="shared" si="33"/>
        <v>0</v>
      </c>
      <c r="I160" s="186">
        <f t="shared" si="34"/>
        <v>0</v>
      </c>
    </row>
    <row r="161" spans="2:9" x14ac:dyDescent="0.25">
      <c r="B161" s="183" t="s">
        <v>36</v>
      </c>
      <c r="C161" s="185">
        <f>PD!I12</f>
        <v>438.25</v>
      </c>
      <c r="D161" s="185">
        <f>SUMIF('Projetos ciclo 2018-2022'!$C$7:$C$361,B161,'Projetos ciclo 2018-2022'!$BU$7:$BU$361)</f>
        <v>591.05268249511812</v>
      </c>
      <c r="E161" s="185">
        <f>SUMIF('Projetos ciclo 2018-2022'!$C$7:$C$361,B161,'Projetos ciclo 2018-2022'!$EX$7:$EX$361)</f>
        <v>0</v>
      </c>
      <c r="F161" s="186">
        <f t="shared" si="35"/>
        <v>0</v>
      </c>
      <c r="G161" s="185">
        <f>SUMIF('Projetos ciclo 2018-2022'!$C$7:$C$361,B161,'Projetos ciclo 2018-2022'!$FC$7:$FC$361)</f>
        <v>142.21935653686523</v>
      </c>
      <c r="H161" s="185">
        <f t="shared" si="33"/>
        <v>142.21935653686523</v>
      </c>
      <c r="I161" s="186">
        <f t="shared" si="34"/>
        <v>0.24062044001981145</v>
      </c>
    </row>
    <row r="162" spans="2:9" x14ac:dyDescent="0.25">
      <c r="B162" s="183" t="s">
        <v>37</v>
      </c>
      <c r="C162" s="185">
        <f>PD!I13</f>
        <v>943.5</v>
      </c>
      <c r="D162" s="185">
        <f>SUMIF('Projetos ciclo 2018-2022'!$C$7:$C$361,B162,'Projetos ciclo 2018-2022'!$BU$7:$BU$361)</f>
        <v>943.5</v>
      </c>
      <c r="E162" s="185">
        <f>SUMIF('Projetos ciclo 2018-2022'!$C$7:$C$361,B162,'Projetos ciclo 2018-2022'!$EX$7:$EX$361)</f>
        <v>0</v>
      </c>
      <c r="F162" s="186">
        <f t="shared" si="35"/>
        <v>0</v>
      </c>
      <c r="G162" s="185">
        <f>SUMIF('Projetos ciclo 2018-2022'!$C$7:$C$361,B162,'Projetos ciclo 2018-2022'!$FC$7:$FC$361)</f>
        <v>388.48779296875</v>
      </c>
      <c r="H162" s="185">
        <f t="shared" si="33"/>
        <v>388.48779296875</v>
      </c>
      <c r="I162" s="186">
        <f t="shared" si="34"/>
        <v>0.41175176785241124</v>
      </c>
    </row>
    <row r="163" spans="2:9" x14ac:dyDescent="0.25">
      <c r="B163" s="183" t="s">
        <v>38</v>
      </c>
      <c r="C163" s="185">
        <f>PD!I14</f>
        <v>642.6</v>
      </c>
      <c r="D163" s="185">
        <f>SUMIF('Projetos ciclo 2018-2022'!$C$7:$C$361,B163,'Projetos ciclo 2018-2022'!$BU$7:$BU$361)</f>
        <v>689.79731750488281</v>
      </c>
      <c r="E163" s="185">
        <f>SUMIF('Projetos ciclo 2018-2022'!$C$7:$C$361,B163,'Projetos ciclo 2018-2022'!$EX$7:$EX$361)</f>
        <v>97.797317504882813</v>
      </c>
      <c r="F163" s="186">
        <f t="shared" si="35"/>
        <v>0.14177688869338137</v>
      </c>
      <c r="G163" s="185">
        <f>SUMIF('Projetos ciclo 2018-2022'!$C$7:$C$361,B163,'Projetos ciclo 2018-2022'!$FC$7:$FC$361)</f>
        <v>0</v>
      </c>
      <c r="H163" s="185">
        <f t="shared" si="33"/>
        <v>97.797317504882813</v>
      </c>
      <c r="I163" s="186">
        <f t="shared" si="34"/>
        <v>0.14177688869338137</v>
      </c>
    </row>
    <row r="164" spans="2:9" x14ac:dyDescent="0.25">
      <c r="B164" s="183" t="s">
        <v>39</v>
      </c>
      <c r="C164" s="185">
        <f>PD!I15</f>
        <v>3676.44</v>
      </c>
      <c r="D164" s="185">
        <f>SUMIF('Projetos ciclo 2018-2022'!$C$7:$C$361,B164,'Projetos ciclo 2018-2022'!$BU$7:$BU$361)</f>
        <v>3676.44</v>
      </c>
      <c r="E164" s="185">
        <f>SUMIF('Projetos ciclo 2018-2022'!$C$7:$C$361,B164,'Projetos ciclo 2018-2022'!$EX$7:$EX$361)</f>
        <v>0</v>
      </c>
      <c r="F164" s="186">
        <f t="shared" si="35"/>
        <v>0</v>
      </c>
      <c r="G164" s="185">
        <f>SUMIF('Projetos ciclo 2018-2022'!$C$7:$C$361,B164,'Projetos ciclo 2018-2022'!$FC$7:$FC$361)</f>
        <v>988</v>
      </c>
      <c r="H164" s="185">
        <f t="shared" si="33"/>
        <v>988</v>
      </c>
      <c r="I164" s="186">
        <f t="shared" si="34"/>
        <v>0.2687382359021227</v>
      </c>
    </row>
    <row r="165" spans="2:9" x14ac:dyDescent="0.25">
      <c r="B165" s="183" t="s">
        <v>1493</v>
      </c>
      <c r="C165" s="185">
        <f>PD!I16</f>
        <v>6637.7099999999991</v>
      </c>
      <c r="D165" s="185">
        <f>SUMIF('Projetos ciclo 2018-2022'!$C$7:$C$361,B165,'Projetos ciclo 2018-2022'!$BU$7:$BU$361)</f>
        <v>6437.7099999999991</v>
      </c>
      <c r="E165" s="185">
        <f>SUMIF('Projetos ciclo 2018-2022'!$C$7:$C$361,B165,'Projetos ciclo 2018-2022'!$EX$7:$EX$361)</f>
        <v>168.60572934150696</v>
      </c>
      <c r="F165" s="186">
        <f t="shared" si="35"/>
        <v>2.6190326892871374E-2</v>
      </c>
      <c r="G165" s="185">
        <f>SUMIF('Projetos ciclo 2018-2022'!$C$7:$C$361,B165,'Projetos ciclo 2018-2022'!$FC$7:$FC$361)</f>
        <v>1505.8081574440002</v>
      </c>
      <c r="H165" s="185">
        <f t="shared" si="33"/>
        <v>1674.4138867855072</v>
      </c>
      <c r="I165" s="186">
        <f t="shared" si="34"/>
        <v>0.26009464340355615</v>
      </c>
    </row>
    <row r="166" spans="2:9" x14ac:dyDescent="0.25">
      <c r="B166" s="183" t="s">
        <v>40</v>
      </c>
      <c r="C166" s="185">
        <f>PD!I18</f>
        <v>14083.552</v>
      </c>
      <c r="D166" s="185">
        <f>SUMIF('Projetos ciclo 2018-2022'!$C$7:$C$361,B166,'Projetos ciclo 2018-2022'!$BU$7:$BU$361)</f>
        <v>13680.399999976158</v>
      </c>
      <c r="E166" s="185">
        <f>SUMIF('Projetos ciclo 2018-2022'!$C$7:$C$361,B166,'Projetos ciclo 2018-2022'!$EX$7:$EX$361)</f>
        <v>19.024649977684021</v>
      </c>
      <c r="F166" s="186">
        <f t="shared" si="35"/>
        <v>1.3906501255604498E-3</v>
      </c>
      <c r="G166" s="185">
        <f>SUMIF('Projetos ciclo 2018-2022'!$C$7:$C$361,B166,'Projetos ciclo 2018-2022'!$FC$7:$FC$361)</f>
        <v>1478.0045647621155</v>
      </c>
      <c r="H166" s="185">
        <f t="shared" si="33"/>
        <v>1497.0292147397995</v>
      </c>
      <c r="I166" s="186">
        <f t="shared" si="34"/>
        <v>0.10942876047063013</v>
      </c>
    </row>
    <row r="167" spans="2:9" x14ac:dyDescent="0.25">
      <c r="B167" s="183" t="s">
        <v>41</v>
      </c>
      <c r="C167" s="185">
        <f>PD!I19</f>
        <v>40451.594999991001</v>
      </c>
      <c r="D167" s="185">
        <f>SUMIF('Projetos ciclo 2018-2022'!$C$7:$C$361,B167,'Projetos ciclo 2018-2022'!$BU$7:$BU$361)</f>
        <v>31215.81735819429</v>
      </c>
      <c r="E167" s="185">
        <f>SUMIF('Projetos ciclo 2018-2022'!$C$7:$C$361,B167,'Projetos ciclo 2018-2022'!$EX$7:$EX$361)</f>
        <v>151.41643989086151</v>
      </c>
      <c r="F167" s="186">
        <f t="shared" si="35"/>
        <v>4.8506319137311977E-3</v>
      </c>
      <c r="G167" s="185">
        <f>SUMIF('Projetos ciclo 2018-2022'!$C$7:$C$361,B167,'Projetos ciclo 2018-2022'!$FC$7:$FC$361)</f>
        <v>1722.1287317276001</v>
      </c>
      <c r="H167" s="185">
        <f t="shared" si="33"/>
        <v>1873.5451716184616</v>
      </c>
      <c r="I167" s="186">
        <f t="shared" si="34"/>
        <v>6.0019097053265136E-2</v>
      </c>
    </row>
    <row r="168" spans="2:9" x14ac:dyDescent="0.25">
      <c r="B168" s="183" t="s">
        <v>42</v>
      </c>
      <c r="C168" s="185">
        <f>PD!I20</f>
        <v>34562.445</v>
      </c>
      <c r="D168" s="185">
        <f>SUMIF('Projetos ciclo 2018-2022'!$C$7:$C$361,B168,'Projetos ciclo 2018-2022'!$BU$7:$BU$361)</f>
        <v>28677.337000000003</v>
      </c>
      <c r="E168" s="185">
        <f>SUMIF('Projetos ciclo 2018-2022'!$C$7:$C$361,B168,'Projetos ciclo 2018-2022'!$EX$7:$EX$361)</f>
        <v>182.99014966189861</v>
      </c>
      <c r="F168" s="186">
        <f t="shared" si="35"/>
        <v>6.3810021712231713E-3</v>
      </c>
      <c r="G168" s="185">
        <f>SUMIF('Projetos ciclo 2018-2022'!$C$7:$C$361,B168,'Projetos ciclo 2018-2022'!$FC$7:$FC$361)</f>
        <v>1313.255935408175</v>
      </c>
      <c r="H168" s="185">
        <f t="shared" si="33"/>
        <v>1496.2460850700736</v>
      </c>
      <c r="I168" s="186">
        <f t="shared" si="34"/>
        <v>5.2175210169273158E-2</v>
      </c>
    </row>
    <row r="169" spans="2:9" x14ac:dyDescent="0.25">
      <c r="B169" s="183" t="s">
        <v>43</v>
      </c>
      <c r="C169" s="185">
        <f>PD!I21</f>
        <v>25864</v>
      </c>
      <c r="D169" s="185">
        <f>SUMIF('Projetos ciclo 2018-2022'!$C$7:$C$361,B169,'Projetos ciclo 2018-2022'!$BU$7:$BU$361)</f>
        <v>25460</v>
      </c>
      <c r="E169" s="185">
        <f>SUMIF('Projetos ciclo 2018-2022'!$C$7:$C$361,B169,'Projetos ciclo 2018-2022'!$EX$7:$EX$361)</f>
        <v>0</v>
      </c>
      <c r="F169" s="186">
        <f t="shared" si="35"/>
        <v>0</v>
      </c>
      <c r="G169" s="185">
        <f>SUMIF('Projetos ciclo 2018-2022'!$C$7:$C$361,B169,'Projetos ciclo 2018-2022'!$FC$7:$FC$361)</f>
        <v>4650.193359375</v>
      </c>
      <c r="H169" s="185">
        <f t="shared" si="33"/>
        <v>4650.193359375</v>
      </c>
      <c r="I169" s="186">
        <f t="shared" si="34"/>
        <v>0.182647029040652</v>
      </c>
    </row>
    <row r="170" spans="2:9" x14ac:dyDescent="0.25">
      <c r="B170" s="183" t="s">
        <v>44</v>
      </c>
      <c r="C170" s="185">
        <f>PD!I22</f>
        <v>204094.98699999999</v>
      </c>
      <c r="D170" s="185">
        <f>SUMIF('Projetos ciclo 2018-2022'!$C$7:$C$361,B170,'Projetos ciclo 2018-2022'!$BU$7:$BU$361)</f>
        <v>220023.02464182052</v>
      </c>
      <c r="E170" s="185">
        <f>SUMIF('Projetos ciclo 2018-2022'!$C$7:$C$361,B170,'Projetos ciclo 2018-2022'!$EX$7:$EX$361)</f>
        <v>14018.300717830658</v>
      </c>
      <c r="F170" s="186">
        <f t="shared" si="35"/>
        <v>6.3712880688970186E-2</v>
      </c>
      <c r="G170" s="185">
        <f>SUMIF('Projetos ciclo 2018-2022'!$C$7:$C$361,B170,'Projetos ciclo 2018-2022'!$FC$7:$FC$361)</f>
        <v>16675.00378472684</v>
      </c>
      <c r="H170" s="185">
        <f t="shared" si="33"/>
        <v>30693.304502557497</v>
      </c>
      <c r="I170" s="186">
        <f t="shared" si="34"/>
        <v>0.13950042070607693</v>
      </c>
    </row>
    <row r="171" spans="2:9" x14ac:dyDescent="0.25">
      <c r="B171" s="183" t="s">
        <v>45</v>
      </c>
      <c r="C171" s="185">
        <f>PD!I23</f>
        <v>8548.4</v>
      </c>
      <c r="D171" s="185">
        <f>SUMIF('Projetos ciclo 2018-2022'!$C$7:$C$361,B171,'Projetos ciclo 2018-2022'!$BU$7:$BU$361)</f>
        <v>8548.4</v>
      </c>
      <c r="E171" s="185">
        <f>SUMIF('Projetos ciclo 2018-2022'!$C$7:$C$361,B171,'Projetos ciclo 2018-2022'!$EX$7:$EX$361)</f>
        <v>0</v>
      </c>
      <c r="F171" s="186">
        <f t="shared" si="35"/>
        <v>0</v>
      </c>
      <c r="G171" s="185">
        <f>SUMIF('Projetos ciclo 2018-2022'!$C$7:$C$361,B171,'Projetos ciclo 2018-2022'!$FC$7:$FC$361)</f>
        <v>0</v>
      </c>
      <c r="H171" s="185">
        <f t="shared" si="33"/>
        <v>0</v>
      </c>
      <c r="I171" s="186">
        <f t="shared" si="34"/>
        <v>0</v>
      </c>
    </row>
    <row r="172" spans="2:9" x14ac:dyDescent="0.25">
      <c r="B172" s="183" t="s">
        <v>46</v>
      </c>
      <c r="C172" s="185">
        <f>PD!I25</f>
        <v>700</v>
      </c>
      <c r="D172" s="185">
        <f>SUMIF('Projetos ciclo 2018-2022'!$C$7:$C$361,B172,'Projetos ciclo 2018-2022'!$BU$7:$BU$361)</f>
        <v>700</v>
      </c>
      <c r="E172" s="185">
        <f>SUMIF('Projetos ciclo 2018-2022'!$C$7:$C$361,B172,'Projetos ciclo 2018-2022'!$EX$7:$EX$361)</f>
        <v>0</v>
      </c>
      <c r="F172" s="186">
        <f t="shared" si="35"/>
        <v>0</v>
      </c>
      <c r="G172" s="185">
        <f>SUMIF('Projetos ciclo 2018-2022'!$C$7:$C$361,B172,'Projetos ciclo 2018-2022'!$FC$7:$FC$361)</f>
        <v>47.248001098632812</v>
      </c>
      <c r="H172" s="185">
        <f t="shared" si="33"/>
        <v>47.248001098632812</v>
      </c>
      <c r="I172" s="186">
        <f t="shared" si="34"/>
        <v>6.7497144426618305E-2</v>
      </c>
    </row>
    <row r="173" spans="2:9" x14ac:dyDescent="0.25">
      <c r="B173" s="183" t="s">
        <v>47</v>
      </c>
      <c r="C173" s="185">
        <f>PD!I26</f>
        <v>1889</v>
      </c>
      <c r="D173" s="185">
        <f>SUMIF('Projetos ciclo 2018-2022'!$C$7:$C$361,B173,'Projetos ciclo 2018-2022'!$BU$7:$BU$361)</f>
        <v>1889.0000000000002</v>
      </c>
      <c r="E173" s="185">
        <f>SUMIF('Projetos ciclo 2018-2022'!$C$7:$C$361,B173,'Projetos ciclo 2018-2022'!$EX$7:$EX$361)</f>
        <v>7.6050000190734863</v>
      </c>
      <c r="F173" s="186">
        <f t="shared" si="35"/>
        <v>4.0259396607059215E-3</v>
      </c>
      <c r="G173" s="185">
        <f>SUMIF('Projetos ciclo 2018-2022'!$C$7:$C$361,B173,'Projetos ciclo 2018-2022'!$FC$7:$FC$361)</f>
        <v>14.723099708557129</v>
      </c>
      <c r="H173" s="185">
        <f t="shared" si="33"/>
        <v>22.328099727630615</v>
      </c>
      <c r="I173" s="186">
        <f t="shared" si="34"/>
        <v>1.1820063381487883E-2</v>
      </c>
    </row>
    <row r="174" spans="2:9" x14ac:dyDescent="0.25">
      <c r="B174" s="187" t="s">
        <v>1488</v>
      </c>
      <c r="C174" s="188">
        <f>SUM(C154:C173)</f>
        <v>356725.63664999104</v>
      </c>
      <c r="D174" s="188">
        <f>SUM(D154:D173)</f>
        <v>356725.63664999098</v>
      </c>
      <c r="E174" s="188">
        <f>SUM(E154:E173)</f>
        <v>15094.605648353696</v>
      </c>
      <c r="F174" s="189">
        <f t="shared" si="35"/>
        <v>4.2314328148958053E-2</v>
      </c>
      <c r="G174" s="188">
        <f>SUM(G154:G173)</f>
        <v>30123.272681761067</v>
      </c>
      <c r="H174" s="188">
        <f>SUM(H154:H173)</f>
        <v>45217.878330114763</v>
      </c>
      <c r="I174" s="190">
        <f t="shared" ref="I174" si="36">IFERROR((H174/D174),0)</f>
        <v>0.12675814038698108</v>
      </c>
    </row>
  </sheetData>
  <mergeCells count="30">
    <mergeCell ref="D83:D84"/>
    <mergeCell ref="B82:I82"/>
    <mergeCell ref="D8:D9"/>
    <mergeCell ref="D21:D22"/>
    <mergeCell ref="D39:D40"/>
    <mergeCell ref="D52:D53"/>
    <mergeCell ref="D70:D71"/>
    <mergeCell ref="C70:C71"/>
    <mergeCell ref="C83:C84"/>
    <mergeCell ref="B7:I7"/>
    <mergeCell ref="B20:I20"/>
    <mergeCell ref="B38:I38"/>
    <mergeCell ref="B51:I51"/>
    <mergeCell ref="B69:I69"/>
    <mergeCell ref="C8:C9"/>
    <mergeCell ref="C21:C22"/>
    <mergeCell ref="C39:C40"/>
    <mergeCell ref="C52:C53"/>
    <mergeCell ref="D101:D102"/>
    <mergeCell ref="D110:D111"/>
    <mergeCell ref="D124:D125"/>
    <mergeCell ref="D151:D152"/>
    <mergeCell ref="B100:I100"/>
    <mergeCell ref="B109:I109"/>
    <mergeCell ref="B123:I123"/>
    <mergeCell ref="B150:I150"/>
    <mergeCell ref="C101:C102"/>
    <mergeCell ref="C110:C111"/>
    <mergeCell ref="C124:C125"/>
    <mergeCell ref="C151:C152"/>
  </mergeCells>
  <pageMargins left="0.511811024" right="0.511811024" top="0.78740157499999996" bottom="0.78740157499999996" header="0.31496062000000002" footer="0.31496062000000002"/>
  <ignoredErrors>
    <ignoredError sqref="F17 F48 F17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85"/>
  <sheetViews>
    <sheetView showGridLines="0" topLeftCell="A16" workbookViewId="0">
      <selection activeCell="C28" sqref="C28"/>
    </sheetView>
  </sheetViews>
  <sheetFormatPr defaultRowHeight="15" x14ac:dyDescent="0.25"/>
  <cols>
    <col min="2" max="2" width="30.42578125" customWidth="1"/>
    <col min="3" max="3" width="12" customWidth="1"/>
    <col min="4" max="4" width="11.85546875" customWidth="1"/>
    <col min="5" max="5" width="12.42578125" customWidth="1"/>
    <col min="6" max="6" width="11.85546875" customWidth="1"/>
    <col min="7" max="7" width="12.140625" customWidth="1"/>
    <col min="8" max="8" width="12.85546875" customWidth="1"/>
  </cols>
  <sheetData>
    <row r="3" spans="2:8" ht="16.5" x14ac:dyDescent="0.3">
      <c r="B3" s="526" t="s">
        <v>57</v>
      </c>
      <c r="C3" s="526"/>
      <c r="D3" s="526"/>
      <c r="E3" s="526"/>
      <c r="F3" s="526"/>
      <c r="G3" s="526"/>
      <c r="H3" s="526"/>
    </row>
    <row r="4" spans="2:8" ht="16.5" x14ac:dyDescent="0.3">
      <c r="B4" s="45" t="s">
        <v>1041</v>
      </c>
      <c r="C4" s="43"/>
      <c r="D4" s="43"/>
      <c r="E4" s="43"/>
      <c r="F4" s="43"/>
      <c r="G4" s="43"/>
    </row>
    <row r="5" spans="2:8" ht="16.5" x14ac:dyDescent="0.3">
      <c r="B5" s="67" t="s">
        <v>57</v>
      </c>
      <c r="C5" s="67">
        <v>2018</v>
      </c>
      <c r="D5" s="67">
        <v>2019</v>
      </c>
      <c r="E5" s="67">
        <v>2020</v>
      </c>
      <c r="F5" s="67">
        <v>2021</v>
      </c>
      <c r="G5" s="67">
        <v>2022</v>
      </c>
      <c r="H5" s="67" t="s">
        <v>14</v>
      </c>
    </row>
    <row r="6" spans="2:8" ht="16.5" x14ac:dyDescent="0.3">
      <c r="B6" s="89" t="s">
        <v>1046</v>
      </c>
      <c r="C6" s="66">
        <f>50054</f>
        <v>50054</v>
      </c>
      <c r="D6" s="66">
        <f>50054</f>
        <v>50054</v>
      </c>
      <c r="E6" s="66">
        <f>66738</f>
        <v>66738</v>
      </c>
      <c r="F6" s="66">
        <f>83423</f>
        <v>83423</v>
      </c>
      <c r="G6" s="66">
        <f>83423-1</f>
        <v>83422</v>
      </c>
      <c r="H6" s="68">
        <f>SUM(C6:G6)</f>
        <v>333691</v>
      </c>
    </row>
    <row r="7" spans="2:8" ht="16.5" x14ac:dyDescent="0.3">
      <c r="B7" s="89" t="s">
        <v>1047</v>
      </c>
      <c r="C7" s="66"/>
      <c r="D7" s="66"/>
      <c r="E7" s="66"/>
      <c r="F7" s="66"/>
      <c r="G7" s="66"/>
      <c r="H7" s="68">
        <f>H6</f>
        <v>333691</v>
      </c>
    </row>
    <row r="8" spans="2:8" ht="16.5" x14ac:dyDescent="0.3">
      <c r="B8" s="89" t="s">
        <v>1045</v>
      </c>
      <c r="C8" s="66">
        <f>GETPIVOTDATA("2018",Resumo!$B$4,"Negócio","Distribuição")</f>
        <v>69957.157313967866</v>
      </c>
      <c r="D8" s="66">
        <f>GETPIVOTDATA("2019",Resumo!$B$4,"Negócio","Distribuição")</f>
        <v>89451.144437086536</v>
      </c>
      <c r="E8" s="66">
        <f>GETPIVOTDATA("2020",Resumo!$B$4,"Negócio","Distribuição")</f>
        <v>65279.377571619341</v>
      </c>
      <c r="F8" s="66">
        <f>GETPIVOTDATA("2021",Resumo!$B$4,"Negócio","Distribuição")</f>
        <v>52102.574358179481</v>
      </c>
      <c r="G8" s="66">
        <f>GETPIVOTDATA("2022",Resumo!$B$4,"Negócio","Distribuição")</f>
        <v>50814.725319137768</v>
      </c>
      <c r="H8" s="68">
        <f>SUM(C8:G8)</f>
        <v>327604.97899999097</v>
      </c>
    </row>
    <row r="9" spans="2:8" ht="16.5" x14ac:dyDescent="0.3">
      <c r="B9" s="89" t="s">
        <v>1044</v>
      </c>
      <c r="C9" s="66">
        <f>C8</f>
        <v>69957.157313967866</v>
      </c>
      <c r="D9" s="66">
        <f>C8+D8</f>
        <v>159408.30175105442</v>
      </c>
      <c r="E9" s="66">
        <f>E8+D9</f>
        <v>224687.67932267376</v>
      </c>
      <c r="F9" s="66">
        <f t="shared" ref="F9:G9" si="0">F8+E9</f>
        <v>276790.25368085323</v>
      </c>
      <c r="G9" s="66">
        <f t="shared" si="0"/>
        <v>327604.97899999097</v>
      </c>
      <c r="H9" s="68">
        <f>G9</f>
        <v>327604.97899999097</v>
      </c>
    </row>
    <row r="40" spans="9:9" x14ac:dyDescent="0.25">
      <c r="I40" s="109">
        <f>H9/H6</f>
        <v>0.98176150690306596</v>
      </c>
    </row>
    <row r="59" spans="2:8" ht="16.5" x14ac:dyDescent="0.3">
      <c r="H59" s="43"/>
    </row>
    <row r="61" spans="2:8" ht="16.5" x14ac:dyDescent="0.3">
      <c r="B61" s="526" t="s">
        <v>54</v>
      </c>
      <c r="C61" s="526"/>
      <c r="D61" s="526"/>
      <c r="E61" s="526"/>
      <c r="F61" s="526"/>
      <c r="G61" s="526"/>
      <c r="H61" s="526"/>
    </row>
    <row r="62" spans="2:8" ht="16.5" x14ac:dyDescent="0.3">
      <c r="B62" s="45" t="s">
        <v>1041</v>
      </c>
      <c r="C62" s="43"/>
      <c r="D62" s="43"/>
      <c r="E62" s="43"/>
      <c r="F62" s="43"/>
      <c r="G62" s="43"/>
    </row>
    <row r="63" spans="2:8" ht="16.5" x14ac:dyDescent="0.25">
      <c r="B63" s="69" t="s">
        <v>54</v>
      </c>
      <c r="C63" s="69">
        <v>2018</v>
      </c>
      <c r="D63" s="69">
        <v>2019</v>
      </c>
      <c r="E63" s="69">
        <v>2020</v>
      </c>
      <c r="F63" s="69">
        <v>2021</v>
      </c>
      <c r="G63" s="69">
        <v>2022</v>
      </c>
      <c r="H63" s="69" t="s">
        <v>14</v>
      </c>
    </row>
    <row r="64" spans="2:8" ht="16.5" x14ac:dyDescent="0.3">
      <c r="B64" s="89" t="s">
        <v>1046</v>
      </c>
      <c r="C64" s="129">
        <f>12283/5</f>
        <v>2456.6</v>
      </c>
      <c r="D64" s="129">
        <f t="shared" ref="D64:G64" si="1">12283/5</f>
        <v>2456.6</v>
      </c>
      <c r="E64" s="129">
        <f t="shared" si="1"/>
        <v>2456.6</v>
      </c>
      <c r="F64" s="129">
        <f t="shared" si="1"/>
        <v>2456.6</v>
      </c>
      <c r="G64" s="129">
        <f t="shared" si="1"/>
        <v>2456.6</v>
      </c>
      <c r="H64" s="130">
        <f>SUM(C64:G64)</f>
        <v>12283</v>
      </c>
    </row>
    <row r="65" spans="2:8" ht="16.5" x14ac:dyDescent="0.3">
      <c r="B65" s="89" t="s">
        <v>1047</v>
      </c>
      <c r="C65" s="129"/>
      <c r="D65" s="129"/>
      <c r="E65" s="129"/>
      <c r="F65" s="129"/>
      <c r="G65" s="129"/>
      <c r="H65" s="130">
        <f>H64</f>
        <v>12283</v>
      </c>
    </row>
    <row r="66" spans="2:8" ht="16.5" x14ac:dyDescent="0.3">
      <c r="B66" s="89" t="s">
        <v>1045</v>
      </c>
      <c r="C66" s="66">
        <f>GETPIVOTDATA("2018",Resumo!$B$4,"Negócio","Geração")</f>
        <v>2385.3743325702662</v>
      </c>
      <c r="D66" s="66">
        <f>GETPIVOTDATA("2019",Resumo!$B$4,"Negócio","Geração")</f>
        <v>2256.5879623186884</v>
      </c>
      <c r="E66" s="66">
        <f>GETPIVOTDATA("2020",Resumo!$B$4,"Negócio","Geração")</f>
        <v>2628.3198399761573</v>
      </c>
      <c r="F66" s="66">
        <f>GETPIVOTDATA("2021",Resumo!$B$4,"Negócio","Geração")</f>
        <v>2700.5</v>
      </c>
      <c r="G66" s="66">
        <f>GETPIVOTDATA("2022",Resumo!$B$4,"Negócio","Geração")</f>
        <v>2311.8755151348901</v>
      </c>
      <c r="H66" s="68">
        <f>SUM(C66:G66)</f>
        <v>12282.657650000003</v>
      </c>
    </row>
    <row r="67" spans="2:8" ht="16.5" x14ac:dyDescent="0.3">
      <c r="B67" s="89" t="s">
        <v>1044</v>
      </c>
      <c r="C67" s="66">
        <f>C66</f>
        <v>2385.3743325702662</v>
      </c>
      <c r="D67" s="66">
        <f>C66+D66</f>
        <v>4641.9622948889546</v>
      </c>
      <c r="E67" s="66">
        <f>E66+D67</f>
        <v>7270.2821348651123</v>
      </c>
      <c r="F67" s="66">
        <f t="shared" ref="F67" si="2">F66+E67</f>
        <v>9970.7821348651123</v>
      </c>
      <c r="G67" s="66">
        <f t="shared" ref="G67" si="3">G66+F67</f>
        <v>12282.657650000003</v>
      </c>
      <c r="H67" s="68">
        <f>G67</f>
        <v>12282.657650000003</v>
      </c>
    </row>
    <row r="100" spans="2:8" ht="16.5" x14ac:dyDescent="0.3">
      <c r="B100" s="526" t="s">
        <v>63</v>
      </c>
      <c r="C100" s="526"/>
      <c r="D100" s="526"/>
      <c r="E100" s="526"/>
      <c r="F100" s="526"/>
      <c r="G100" s="526"/>
      <c r="H100" s="526"/>
    </row>
    <row r="101" spans="2:8" ht="16.5" x14ac:dyDescent="0.3">
      <c r="B101" s="45" t="s">
        <v>1041</v>
      </c>
      <c r="C101" s="43"/>
      <c r="D101" s="43"/>
      <c r="E101" s="43"/>
      <c r="F101" s="43"/>
      <c r="G101" s="43"/>
    </row>
    <row r="102" spans="2:8" ht="16.5" x14ac:dyDescent="0.25">
      <c r="B102" s="69" t="s">
        <v>63</v>
      </c>
      <c r="C102" s="69">
        <v>2018</v>
      </c>
      <c r="D102" s="69">
        <v>2019</v>
      </c>
      <c r="E102" s="69">
        <v>2020</v>
      </c>
      <c r="F102" s="69">
        <v>2021</v>
      </c>
      <c r="G102" s="69">
        <v>2022</v>
      </c>
      <c r="H102" s="69" t="s">
        <v>14</v>
      </c>
    </row>
    <row r="103" spans="2:8" ht="16.5" x14ac:dyDescent="0.3">
      <c r="B103" s="89" t="s">
        <v>1046</v>
      </c>
      <c r="C103" s="66">
        <f>2700</f>
        <v>2700</v>
      </c>
      <c r="D103" s="66">
        <v>2752</v>
      </c>
      <c r="E103" s="66">
        <v>2846</v>
      </c>
      <c r="F103" s="66">
        <v>2940</v>
      </c>
      <c r="G103" s="66">
        <v>3011</v>
      </c>
      <c r="H103" s="68">
        <f>SUM(C103:G103)</f>
        <v>14249</v>
      </c>
    </row>
    <row r="104" spans="2:8" ht="16.5" x14ac:dyDescent="0.3">
      <c r="B104" s="89" t="s">
        <v>1047</v>
      </c>
      <c r="C104" s="66"/>
      <c r="D104" s="66"/>
      <c r="E104" s="66"/>
      <c r="F104" s="66"/>
      <c r="G104" s="66"/>
      <c r="H104" s="68">
        <f>H103</f>
        <v>14249</v>
      </c>
    </row>
    <row r="105" spans="2:8" ht="16.5" x14ac:dyDescent="0.3">
      <c r="B105" s="89" t="s">
        <v>1045</v>
      </c>
      <c r="C105" s="66">
        <f>GETPIVOTDATA("2018",Resumo!$B$4,"Negócio","Transmissão")</f>
        <v>2441.6929174855413</v>
      </c>
      <c r="D105" s="66">
        <f>GETPIVOTDATA("2019",Resumo!$B$4,"Negócio","Transmissão")</f>
        <v>4494.0944475144588</v>
      </c>
      <c r="E105" s="66">
        <f>GETPIVOTDATA("2020",Resumo!$B$4,"Negócio","Transmissão")</f>
        <v>2338.4936449999996</v>
      </c>
      <c r="F105" s="66">
        <f>GETPIVOTDATA("2021",Resumo!$B$4,"Negócio","Transmissão")</f>
        <v>4641.2189899999994</v>
      </c>
      <c r="G105" s="66">
        <f>GETPIVOTDATA("2022",Resumo!$B$4,"Negócio","Transmissão")</f>
        <v>333.5</v>
      </c>
      <c r="H105" s="68">
        <f>SUM(C105:G105)</f>
        <v>14248.999999999998</v>
      </c>
    </row>
    <row r="106" spans="2:8" ht="16.5" x14ac:dyDescent="0.3">
      <c r="B106" s="89" t="s">
        <v>1044</v>
      </c>
      <c r="C106" s="66">
        <f>C105</f>
        <v>2441.6929174855413</v>
      </c>
      <c r="D106" s="66">
        <f>C105+D105</f>
        <v>6935.7873650000001</v>
      </c>
      <c r="E106" s="66">
        <f>E105+D106</f>
        <v>9274.2810099999988</v>
      </c>
      <c r="F106" s="66">
        <f t="shared" ref="F106" si="4">F105+E106</f>
        <v>13915.499999999998</v>
      </c>
      <c r="G106" s="66">
        <f t="shared" ref="G106" si="5">G105+F106</f>
        <v>14248.999999999998</v>
      </c>
      <c r="H106" s="68">
        <f>G106</f>
        <v>14248.999999999998</v>
      </c>
    </row>
    <row r="107" spans="2:8" ht="16.5" x14ac:dyDescent="0.3">
      <c r="B107" s="90"/>
      <c r="C107" s="91"/>
      <c r="D107" s="91"/>
      <c r="E107" s="91"/>
      <c r="F107" s="91"/>
      <c r="G107" s="91"/>
      <c r="H107" s="92"/>
    </row>
    <row r="113" spans="10:10" x14ac:dyDescent="0.25">
      <c r="J113" t="s">
        <v>52</v>
      </c>
    </row>
    <row r="142" spans="2:8" ht="16.5" x14ac:dyDescent="0.3">
      <c r="B142" s="526" t="s">
        <v>406</v>
      </c>
      <c r="C142" s="526"/>
      <c r="D142" s="526"/>
      <c r="E142" s="526"/>
      <c r="F142" s="526"/>
      <c r="G142" s="526"/>
      <c r="H142" s="526"/>
    </row>
    <row r="143" spans="2:8" ht="16.5" x14ac:dyDescent="0.3">
      <c r="B143" s="45" t="s">
        <v>1041</v>
      </c>
      <c r="C143" s="43"/>
      <c r="D143" s="43"/>
      <c r="E143" s="43"/>
      <c r="F143" s="43"/>
      <c r="G143" s="43"/>
    </row>
    <row r="144" spans="2:8" ht="16.5" x14ac:dyDescent="0.25">
      <c r="B144" s="69" t="s">
        <v>406</v>
      </c>
      <c r="C144" s="69">
        <v>2018</v>
      </c>
      <c r="D144" s="69">
        <v>2019</v>
      </c>
      <c r="E144" s="69">
        <v>2020</v>
      </c>
      <c r="F144" s="69">
        <v>2021</v>
      </c>
      <c r="G144" s="69">
        <v>2022</v>
      </c>
      <c r="H144" s="69" t="s">
        <v>14</v>
      </c>
    </row>
    <row r="145" spans="2:8" ht="16.5" x14ac:dyDescent="0.3">
      <c r="B145" s="89" t="s">
        <v>1046</v>
      </c>
      <c r="C145" s="66">
        <v>0</v>
      </c>
      <c r="D145" s="66">
        <v>0</v>
      </c>
      <c r="E145" s="66">
        <v>0</v>
      </c>
      <c r="F145" s="66">
        <v>0</v>
      </c>
      <c r="G145" s="66">
        <v>0</v>
      </c>
      <c r="H145" s="93">
        <f>SUM(C145:G145)</f>
        <v>0</v>
      </c>
    </row>
    <row r="146" spans="2:8" ht="16.5" x14ac:dyDescent="0.3">
      <c r="B146" s="89" t="s">
        <v>1047</v>
      </c>
      <c r="C146" s="66"/>
      <c r="D146" s="66"/>
      <c r="E146" s="66"/>
      <c r="F146" s="66"/>
      <c r="G146" s="66"/>
      <c r="H146" s="93">
        <f>H145</f>
        <v>0</v>
      </c>
    </row>
    <row r="147" spans="2:8" ht="16.5" x14ac:dyDescent="0.3">
      <c r="B147" s="89" t="s">
        <v>1042</v>
      </c>
      <c r="C147" s="66">
        <f>GETPIVOTDATA("2018",Resumo!$B$4,"Negócio","Holding")</f>
        <v>310.00000000000023</v>
      </c>
      <c r="D147" s="66">
        <f>GETPIVOTDATA("2019",Resumo!$B$4,"Negócio","Holding")</f>
        <v>90</v>
      </c>
      <c r="E147" s="66">
        <f>GETPIVOTDATA("2020",Resumo!$B$4,"Negócio","Holding")</f>
        <v>165</v>
      </c>
      <c r="F147" s="66">
        <f>GETPIVOTDATA("2021",Resumo!$B$4,"Negócio","Holding")</f>
        <v>962</v>
      </c>
      <c r="G147" s="66">
        <f>GETPIVOTDATA("2022",Resumo!$B$4,"Negócio","Holding")</f>
        <v>1062</v>
      </c>
      <c r="H147" s="68">
        <f>SUM(C147:G147)</f>
        <v>2589</v>
      </c>
    </row>
    <row r="148" spans="2:8" ht="16.5" x14ac:dyDescent="0.3">
      <c r="B148" s="89" t="s">
        <v>1044</v>
      </c>
      <c r="C148" s="66">
        <f>C147</f>
        <v>310.00000000000023</v>
      </c>
      <c r="D148" s="66">
        <f>C147+D147</f>
        <v>400.00000000000023</v>
      </c>
      <c r="E148" s="66">
        <f>E147+D148</f>
        <v>565.00000000000023</v>
      </c>
      <c r="F148" s="66">
        <f t="shared" ref="F148" si="6">F147+E148</f>
        <v>1527.0000000000002</v>
      </c>
      <c r="G148" s="66">
        <f t="shared" ref="G148" si="7">G147+F148</f>
        <v>2589</v>
      </c>
      <c r="H148" s="68">
        <f>G148</f>
        <v>2589</v>
      </c>
    </row>
    <row r="149" spans="2:8" ht="16.5" x14ac:dyDescent="0.3">
      <c r="B149" s="90"/>
      <c r="C149" s="91"/>
      <c r="D149" s="91"/>
      <c r="E149" s="91"/>
      <c r="F149" s="91"/>
      <c r="G149" s="91"/>
      <c r="H149" s="92"/>
    </row>
    <row r="150" spans="2:8" ht="16.5" x14ac:dyDescent="0.3">
      <c r="B150" s="90"/>
      <c r="C150" s="91"/>
      <c r="D150" s="91"/>
      <c r="E150" s="91"/>
      <c r="F150" s="91"/>
      <c r="G150" s="91"/>
      <c r="H150" s="92"/>
    </row>
    <row r="151" spans="2:8" ht="16.5" x14ac:dyDescent="0.3">
      <c r="B151" s="90"/>
      <c r="C151" s="91"/>
      <c r="D151" s="91"/>
      <c r="E151" s="91"/>
      <c r="F151" s="91"/>
      <c r="G151" s="91"/>
      <c r="H151" s="92"/>
    </row>
    <row r="152" spans="2:8" ht="16.5" x14ac:dyDescent="0.3">
      <c r="B152" s="90"/>
      <c r="C152" s="91"/>
      <c r="D152" s="91"/>
      <c r="E152" s="91"/>
      <c r="F152" s="91"/>
      <c r="G152" s="91"/>
      <c r="H152" s="92"/>
    </row>
    <row r="153" spans="2:8" ht="16.5" x14ac:dyDescent="0.3">
      <c r="B153" s="90"/>
      <c r="C153" s="91"/>
      <c r="D153" s="91"/>
      <c r="E153" s="91"/>
      <c r="F153" s="91"/>
      <c r="G153" s="91"/>
      <c r="H153" s="92"/>
    </row>
    <row r="154" spans="2:8" ht="16.5" x14ac:dyDescent="0.3">
      <c r="B154" s="90"/>
      <c r="C154" s="91"/>
      <c r="D154" s="91"/>
      <c r="E154" s="91"/>
      <c r="F154" s="91"/>
      <c r="G154" s="91"/>
      <c r="H154" s="92"/>
    </row>
    <row r="155" spans="2:8" ht="16.5" x14ac:dyDescent="0.3">
      <c r="B155" s="90"/>
      <c r="C155" s="91"/>
      <c r="D155" s="91"/>
      <c r="E155" s="91"/>
      <c r="F155" s="91"/>
      <c r="G155" s="91"/>
      <c r="H155" s="92"/>
    </row>
    <row r="156" spans="2:8" ht="16.5" x14ac:dyDescent="0.3">
      <c r="B156" s="90"/>
      <c r="C156" s="91"/>
      <c r="D156" s="91"/>
      <c r="E156" s="91"/>
      <c r="F156" s="91"/>
      <c r="G156" s="91"/>
      <c r="H156" s="92"/>
    </row>
    <row r="157" spans="2:8" ht="16.5" x14ac:dyDescent="0.3">
      <c r="B157" s="90"/>
      <c r="C157" s="91"/>
      <c r="D157" s="91"/>
      <c r="E157" s="91"/>
      <c r="F157" s="91"/>
      <c r="G157" s="91"/>
      <c r="H157" s="92"/>
    </row>
    <row r="158" spans="2:8" ht="16.5" x14ac:dyDescent="0.3">
      <c r="B158" s="90"/>
      <c r="C158" s="91"/>
      <c r="D158" s="91"/>
      <c r="E158" s="91"/>
      <c r="F158" s="91"/>
      <c r="G158" s="91"/>
      <c r="H158" s="92"/>
    </row>
    <row r="159" spans="2:8" ht="16.5" x14ac:dyDescent="0.3">
      <c r="B159" s="90"/>
      <c r="C159" s="91"/>
      <c r="D159" s="91"/>
      <c r="E159" s="91"/>
      <c r="F159" s="91"/>
      <c r="G159" s="91"/>
      <c r="H159" s="92"/>
    </row>
    <row r="160" spans="2:8" ht="16.5" x14ac:dyDescent="0.3">
      <c r="B160" s="90"/>
      <c r="C160" s="91"/>
      <c r="D160" s="91"/>
      <c r="E160" s="91"/>
      <c r="F160" s="91"/>
      <c r="G160" s="91"/>
      <c r="H160" s="92"/>
    </row>
    <row r="161" spans="2:8" ht="16.5" x14ac:dyDescent="0.3">
      <c r="B161" s="90"/>
      <c r="C161" s="91"/>
      <c r="D161" s="91"/>
      <c r="E161" s="91"/>
      <c r="F161" s="91"/>
      <c r="G161" s="91"/>
      <c r="H161" s="92"/>
    </row>
    <row r="182" spans="2:7" ht="16.5" x14ac:dyDescent="0.3">
      <c r="B182" s="45" t="s">
        <v>1041</v>
      </c>
    </row>
    <row r="183" spans="2:7" ht="16.5" x14ac:dyDescent="0.25">
      <c r="B183" s="69"/>
      <c r="C183" s="69" t="s">
        <v>57</v>
      </c>
      <c r="D183" s="69" t="s">
        <v>54</v>
      </c>
      <c r="E183" s="69" t="s">
        <v>63</v>
      </c>
      <c r="F183" s="69" t="s">
        <v>406</v>
      </c>
      <c r="G183" s="69" t="s">
        <v>14</v>
      </c>
    </row>
    <row r="184" spans="2:7" ht="16.5" x14ac:dyDescent="0.3">
      <c r="B184" s="65" t="s">
        <v>1043</v>
      </c>
      <c r="C184" s="66">
        <f>H6/1000</f>
        <v>333.69099999999997</v>
      </c>
      <c r="D184" s="66">
        <f>H64/1000</f>
        <v>12.282999999999999</v>
      </c>
      <c r="E184" s="66">
        <f>H103/1000</f>
        <v>14.249000000000001</v>
      </c>
      <c r="F184" s="66">
        <v>0</v>
      </c>
      <c r="G184" s="66">
        <f>SUM(C184:F184)</f>
        <v>360.22300000000001</v>
      </c>
    </row>
    <row r="185" spans="2:7" ht="16.5" x14ac:dyDescent="0.3">
      <c r="B185" s="65" t="s">
        <v>1042</v>
      </c>
      <c r="C185" s="66">
        <f>H9/1000</f>
        <v>327.60497899999098</v>
      </c>
      <c r="D185" s="66">
        <f>H66/1000</f>
        <v>12.282657650000003</v>
      </c>
      <c r="E185" s="66">
        <f>H105/1000</f>
        <v>14.248999999999999</v>
      </c>
      <c r="F185" s="66">
        <f>H147/1000</f>
        <v>2.589</v>
      </c>
      <c r="G185" s="66">
        <f>SUM(C185:F185)</f>
        <v>356.72563664999097</v>
      </c>
    </row>
  </sheetData>
  <mergeCells count="4">
    <mergeCell ref="B3:H3"/>
    <mergeCell ref="B61:H61"/>
    <mergeCell ref="B100:H100"/>
    <mergeCell ref="B142:H142"/>
  </mergeCells>
  <pageMargins left="0.511811024" right="0.511811024" top="0.78740157499999996" bottom="0.78740157499999996" header="0.31496062000000002" footer="0.31496062000000002"/>
  <pageSetup orientation="portrait" r:id="rId1"/>
  <ignoredErrors>
    <ignoredError sqref="H65 H7 H104 H146"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9"/>
  <sheetViews>
    <sheetView workbookViewId="0">
      <pane xSplit="1" ySplit="3" topLeftCell="B169" activePane="bottomRight" state="frozen"/>
      <selection pane="topRight" activeCell="B1" sqref="B1"/>
      <selection pane="bottomLeft" activeCell="A4" sqref="A4"/>
      <selection pane="bottomRight" activeCell="B4" sqref="B4"/>
    </sheetView>
  </sheetViews>
  <sheetFormatPr defaultRowHeight="15" x14ac:dyDescent="0.25"/>
  <cols>
    <col min="1" max="1" width="11" bestFit="1" customWidth="1"/>
    <col min="2" max="2" width="40" customWidth="1"/>
    <col min="3" max="3" width="19.85546875" bestFit="1" customWidth="1"/>
    <col min="4" max="4" width="17.28515625" bestFit="1" customWidth="1"/>
    <col min="5" max="5" width="11" bestFit="1" customWidth="1"/>
    <col min="6" max="6" width="12.140625" bestFit="1" customWidth="1"/>
    <col min="7" max="7" width="12.85546875" bestFit="1" customWidth="1"/>
    <col min="8" max="8" width="12" bestFit="1" customWidth="1"/>
    <col min="9" max="9" width="14.42578125" bestFit="1" customWidth="1"/>
    <col min="10" max="10" width="12" bestFit="1" customWidth="1"/>
    <col min="11" max="11" width="14.42578125" bestFit="1" customWidth="1"/>
    <col min="12" max="12" width="13.5703125" bestFit="1" customWidth="1"/>
    <col min="13" max="13" width="17" bestFit="1" customWidth="1"/>
    <col min="14" max="15" width="11" bestFit="1" customWidth="1"/>
    <col min="16" max="16" width="35.5703125" bestFit="1" customWidth="1"/>
    <col min="17" max="18" width="11" bestFit="1" customWidth="1"/>
    <col min="19" max="21" width="12" bestFit="1"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527" t="s">
        <v>1409</v>
      </c>
      <c r="B2" s="527" t="s">
        <v>1410</v>
      </c>
      <c r="C2" s="527" t="s">
        <v>1411</v>
      </c>
      <c r="D2" s="529" t="s">
        <v>1412</v>
      </c>
      <c r="E2" s="159" t="s">
        <v>1413</v>
      </c>
      <c r="F2" s="160"/>
      <c r="G2" s="161"/>
      <c r="H2" s="160"/>
      <c r="I2" s="162" t="s">
        <v>1414</v>
      </c>
      <c r="J2" s="163">
        <v>43190</v>
      </c>
      <c r="K2" s="162"/>
      <c r="L2" s="162"/>
      <c r="M2" s="164"/>
      <c r="N2" s="165"/>
      <c r="O2" s="162"/>
      <c r="P2" s="162" t="s">
        <v>1415</v>
      </c>
      <c r="Q2" s="162"/>
      <c r="R2" s="162"/>
      <c r="S2" s="162"/>
      <c r="T2" s="162"/>
      <c r="U2" s="166"/>
    </row>
    <row r="3" spans="1:21"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1"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row>
    <row r="5" spans="1:21"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row>
    <row r="6" spans="1:21" x14ac:dyDescent="0.25">
      <c r="A6" s="149" t="s">
        <v>1444</v>
      </c>
      <c r="B6" s="150" t="s">
        <v>1445</v>
      </c>
      <c r="C6" s="150" t="s">
        <v>1446</v>
      </c>
      <c r="D6" s="151">
        <v>782</v>
      </c>
      <c r="E6" s="152">
        <v>0</v>
      </c>
      <c r="F6" s="151">
        <v>782</v>
      </c>
      <c r="G6" s="152">
        <v>0</v>
      </c>
      <c r="H6" s="151">
        <v>0</v>
      </c>
      <c r="I6" s="152">
        <v>0</v>
      </c>
      <c r="J6" s="151">
        <v>0</v>
      </c>
      <c r="K6" s="152">
        <v>0</v>
      </c>
      <c r="L6" s="151">
        <v>0</v>
      </c>
      <c r="M6" s="152">
        <v>0</v>
      </c>
      <c r="N6" s="151">
        <v>0</v>
      </c>
      <c r="O6" s="152">
        <v>0</v>
      </c>
      <c r="P6" s="151">
        <v>0</v>
      </c>
      <c r="Q6" s="152">
        <v>0</v>
      </c>
      <c r="R6" s="151">
        <v>0</v>
      </c>
      <c r="S6" s="152">
        <v>0</v>
      </c>
      <c r="T6" s="151">
        <v>0</v>
      </c>
      <c r="U6" s="153">
        <v>0</v>
      </c>
    </row>
    <row r="7" spans="1:21" x14ac:dyDescent="0.25">
      <c r="A7" s="21" t="s">
        <v>565</v>
      </c>
      <c r="B7" s="154" t="s">
        <v>1198</v>
      </c>
      <c r="C7" s="154" t="s">
        <v>59</v>
      </c>
      <c r="D7" s="155">
        <v>1854</v>
      </c>
      <c r="E7" s="158">
        <v>0</v>
      </c>
      <c r="F7" s="155">
        <v>0</v>
      </c>
      <c r="G7" s="158">
        <v>0</v>
      </c>
      <c r="H7" s="155">
        <v>0</v>
      </c>
      <c r="I7" s="158">
        <v>0</v>
      </c>
      <c r="J7" s="155">
        <v>0</v>
      </c>
      <c r="K7" s="158">
        <v>0</v>
      </c>
      <c r="L7" s="155">
        <v>0</v>
      </c>
      <c r="M7" s="158">
        <v>0</v>
      </c>
      <c r="N7" s="155">
        <v>634</v>
      </c>
      <c r="O7" s="158">
        <v>435</v>
      </c>
      <c r="P7" s="155">
        <v>360</v>
      </c>
      <c r="Q7" s="158">
        <v>425</v>
      </c>
      <c r="R7" s="155">
        <v>0</v>
      </c>
      <c r="S7" s="158">
        <v>0</v>
      </c>
      <c r="T7" s="155">
        <v>0</v>
      </c>
      <c r="U7" s="157">
        <v>0</v>
      </c>
    </row>
    <row r="8" spans="1:21" x14ac:dyDescent="0.25">
      <c r="A8" s="149" t="s">
        <v>1199</v>
      </c>
      <c r="B8" s="150" t="s">
        <v>1200</v>
      </c>
      <c r="C8" s="150" t="s">
        <v>59</v>
      </c>
      <c r="D8" s="151">
        <v>0</v>
      </c>
      <c r="E8" s="152">
        <v>0</v>
      </c>
      <c r="F8" s="151">
        <v>0</v>
      </c>
      <c r="G8" s="152">
        <v>0</v>
      </c>
      <c r="H8" s="151">
        <v>0</v>
      </c>
      <c r="I8" s="152">
        <v>0</v>
      </c>
      <c r="J8" s="151">
        <v>0</v>
      </c>
      <c r="K8" s="152">
        <v>0</v>
      </c>
      <c r="L8" s="151">
        <v>0</v>
      </c>
      <c r="M8" s="152">
        <v>0</v>
      </c>
      <c r="N8" s="151">
        <v>0</v>
      </c>
      <c r="O8" s="152">
        <v>0</v>
      </c>
      <c r="P8" s="151">
        <v>0</v>
      </c>
      <c r="Q8" s="152">
        <v>0</v>
      </c>
      <c r="R8" s="151">
        <v>0</v>
      </c>
      <c r="S8" s="152">
        <v>0</v>
      </c>
      <c r="T8" s="151">
        <v>0</v>
      </c>
      <c r="U8" s="153">
        <v>0</v>
      </c>
    </row>
    <row r="9" spans="1:21" x14ac:dyDescent="0.25">
      <c r="A9" s="21" t="s">
        <v>1194</v>
      </c>
      <c r="B9" s="154" t="s">
        <v>1201</v>
      </c>
      <c r="C9" s="154" t="s">
        <v>59</v>
      </c>
      <c r="D9" s="155">
        <v>0</v>
      </c>
      <c r="E9" s="158">
        <v>0</v>
      </c>
      <c r="F9" s="155">
        <v>0</v>
      </c>
      <c r="G9" s="158">
        <v>0</v>
      </c>
      <c r="H9" s="155">
        <v>0</v>
      </c>
      <c r="I9" s="158">
        <v>0</v>
      </c>
      <c r="J9" s="155">
        <v>0</v>
      </c>
      <c r="K9" s="158">
        <v>0</v>
      </c>
      <c r="L9" s="155">
        <v>0</v>
      </c>
      <c r="M9" s="158">
        <v>0</v>
      </c>
      <c r="N9" s="155">
        <v>0</v>
      </c>
      <c r="O9" s="158">
        <v>0</v>
      </c>
      <c r="P9" s="155">
        <v>0</v>
      </c>
      <c r="Q9" s="158">
        <v>0</v>
      </c>
      <c r="R9" s="155">
        <v>0</v>
      </c>
      <c r="S9" s="158">
        <v>0</v>
      </c>
      <c r="T9" s="155">
        <v>0</v>
      </c>
      <c r="U9" s="157">
        <v>0</v>
      </c>
    </row>
    <row r="10" spans="1:21" x14ac:dyDescent="0.25">
      <c r="A10" s="149" t="s">
        <v>1196</v>
      </c>
      <c r="B10" s="150" t="s">
        <v>1197</v>
      </c>
      <c r="C10" s="150" t="s">
        <v>59</v>
      </c>
      <c r="D10" s="151">
        <v>0</v>
      </c>
      <c r="E10" s="152">
        <v>0</v>
      </c>
      <c r="F10" s="151">
        <v>0</v>
      </c>
      <c r="G10" s="152">
        <v>0</v>
      </c>
      <c r="H10" s="151">
        <v>0</v>
      </c>
      <c r="I10" s="152">
        <v>0</v>
      </c>
      <c r="J10" s="151">
        <v>0</v>
      </c>
      <c r="K10" s="152">
        <v>0</v>
      </c>
      <c r="L10" s="151">
        <v>0</v>
      </c>
      <c r="M10" s="152">
        <v>0</v>
      </c>
      <c r="N10" s="151">
        <v>0</v>
      </c>
      <c r="O10" s="152">
        <v>0</v>
      </c>
      <c r="P10" s="151">
        <v>0</v>
      </c>
      <c r="Q10" s="152">
        <v>0</v>
      </c>
      <c r="R10" s="151">
        <v>0</v>
      </c>
      <c r="S10" s="152">
        <v>0</v>
      </c>
      <c r="T10" s="151">
        <v>0</v>
      </c>
      <c r="U10" s="153">
        <v>0</v>
      </c>
    </row>
    <row r="11" spans="1:21" x14ac:dyDescent="0.25">
      <c r="A11" s="21" t="s">
        <v>565</v>
      </c>
      <c r="B11" s="154" t="s">
        <v>1198</v>
      </c>
      <c r="C11" s="154" t="s">
        <v>59</v>
      </c>
      <c r="D11" s="155">
        <v>139</v>
      </c>
      <c r="E11" s="158">
        <v>0</v>
      </c>
      <c r="F11" s="155">
        <v>0</v>
      </c>
      <c r="G11" s="158">
        <v>0</v>
      </c>
      <c r="H11" s="155">
        <v>0</v>
      </c>
      <c r="I11" s="158">
        <v>0</v>
      </c>
      <c r="J11" s="155">
        <v>0</v>
      </c>
      <c r="K11" s="158">
        <v>0</v>
      </c>
      <c r="L11" s="155">
        <v>0</v>
      </c>
      <c r="M11" s="158">
        <v>0</v>
      </c>
      <c r="N11" s="155">
        <v>16</v>
      </c>
      <c r="O11" s="158">
        <v>30</v>
      </c>
      <c r="P11" s="155">
        <v>50</v>
      </c>
      <c r="Q11" s="158">
        <v>43</v>
      </c>
      <c r="R11" s="155">
        <v>0</v>
      </c>
      <c r="S11" s="158">
        <v>0</v>
      </c>
      <c r="T11" s="155">
        <v>0</v>
      </c>
      <c r="U11" s="157">
        <v>0</v>
      </c>
    </row>
    <row r="12" spans="1:21" x14ac:dyDescent="0.25">
      <c r="A12" s="149" t="s">
        <v>1199</v>
      </c>
      <c r="B12" s="150" t="s">
        <v>1200</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row>
    <row r="13" spans="1:21" x14ac:dyDescent="0.25">
      <c r="A13" s="21" t="s">
        <v>1202</v>
      </c>
      <c r="B13" s="154" t="s">
        <v>1203</v>
      </c>
      <c r="C13" s="154" t="s">
        <v>1204</v>
      </c>
      <c r="D13" s="155">
        <v>29</v>
      </c>
      <c r="E13" s="158">
        <v>0</v>
      </c>
      <c r="F13" s="155">
        <v>29</v>
      </c>
      <c r="G13" s="158">
        <v>0</v>
      </c>
      <c r="H13" s="155">
        <v>0</v>
      </c>
      <c r="I13" s="158">
        <v>0</v>
      </c>
      <c r="J13" s="155">
        <v>0</v>
      </c>
      <c r="K13" s="158">
        <v>0</v>
      </c>
      <c r="L13" s="155">
        <v>0</v>
      </c>
      <c r="M13" s="158">
        <v>0</v>
      </c>
      <c r="N13" s="155">
        <v>0</v>
      </c>
      <c r="O13" s="158">
        <v>0</v>
      </c>
      <c r="P13" s="155">
        <v>0</v>
      </c>
      <c r="Q13" s="158">
        <v>0</v>
      </c>
      <c r="R13" s="155">
        <v>0</v>
      </c>
      <c r="S13" s="158">
        <v>0</v>
      </c>
      <c r="T13" s="155">
        <v>0</v>
      </c>
      <c r="U13" s="157">
        <v>0</v>
      </c>
    </row>
    <row r="14" spans="1:21" x14ac:dyDescent="0.25">
      <c r="A14" s="149" t="s">
        <v>1194</v>
      </c>
      <c r="B14" s="150" t="s">
        <v>1205</v>
      </c>
      <c r="C14" s="150" t="s">
        <v>59</v>
      </c>
      <c r="D14" s="151">
        <v>0</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row>
    <row r="15" spans="1:21" x14ac:dyDescent="0.25">
      <c r="A15" s="21" t="s">
        <v>1196</v>
      </c>
      <c r="B15" s="154" t="s">
        <v>1197</v>
      </c>
      <c r="C15" s="154" t="s">
        <v>59</v>
      </c>
      <c r="D15" s="155">
        <v>0</v>
      </c>
      <c r="E15" s="158">
        <v>0</v>
      </c>
      <c r="F15" s="155">
        <v>0</v>
      </c>
      <c r="G15" s="158">
        <v>0</v>
      </c>
      <c r="H15" s="155">
        <v>0</v>
      </c>
      <c r="I15" s="158">
        <v>0</v>
      </c>
      <c r="J15" s="155">
        <v>0</v>
      </c>
      <c r="K15" s="158">
        <v>0</v>
      </c>
      <c r="L15" s="155">
        <v>0</v>
      </c>
      <c r="M15" s="158">
        <v>0</v>
      </c>
      <c r="N15" s="155">
        <v>0</v>
      </c>
      <c r="O15" s="158">
        <v>0</v>
      </c>
      <c r="P15" s="155">
        <v>0</v>
      </c>
      <c r="Q15" s="158">
        <v>0</v>
      </c>
      <c r="R15" s="155">
        <v>0</v>
      </c>
      <c r="S15" s="158">
        <v>0</v>
      </c>
      <c r="T15" s="155">
        <v>0</v>
      </c>
      <c r="U15" s="157">
        <v>0</v>
      </c>
    </row>
    <row r="16" spans="1:21" x14ac:dyDescent="0.25">
      <c r="A16" s="149" t="s">
        <v>565</v>
      </c>
      <c r="B16" s="150" t="s">
        <v>1198</v>
      </c>
      <c r="C16" s="150" t="s">
        <v>59</v>
      </c>
      <c r="D16" s="151">
        <v>896</v>
      </c>
      <c r="E16" s="152">
        <v>0</v>
      </c>
      <c r="F16" s="151">
        <v>0</v>
      </c>
      <c r="G16" s="152">
        <v>0</v>
      </c>
      <c r="H16" s="151">
        <v>0</v>
      </c>
      <c r="I16" s="152">
        <v>0</v>
      </c>
      <c r="J16" s="151">
        <v>0</v>
      </c>
      <c r="K16" s="152">
        <v>0</v>
      </c>
      <c r="L16" s="151">
        <v>0</v>
      </c>
      <c r="M16" s="152">
        <v>0</v>
      </c>
      <c r="N16" s="151">
        <v>351.5</v>
      </c>
      <c r="O16" s="152">
        <v>214.5</v>
      </c>
      <c r="P16" s="151">
        <v>51.5</v>
      </c>
      <c r="Q16" s="152">
        <v>278.5</v>
      </c>
      <c r="R16" s="151">
        <v>0</v>
      </c>
      <c r="S16" s="152">
        <v>0</v>
      </c>
      <c r="T16" s="151">
        <v>0</v>
      </c>
      <c r="U16" s="153">
        <v>0</v>
      </c>
    </row>
    <row r="17" spans="1:21" x14ac:dyDescent="0.25">
      <c r="A17" s="21" t="s">
        <v>1199</v>
      </c>
      <c r="B17" s="154" t="s">
        <v>1200</v>
      </c>
      <c r="C17" s="154" t="s">
        <v>59</v>
      </c>
      <c r="D17" s="155">
        <v>0</v>
      </c>
      <c r="E17" s="158">
        <v>0</v>
      </c>
      <c r="F17" s="155">
        <v>0</v>
      </c>
      <c r="G17" s="158">
        <v>0</v>
      </c>
      <c r="H17" s="155">
        <v>0</v>
      </c>
      <c r="I17" s="158">
        <v>0</v>
      </c>
      <c r="J17" s="155">
        <v>0</v>
      </c>
      <c r="K17" s="158">
        <v>0</v>
      </c>
      <c r="L17" s="155">
        <v>0</v>
      </c>
      <c r="M17" s="158">
        <v>0</v>
      </c>
      <c r="N17" s="155">
        <v>0</v>
      </c>
      <c r="O17" s="158">
        <v>0</v>
      </c>
      <c r="P17" s="155">
        <v>0</v>
      </c>
      <c r="Q17" s="158">
        <v>0</v>
      </c>
      <c r="R17" s="155">
        <v>0</v>
      </c>
      <c r="S17" s="158">
        <v>0</v>
      </c>
      <c r="T17" s="155">
        <v>0</v>
      </c>
      <c r="U17" s="157">
        <v>0</v>
      </c>
    </row>
    <row r="18" spans="1:21" x14ac:dyDescent="0.25">
      <c r="A18" s="149" t="s">
        <v>1206</v>
      </c>
      <c r="B18" s="150" t="s">
        <v>1207</v>
      </c>
      <c r="C18" s="150" t="s">
        <v>1208</v>
      </c>
      <c r="D18" s="151">
        <v>59</v>
      </c>
      <c r="E18" s="152">
        <v>0</v>
      </c>
      <c r="F18" s="151">
        <v>59</v>
      </c>
      <c r="G18" s="152">
        <v>0</v>
      </c>
      <c r="H18" s="151">
        <v>0</v>
      </c>
      <c r="I18" s="152">
        <v>0</v>
      </c>
      <c r="J18" s="151">
        <v>0</v>
      </c>
      <c r="K18" s="152">
        <v>0</v>
      </c>
      <c r="L18" s="151">
        <v>0</v>
      </c>
      <c r="M18" s="152">
        <v>0</v>
      </c>
      <c r="N18" s="151">
        <v>0</v>
      </c>
      <c r="O18" s="152">
        <v>0</v>
      </c>
      <c r="P18" s="151">
        <v>0</v>
      </c>
      <c r="Q18" s="152">
        <v>0</v>
      </c>
      <c r="R18" s="151">
        <v>0</v>
      </c>
      <c r="S18" s="152">
        <v>0</v>
      </c>
      <c r="T18" s="151">
        <v>0</v>
      </c>
      <c r="U18" s="153">
        <v>0</v>
      </c>
    </row>
    <row r="19" spans="1:21" x14ac:dyDescent="0.25">
      <c r="A19" s="21" t="s">
        <v>1194</v>
      </c>
      <c r="B19" s="154" t="s">
        <v>1209</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row>
    <row r="20" spans="1:21" x14ac:dyDescent="0.25">
      <c r="A20" s="149" t="s">
        <v>1196</v>
      </c>
      <c r="B20" s="150" t="s">
        <v>1197</v>
      </c>
      <c r="C20" s="150" t="s">
        <v>59</v>
      </c>
      <c r="D20" s="151">
        <v>0</v>
      </c>
      <c r="E20" s="152">
        <v>0</v>
      </c>
      <c r="F20" s="151">
        <v>0</v>
      </c>
      <c r="G20" s="152">
        <v>0</v>
      </c>
      <c r="H20" s="151">
        <v>0</v>
      </c>
      <c r="I20" s="152">
        <v>0</v>
      </c>
      <c r="J20" s="151">
        <v>0</v>
      </c>
      <c r="K20" s="152">
        <v>0</v>
      </c>
      <c r="L20" s="151">
        <v>0</v>
      </c>
      <c r="M20" s="152">
        <v>0</v>
      </c>
      <c r="N20" s="151">
        <v>0</v>
      </c>
      <c r="O20" s="152">
        <v>0</v>
      </c>
      <c r="P20" s="151">
        <v>0</v>
      </c>
      <c r="Q20" s="152">
        <v>0</v>
      </c>
      <c r="R20" s="151">
        <v>0</v>
      </c>
      <c r="S20" s="152">
        <v>0</v>
      </c>
      <c r="T20" s="151">
        <v>0</v>
      </c>
      <c r="U20" s="153">
        <v>0</v>
      </c>
    </row>
    <row r="21" spans="1:21" x14ac:dyDescent="0.25">
      <c r="A21" s="21" t="s">
        <v>565</v>
      </c>
      <c r="B21" s="154" t="s">
        <v>1198</v>
      </c>
      <c r="C21" s="154" t="s">
        <v>59</v>
      </c>
      <c r="D21" s="155">
        <v>4234</v>
      </c>
      <c r="E21" s="158">
        <v>0</v>
      </c>
      <c r="F21" s="155">
        <v>0</v>
      </c>
      <c r="G21" s="158">
        <v>0</v>
      </c>
      <c r="H21" s="155">
        <v>0</v>
      </c>
      <c r="I21" s="158">
        <v>0</v>
      </c>
      <c r="J21" s="155">
        <v>0</v>
      </c>
      <c r="K21" s="158">
        <v>0</v>
      </c>
      <c r="L21" s="155">
        <v>0</v>
      </c>
      <c r="M21" s="158">
        <v>0</v>
      </c>
      <c r="N21" s="155">
        <v>1138</v>
      </c>
      <c r="O21" s="158">
        <v>1210</v>
      </c>
      <c r="P21" s="155">
        <v>1123</v>
      </c>
      <c r="Q21" s="158">
        <v>763</v>
      </c>
      <c r="R21" s="155">
        <v>0</v>
      </c>
      <c r="S21" s="158">
        <v>0</v>
      </c>
      <c r="T21" s="155">
        <v>0</v>
      </c>
      <c r="U21" s="157">
        <v>0</v>
      </c>
    </row>
    <row r="22" spans="1:21" x14ac:dyDescent="0.25">
      <c r="A22" s="149" t="s">
        <v>1199</v>
      </c>
      <c r="B22" s="150" t="s">
        <v>1200</v>
      </c>
      <c r="C22" s="150" t="s">
        <v>59</v>
      </c>
      <c r="D22" s="151">
        <v>0</v>
      </c>
      <c r="E22" s="152">
        <v>0</v>
      </c>
      <c r="F22" s="151">
        <v>0</v>
      </c>
      <c r="G22" s="152">
        <v>0</v>
      </c>
      <c r="H22" s="151">
        <v>0</v>
      </c>
      <c r="I22" s="152">
        <v>0</v>
      </c>
      <c r="J22" s="151">
        <v>0</v>
      </c>
      <c r="K22" s="152">
        <v>0</v>
      </c>
      <c r="L22" s="151">
        <v>0</v>
      </c>
      <c r="M22" s="152">
        <v>0</v>
      </c>
      <c r="N22" s="151">
        <v>0</v>
      </c>
      <c r="O22" s="152">
        <v>0</v>
      </c>
      <c r="P22" s="151">
        <v>0</v>
      </c>
      <c r="Q22" s="152">
        <v>0</v>
      </c>
      <c r="R22" s="151">
        <v>0</v>
      </c>
      <c r="S22" s="152">
        <v>0</v>
      </c>
      <c r="T22" s="151">
        <v>0</v>
      </c>
      <c r="U22" s="153">
        <v>0</v>
      </c>
    </row>
    <row r="23" spans="1:21" x14ac:dyDescent="0.25">
      <c r="A23" s="21" t="s">
        <v>1117</v>
      </c>
      <c r="B23" s="154" t="s">
        <v>1210</v>
      </c>
      <c r="C23" s="154" t="s">
        <v>1211</v>
      </c>
      <c r="D23" s="155">
        <v>0</v>
      </c>
      <c r="E23" s="158">
        <v>0</v>
      </c>
      <c r="F23" s="155">
        <v>0</v>
      </c>
      <c r="G23" s="158">
        <v>119</v>
      </c>
      <c r="H23" s="155">
        <v>0</v>
      </c>
      <c r="I23" s="158">
        <v>119.11103057861328</v>
      </c>
      <c r="J23" s="155">
        <v>0</v>
      </c>
      <c r="K23" s="158">
        <v>119.11103057861328</v>
      </c>
      <c r="L23" s="155">
        <v>0</v>
      </c>
      <c r="M23" s="158">
        <v>119.11103057861328</v>
      </c>
      <c r="N23" s="155">
        <v>0</v>
      </c>
      <c r="O23" s="158">
        <v>0</v>
      </c>
      <c r="P23" s="155">
        <v>0</v>
      </c>
      <c r="Q23" s="158">
        <v>0</v>
      </c>
      <c r="R23" s="155">
        <v>0</v>
      </c>
      <c r="S23" s="158">
        <v>0</v>
      </c>
      <c r="T23" s="155">
        <v>0</v>
      </c>
      <c r="U23" s="157">
        <v>0</v>
      </c>
    </row>
    <row r="24" spans="1:21" x14ac:dyDescent="0.25">
      <c r="A24" s="149" t="s">
        <v>800</v>
      </c>
      <c r="B24" s="150" t="s">
        <v>403</v>
      </c>
      <c r="C24" s="150" t="s">
        <v>1212</v>
      </c>
      <c r="D24" s="151">
        <v>0</v>
      </c>
      <c r="E24" s="152">
        <v>0</v>
      </c>
      <c r="F24" s="151">
        <v>0</v>
      </c>
      <c r="G24" s="152">
        <v>490</v>
      </c>
      <c r="H24" s="151">
        <v>0</v>
      </c>
      <c r="I24" s="152">
        <v>48.300398826599121</v>
      </c>
      <c r="J24" s="151">
        <v>0</v>
      </c>
      <c r="K24" s="152">
        <v>48.300398826599121</v>
      </c>
      <c r="L24" s="151">
        <v>435.47496032714844</v>
      </c>
      <c r="M24" s="152">
        <v>483.77535915374756</v>
      </c>
      <c r="N24" s="151">
        <v>0</v>
      </c>
      <c r="O24" s="152">
        <v>0</v>
      </c>
      <c r="P24" s="151">
        <v>0</v>
      </c>
      <c r="Q24" s="152">
        <v>0</v>
      </c>
      <c r="R24" s="151">
        <v>0</v>
      </c>
      <c r="S24" s="152">
        <v>0</v>
      </c>
      <c r="T24" s="151">
        <v>0</v>
      </c>
      <c r="U24" s="153">
        <v>0</v>
      </c>
    </row>
    <row r="25" spans="1:21" x14ac:dyDescent="0.25">
      <c r="A25" s="21" t="s">
        <v>1213</v>
      </c>
      <c r="B25" s="154" t="s">
        <v>1210</v>
      </c>
      <c r="C25" s="154" t="s">
        <v>1214</v>
      </c>
      <c r="D25" s="155">
        <v>0</v>
      </c>
      <c r="E25" s="158">
        <v>0</v>
      </c>
      <c r="F25" s="155">
        <v>0</v>
      </c>
      <c r="G25" s="158">
        <v>115</v>
      </c>
      <c r="H25" s="155">
        <v>0</v>
      </c>
      <c r="I25" s="158">
        <v>0</v>
      </c>
      <c r="J25" s="155">
        <v>0</v>
      </c>
      <c r="K25" s="158">
        <v>0</v>
      </c>
      <c r="L25" s="155">
        <v>0</v>
      </c>
      <c r="M25" s="158">
        <v>0</v>
      </c>
      <c r="N25" s="155">
        <v>0</v>
      </c>
      <c r="O25" s="158">
        <v>0</v>
      </c>
      <c r="P25" s="155">
        <v>0</v>
      </c>
      <c r="Q25" s="158">
        <v>0</v>
      </c>
      <c r="R25" s="155">
        <v>0</v>
      </c>
      <c r="S25" s="158">
        <v>0</v>
      </c>
      <c r="T25" s="155">
        <v>0</v>
      </c>
      <c r="U25" s="157">
        <v>0</v>
      </c>
    </row>
    <row r="26" spans="1:21" x14ac:dyDescent="0.25">
      <c r="A26" s="149" t="s">
        <v>1215</v>
      </c>
      <c r="B26" s="150" t="s">
        <v>1216</v>
      </c>
      <c r="C26" s="150" t="s">
        <v>1217</v>
      </c>
      <c r="D26" s="151">
        <v>1886</v>
      </c>
      <c r="E26" s="152">
        <v>0</v>
      </c>
      <c r="F26" s="151">
        <v>1886</v>
      </c>
      <c r="G26" s="152">
        <v>0</v>
      </c>
      <c r="H26" s="151">
        <v>167</v>
      </c>
      <c r="I26" s="152">
        <v>0</v>
      </c>
      <c r="J26" s="151">
        <v>0</v>
      </c>
      <c r="K26" s="152">
        <v>0</v>
      </c>
      <c r="L26" s="151">
        <v>0</v>
      </c>
      <c r="M26" s="152">
        <v>0</v>
      </c>
      <c r="N26" s="151">
        <v>0</v>
      </c>
      <c r="O26" s="152">
        <v>0</v>
      </c>
      <c r="P26" s="151">
        <v>0</v>
      </c>
      <c r="Q26" s="152">
        <v>0</v>
      </c>
      <c r="R26" s="151">
        <v>0</v>
      </c>
      <c r="S26" s="152">
        <v>0</v>
      </c>
      <c r="T26" s="151">
        <v>0</v>
      </c>
      <c r="U26" s="153">
        <v>0</v>
      </c>
    </row>
    <row r="27" spans="1:21" x14ac:dyDescent="0.25">
      <c r="A27" s="21" t="s">
        <v>1194</v>
      </c>
      <c r="B27" s="154" t="s">
        <v>1218</v>
      </c>
      <c r="C27" s="154" t="s">
        <v>59</v>
      </c>
      <c r="D27" s="155">
        <v>0</v>
      </c>
      <c r="E27" s="158">
        <v>0</v>
      </c>
      <c r="F27" s="155">
        <v>0</v>
      </c>
      <c r="G27" s="158">
        <v>0</v>
      </c>
      <c r="H27" s="155">
        <v>0</v>
      </c>
      <c r="I27" s="158">
        <v>0</v>
      </c>
      <c r="J27" s="155">
        <v>0</v>
      </c>
      <c r="K27" s="158">
        <v>0</v>
      </c>
      <c r="L27" s="155">
        <v>0</v>
      </c>
      <c r="M27" s="158">
        <v>0</v>
      </c>
      <c r="N27" s="155">
        <v>0</v>
      </c>
      <c r="O27" s="158">
        <v>0</v>
      </c>
      <c r="P27" s="155">
        <v>0</v>
      </c>
      <c r="Q27" s="158">
        <v>0</v>
      </c>
      <c r="R27" s="155">
        <v>0</v>
      </c>
      <c r="S27" s="158">
        <v>0</v>
      </c>
      <c r="T27" s="155">
        <v>0</v>
      </c>
      <c r="U27" s="157">
        <v>0</v>
      </c>
    </row>
    <row r="28" spans="1:21" x14ac:dyDescent="0.25">
      <c r="A28" s="149" t="s">
        <v>1196</v>
      </c>
      <c r="B28" s="150" t="s">
        <v>1197</v>
      </c>
      <c r="C28" s="150" t="s">
        <v>59</v>
      </c>
      <c r="D28" s="151">
        <v>0</v>
      </c>
      <c r="E28" s="152">
        <v>0</v>
      </c>
      <c r="F28" s="151">
        <v>0</v>
      </c>
      <c r="G28" s="152">
        <v>0</v>
      </c>
      <c r="H28" s="151">
        <v>0</v>
      </c>
      <c r="I28" s="152">
        <v>0</v>
      </c>
      <c r="J28" s="151">
        <v>0</v>
      </c>
      <c r="K28" s="152">
        <v>0</v>
      </c>
      <c r="L28" s="151">
        <v>0</v>
      </c>
      <c r="M28" s="152">
        <v>0</v>
      </c>
      <c r="N28" s="151">
        <v>0</v>
      </c>
      <c r="O28" s="152">
        <v>0</v>
      </c>
      <c r="P28" s="151">
        <v>0</v>
      </c>
      <c r="Q28" s="152">
        <v>0</v>
      </c>
      <c r="R28" s="151">
        <v>0</v>
      </c>
      <c r="S28" s="152">
        <v>0</v>
      </c>
      <c r="T28" s="151">
        <v>0</v>
      </c>
      <c r="U28" s="153">
        <v>0</v>
      </c>
    </row>
    <row r="29" spans="1:21" x14ac:dyDescent="0.25">
      <c r="A29" s="21" t="s">
        <v>1447</v>
      </c>
      <c r="B29" s="154" t="s">
        <v>1448</v>
      </c>
      <c r="C29" s="154" t="s">
        <v>1449</v>
      </c>
      <c r="D29" s="155">
        <v>103</v>
      </c>
      <c r="E29" s="158">
        <v>0</v>
      </c>
      <c r="F29" s="155">
        <v>103</v>
      </c>
      <c r="G29" s="158">
        <v>0</v>
      </c>
      <c r="H29" s="155">
        <v>0</v>
      </c>
      <c r="I29" s="158">
        <v>0</v>
      </c>
      <c r="J29" s="155">
        <v>0</v>
      </c>
      <c r="K29" s="158">
        <v>0</v>
      </c>
      <c r="L29" s="155">
        <v>0</v>
      </c>
      <c r="M29" s="158">
        <v>0</v>
      </c>
      <c r="N29" s="155">
        <v>0</v>
      </c>
      <c r="O29" s="158">
        <v>0</v>
      </c>
      <c r="P29" s="155">
        <v>0</v>
      </c>
      <c r="Q29" s="158">
        <v>0</v>
      </c>
      <c r="R29" s="155">
        <v>0</v>
      </c>
      <c r="S29" s="158">
        <v>0</v>
      </c>
      <c r="T29" s="155">
        <v>0</v>
      </c>
      <c r="U29" s="157">
        <v>0</v>
      </c>
    </row>
    <row r="30" spans="1:21" x14ac:dyDescent="0.25">
      <c r="A30" s="149" t="s">
        <v>565</v>
      </c>
      <c r="B30" s="150" t="s">
        <v>1198</v>
      </c>
      <c r="C30" s="150" t="s">
        <v>59</v>
      </c>
      <c r="D30" s="151">
        <v>0</v>
      </c>
      <c r="E30" s="152">
        <v>0</v>
      </c>
      <c r="F30" s="151">
        <v>0</v>
      </c>
      <c r="G30" s="152">
        <v>0</v>
      </c>
      <c r="H30" s="151">
        <v>0</v>
      </c>
      <c r="I30" s="152">
        <v>0</v>
      </c>
      <c r="J30" s="151">
        <v>0</v>
      </c>
      <c r="K30" s="152">
        <v>0</v>
      </c>
      <c r="L30" s="151">
        <v>0</v>
      </c>
      <c r="M30" s="152">
        <v>0</v>
      </c>
      <c r="N30" s="151">
        <v>0</v>
      </c>
      <c r="O30" s="152">
        <v>0</v>
      </c>
      <c r="P30" s="151">
        <v>0</v>
      </c>
      <c r="Q30" s="152">
        <v>0</v>
      </c>
      <c r="R30" s="151">
        <v>0</v>
      </c>
      <c r="S30" s="152">
        <v>0</v>
      </c>
      <c r="T30" s="151">
        <v>0</v>
      </c>
      <c r="U30" s="153">
        <v>0</v>
      </c>
    </row>
    <row r="31" spans="1:21" x14ac:dyDescent="0.25">
      <c r="A31" s="21" t="s">
        <v>1199</v>
      </c>
      <c r="B31" s="154" t="s">
        <v>1200</v>
      </c>
      <c r="C31" s="154" t="s">
        <v>59</v>
      </c>
      <c r="D31" s="155">
        <v>0</v>
      </c>
      <c r="E31" s="158">
        <v>0</v>
      </c>
      <c r="F31" s="155">
        <v>0</v>
      </c>
      <c r="G31" s="158">
        <v>0</v>
      </c>
      <c r="H31" s="155">
        <v>0</v>
      </c>
      <c r="I31" s="158">
        <v>0</v>
      </c>
      <c r="J31" s="155">
        <v>0</v>
      </c>
      <c r="K31" s="158">
        <v>0</v>
      </c>
      <c r="L31" s="155">
        <v>0</v>
      </c>
      <c r="M31" s="158">
        <v>0</v>
      </c>
      <c r="N31" s="155">
        <v>0</v>
      </c>
      <c r="O31" s="158">
        <v>0</v>
      </c>
      <c r="P31" s="155">
        <v>0</v>
      </c>
      <c r="Q31" s="158">
        <v>0</v>
      </c>
      <c r="R31" s="155">
        <v>0</v>
      </c>
      <c r="S31" s="158">
        <v>0</v>
      </c>
      <c r="T31" s="155">
        <v>0</v>
      </c>
      <c r="U31" s="157">
        <v>0</v>
      </c>
    </row>
    <row r="32" spans="1:21" x14ac:dyDescent="0.25">
      <c r="A32" s="149" t="s">
        <v>1194</v>
      </c>
      <c r="B32" s="150" t="s">
        <v>1219</v>
      </c>
      <c r="C32" s="150" t="s">
        <v>59</v>
      </c>
      <c r="D32" s="151">
        <v>0</v>
      </c>
      <c r="E32" s="152">
        <v>0</v>
      </c>
      <c r="F32" s="151">
        <v>0</v>
      </c>
      <c r="G32" s="152">
        <v>0</v>
      </c>
      <c r="H32" s="151">
        <v>0</v>
      </c>
      <c r="I32" s="152">
        <v>0</v>
      </c>
      <c r="J32" s="151">
        <v>0</v>
      </c>
      <c r="K32" s="152">
        <v>0</v>
      </c>
      <c r="L32" s="151">
        <v>0</v>
      </c>
      <c r="M32" s="152">
        <v>0</v>
      </c>
      <c r="N32" s="151">
        <v>0</v>
      </c>
      <c r="O32" s="152">
        <v>0</v>
      </c>
      <c r="P32" s="151">
        <v>0</v>
      </c>
      <c r="Q32" s="152">
        <v>0</v>
      </c>
      <c r="R32" s="151">
        <v>0</v>
      </c>
      <c r="S32" s="152">
        <v>0</v>
      </c>
      <c r="T32" s="151">
        <v>0</v>
      </c>
      <c r="U32" s="153">
        <v>0</v>
      </c>
    </row>
    <row r="33" spans="1:21" x14ac:dyDescent="0.25">
      <c r="A33" s="21" t="s">
        <v>1196</v>
      </c>
      <c r="B33" s="154" t="s">
        <v>1197</v>
      </c>
      <c r="C33" s="154" t="s">
        <v>59</v>
      </c>
      <c r="D33" s="155">
        <v>0</v>
      </c>
      <c r="E33" s="158">
        <v>0</v>
      </c>
      <c r="F33" s="155">
        <v>0</v>
      </c>
      <c r="G33" s="158">
        <v>0</v>
      </c>
      <c r="H33" s="155">
        <v>0</v>
      </c>
      <c r="I33" s="158">
        <v>0</v>
      </c>
      <c r="J33" s="155">
        <v>0</v>
      </c>
      <c r="K33" s="158">
        <v>0</v>
      </c>
      <c r="L33" s="155">
        <v>0</v>
      </c>
      <c r="M33" s="158">
        <v>0</v>
      </c>
      <c r="N33" s="155">
        <v>0</v>
      </c>
      <c r="O33" s="158">
        <v>0</v>
      </c>
      <c r="P33" s="155">
        <v>0</v>
      </c>
      <c r="Q33" s="158">
        <v>0</v>
      </c>
      <c r="R33" s="155">
        <v>0</v>
      </c>
      <c r="S33" s="158">
        <v>0</v>
      </c>
      <c r="T33" s="155">
        <v>0</v>
      </c>
      <c r="U33" s="157">
        <v>0</v>
      </c>
    </row>
    <row r="34" spans="1:21" x14ac:dyDescent="0.25">
      <c r="A34" s="149" t="s">
        <v>1450</v>
      </c>
      <c r="B34" s="150" t="s">
        <v>1451</v>
      </c>
      <c r="C34" s="150" t="s">
        <v>1452</v>
      </c>
      <c r="D34" s="151">
        <v>518</v>
      </c>
      <c r="E34" s="152">
        <v>0</v>
      </c>
      <c r="F34" s="151">
        <v>518</v>
      </c>
      <c r="G34" s="152">
        <v>0</v>
      </c>
      <c r="H34" s="151">
        <v>0</v>
      </c>
      <c r="I34" s="152">
        <v>0</v>
      </c>
      <c r="J34" s="151">
        <v>0</v>
      </c>
      <c r="K34" s="152">
        <v>0</v>
      </c>
      <c r="L34" s="151">
        <v>0</v>
      </c>
      <c r="M34" s="152">
        <v>0</v>
      </c>
      <c r="N34" s="151">
        <v>0</v>
      </c>
      <c r="O34" s="152">
        <v>0</v>
      </c>
      <c r="P34" s="151">
        <v>0</v>
      </c>
      <c r="Q34" s="152">
        <v>0</v>
      </c>
      <c r="R34" s="151">
        <v>0</v>
      </c>
      <c r="S34" s="152">
        <v>0</v>
      </c>
      <c r="T34" s="151">
        <v>0</v>
      </c>
      <c r="U34" s="153">
        <v>0</v>
      </c>
    </row>
    <row r="35" spans="1:21" x14ac:dyDescent="0.25">
      <c r="A35" s="21" t="s">
        <v>1220</v>
      </c>
      <c r="B35" s="154" t="s">
        <v>1221</v>
      </c>
      <c r="C35" s="154" t="s">
        <v>1222</v>
      </c>
      <c r="D35" s="155">
        <v>0</v>
      </c>
      <c r="E35" s="158">
        <v>0</v>
      </c>
      <c r="F35" s="155">
        <v>0</v>
      </c>
      <c r="G35" s="158">
        <v>120</v>
      </c>
      <c r="H35" s="155">
        <v>0</v>
      </c>
      <c r="I35" s="158">
        <v>118.80000305175781</v>
      </c>
      <c r="J35" s="155">
        <v>0</v>
      </c>
      <c r="K35" s="158">
        <v>118.80000305175781</v>
      </c>
      <c r="L35" s="155">
        <v>0</v>
      </c>
      <c r="M35" s="158">
        <v>118.80000305175781</v>
      </c>
      <c r="N35" s="155">
        <v>0</v>
      </c>
      <c r="O35" s="158">
        <v>0</v>
      </c>
      <c r="P35" s="155">
        <v>0</v>
      </c>
      <c r="Q35" s="158">
        <v>0</v>
      </c>
      <c r="R35" s="155">
        <v>0</v>
      </c>
      <c r="S35" s="158">
        <v>0</v>
      </c>
      <c r="T35" s="155">
        <v>0</v>
      </c>
      <c r="U35" s="157">
        <v>0</v>
      </c>
    </row>
    <row r="36" spans="1:21" x14ac:dyDescent="0.25">
      <c r="A36" s="149" t="s">
        <v>1223</v>
      </c>
      <c r="B36" s="150" t="s">
        <v>1224</v>
      </c>
      <c r="C36" s="150" t="s">
        <v>1225</v>
      </c>
      <c r="D36" s="151">
        <v>0</v>
      </c>
      <c r="E36" s="152">
        <v>0</v>
      </c>
      <c r="F36" s="151">
        <v>0</v>
      </c>
      <c r="G36" s="152">
        <v>171</v>
      </c>
      <c r="H36" s="151">
        <v>0</v>
      </c>
      <c r="I36" s="152">
        <v>0</v>
      </c>
      <c r="J36" s="151">
        <v>0</v>
      </c>
      <c r="K36" s="152">
        <v>0</v>
      </c>
      <c r="L36" s="151">
        <v>4.503270149230957</v>
      </c>
      <c r="M36" s="152">
        <v>4.503270149230957</v>
      </c>
      <c r="N36" s="151">
        <v>0</v>
      </c>
      <c r="O36" s="152">
        <v>0</v>
      </c>
      <c r="P36" s="151">
        <v>0</v>
      </c>
      <c r="Q36" s="152">
        <v>0</v>
      </c>
      <c r="R36" s="151">
        <v>0</v>
      </c>
      <c r="S36" s="152">
        <v>0</v>
      </c>
      <c r="T36" s="151">
        <v>0</v>
      </c>
      <c r="U36" s="153">
        <v>0</v>
      </c>
    </row>
    <row r="37" spans="1:21" x14ac:dyDescent="0.25">
      <c r="A37" s="21" t="s">
        <v>1226</v>
      </c>
      <c r="B37" s="154" t="s">
        <v>1227</v>
      </c>
      <c r="C37" s="154" t="s">
        <v>1228</v>
      </c>
      <c r="D37" s="155">
        <v>0</v>
      </c>
      <c r="E37" s="158">
        <v>0</v>
      </c>
      <c r="F37" s="155">
        <v>0</v>
      </c>
      <c r="G37" s="158">
        <v>17</v>
      </c>
      <c r="H37" s="155">
        <v>0</v>
      </c>
      <c r="I37" s="158">
        <v>15.548649787902832</v>
      </c>
      <c r="J37" s="155">
        <v>0</v>
      </c>
      <c r="K37" s="158">
        <v>15.548649787902832</v>
      </c>
      <c r="L37" s="155">
        <v>0</v>
      </c>
      <c r="M37" s="158">
        <v>15.548649787902832</v>
      </c>
      <c r="N37" s="155">
        <v>0</v>
      </c>
      <c r="O37" s="158">
        <v>0</v>
      </c>
      <c r="P37" s="155">
        <v>0</v>
      </c>
      <c r="Q37" s="158">
        <v>0</v>
      </c>
      <c r="R37" s="155">
        <v>0</v>
      </c>
      <c r="S37" s="158">
        <v>0</v>
      </c>
      <c r="T37" s="155">
        <v>0</v>
      </c>
      <c r="U37" s="157">
        <v>0</v>
      </c>
    </row>
    <row r="38" spans="1:21" x14ac:dyDescent="0.25">
      <c r="A38" s="149" t="s">
        <v>565</v>
      </c>
      <c r="B38" s="150" t="s">
        <v>1229</v>
      </c>
      <c r="C38" s="150" t="s">
        <v>59</v>
      </c>
      <c r="D38" s="151">
        <v>1783</v>
      </c>
      <c r="E38" s="152">
        <v>0</v>
      </c>
      <c r="F38" s="151">
        <v>0</v>
      </c>
      <c r="G38" s="152">
        <v>0</v>
      </c>
      <c r="H38" s="151">
        <v>0</v>
      </c>
      <c r="I38" s="152">
        <v>0</v>
      </c>
      <c r="J38" s="151">
        <v>0</v>
      </c>
      <c r="K38" s="152">
        <v>0</v>
      </c>
      <c r="L38" s="151">
        <v>0</v>
      </c>
      <c r="M38" s="152">
        <v>0</v>
      </c>
      <c r="N38" s="151">
        <v>486</v>
      </c>
      <c r="O38" s="152">
        <v>602</v>
      </c>
      <c r="P38" s="151">
        <v>498</v>
      </c>
      <c r="Q38" s="152">
        <v>197</v>
      </c>
      <c r="R38" s="151">
        <v>0</v>
      </c>
      <c r="S38" s="152">
        <v>0</v>
      </c>
      <c r="T38" s="151">
        <v>0</v>
      </c>
      <c r="U38" s="153">
        <v>0</v>
      </c>
    </row>
    <row r="39" spans="1:21" x14ac:dyDescent="0.25">
      <c r="A39" s="21" t="s">
        <v>1230</v>
      </c>
      <c r="B39" s="154" t="s">
        <v>1231</v>
      </c>
      <c r="C39" s="154" t="s">
        <v>1232</v>
      </c>
      <c r="D39" s="155">
        <v>0</v>
      </c>
      <c r="E39" s="158">
        <v>0</v>
      </c>
      <c r="F39" s="155">
        <v>0</v>
      </c>
      <c r="G39" s="158">
        <v>74</v>
      </c>
      <c r="H39" s="155">
        <v>0</v>
      </c>
      <c r="I39" s="158">
        <v>0</v>
      </c>
      <c r="J39" s="155">
        <v>0</v>
      </c>
      <c r="K39" s="158">
        <v>0</v>
      </c>
      <c r="L39" s="155">
        <v>30.149999618530273</v>
      </c>
      <c r="M39" s="158">
        <v>30.149999618530273</v>
      </c>
      <c r="N39" s="155">
        <v>0</v>
      </c>
      <c r="O39" s="158">
        <v>0</v>
      </c>
      <c r="P39" s="155">
        <v>0</v>
      </c>
      <c r="Q39" s="158">
        <v>0</v>
      </c>
      <c r="R39" s="155">
        <v>0</v>
      </c>
      <c r="S39" s="158">
        <v>0</v>
      </c>
      <c r="T39" s="155">
        <v>0</v>
      </c>
      <c r="U39" s="157">
        <v>0</v>
      </c>
    </row>
    <row r="40" spans="1:21" x14ac:dyDescent="0.25">
      <c r="A40" s="149" t="s">
        <v>1233</v>
      </c>
      <c r="B40" s="150" t="s">
        <v>1234</v>
      </c>
      <c r="C40" s="150" t="s">
        <v>1235</v>
      </c>
      <c r="D40" s="151">
        <v>0</v>
      </c>
      <c r="E40" s="152">
        <v>0</v>
      </c>
      <c r="F40" s="151">
        <v>0</v>
      </c>
      <c r="G40" s="152">
        <v>270</v>
      </c>
      <c r="H40" s="151">
        <v>0</v>
      </c>
      <c r="I40" s="152">
        <v>0</v>
      </c>
      <c r="J40" s="151">
        <v>0</v>
      </c>
      <c r="K40" s="152">
        <v>0</v>
      </c>
      <c r="L40" s="151">
        <v>236.05000114440918</v>
      </c>
      <c r="M40" s="152">
        <v>236.05000114440918</v>
      </c>
      <c r="N40" s="151">
        <v>0</v>
      </c>
      <c r="O40" s="152">
        <v>0</v>
      </c>
      <c r="P40" s="151">
        <v>0</v>
      </c>
      <c r="Q40" s="152">
        <v>0</v>
      </c>
      <c r="R40" s="151">
        <v>0</v>
      </c>
      <c r="S40" s="152">
        <v>0</v>
      </c>
      <c r="T40" s="151">
        <v>0</v>
      </c>
      <c r="U40" s="153">
        <v>0</v>
      </c>
    </row>
    <row r="41" spans="1:21" x14ac:dyDescent="0.25">
      <c r="A41" s="21" t="s">
        <v>1199</v>
      </c>
      <c r="B41" s="154" t="s">
        <v>1200</v>
      </c>
      <c r="C41" s="154" t="s">
        <v>59</v>
      </c>
      <c r="D41" s="155">
        <v>0</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row>
    <row r="42" spans="1:21" x14ac:dyDescent="0.25">
      <c r="A42" s="149" t="s">
        <v>1194</v>
      </c>
      <c r="B42" s="150" t="s">
        <v>1195</v>
      </c>
      <c r="C42" s="150" t="s">
        <v>59</v>
      </c>
      <c r="D42" s="151">
        <v>0</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row>
    <row r="43" spans="1:21" x14ac:dyDescent="0.25">
      <c r="A43" s="21" t="s">
        <v>1196</v>
      </c>
      <c r="B43" s="154" t="s">
        <v>1197</v>
      </c>
      <c r="C43" s="154" t="s">
        <v>59</v>
      </c>
      <c r="D43" s="155">
        <v>0</v>
      </c>
      <c r="E43" s="158">
        <v>0</v>
      </c>
      <c r="F43" s="155">
        <v>0</v>
      </c>
      <c r="G43" s="158">
        <v>0</v>
      </c>
      <c r="H43" s="155">
        <v>0</v>
      </c>
      <c r="I43" s="158">
        <v>0</v>
      </c>
      <c r="J43" s="155">
        <v>0</v>
      </c>
      <c r="K43" s="158">
        <v>0</v>
      </c>
      <c r="L43" s="155">
        <v>0</v>
      </c>
      <c r="M43" s="158">
        <v>0</v>
      </c>
      <c r="N43" s="155">
        <v>0</v>
      </c>
      <c r="O43" s="158">
        <v>0</v>
      </c>
      <c r="P43" s="155">
        <v>0</v>
      </c>
      <c r="Q43" s="158">
        <v>0</v>
      </c>
      <c r="R43" s="155">
        <v>0</v>
      </c>
      <c r="S43" s="158">
        <v>0</v>
      </c>
      <c r="T43" s="155">
        <v>0</v>
      </c>
      <c r="U43" s="157">
        <v>0</v>
      </c>
    </row>
    <row r="44" spans="1:21" x14ac:dyDescent="0.25">
      <c r="A44" s="149" t="s">
        <v>1453</v>
      </c>
      <c r="B44" s="150" t="s">
        <v>1454</v>
      </c>
      <c r="C44" s="150" t="s">
        <v>1455</v>
      </c>
      <c r="D44" s="151">
        <v>0</v>
      </c>
      <c r="E44" s="152">
        <v>0</v>
      </c>
      <c r="F44" s="151">
        <v>0</v>
      </c>
      <c r="G44" s="152">
        <v>0</v>
      </c>
      <c r="H44" s="151">
        <v>0</v>
      </c>
      <c r="I44" s="152">
        <v>0</v>
      </c>
      <c r="J44" s="151">
        <v>0</v>
      </c>
      <c r="K44" s="152">
        <v>0</v>
      </c>
      <c r="L44" s="151">
        <v>0</v>
      </c>
      <c r="M44" s="152">
        <v>0</v>
      </c>
      <c r="N44" s="151">
        <v>0</v>
      </c>
      <c r="O44" s="152">
        <v>0</v>
      </c>
      <c r="P44" s="151">
        <v>0</v>
      </c>
      <c r="Q44" s="152">
        <v>0</v>
      </c>
      <c r="R44" s="151">
        <v>0</v>
      </c>
      <c r="S44" s="152">
        <v>0</v>
      </c>
      <c r="T44" s="151">
        <v>0</v>
      </c>
      <c r="U44" s="153">
        <v>0</v>
      </c>
    </row>
    <row r="45" spans="1:21" x14ac:dyDescent="0.25">
      <c r="A45" s="21" t="s">
        <v>565</v>
      </c>
      <c r="B45" s="154" t="s">
        <v>1198</v>
      </c>
      <c r="C45" s="154" t="s">
        <v>59</v>
      </c>
      <c r="D45" s="155">
        <v>1911</v>
      </c>
      <c r="E45" s="158">
        <v>0</v>
      </c>
      <c r="F45" s="155">
        <v>0</v>
      </c>
      <c r="G45" s="158">
        <v>0</v>
      </c>
      <c r="H45" s="155">
        <v>0</v>
      </c>
      <c r="I45" s="158">
        <v>0</v>
      </c>
      <c r="J45" s="155">
        <v>0</v>
      </c>
      <c r="K45" s="158">
        <v>0</v>
      </c>
      <c r="L45" s="155">
        <v>0</v>
      </c>
      <c r="M45" s="158">
        <v>0</v>
      </c>
      <c r="N45" s="155">
        <v>430</v>
      </c>
      <c r="O45" s="158">
        <v>204</v>
      </c>
      <c r="P45" s="155">
        <v>1251</v>
      </c>
      <c r="Q45" s="158">
        <v>26</v>
      </c>
      <c r="R45" s="155">
        <v>0</v>
      </c>
      <c r="S45" s="158">
        <v>0</v>
      </c>
      <c r="T45" s="155">
        <v>0</v>
      </c>
      <c r="U45" s="157">
        <v>0</v>
      </c>
    </row>
    <row r="46" spans="1:21" x14ac:dyDescent="0.25">
      <c r="A46" s="149" t="s">
        <v>1199</v>
      </c>
      <c r="B46" s="150" t="s">
        <v>1200</v>
      </c>
      <c r="C46" s="150" t="s">
        <v>59</v>
      </c>
      <c r="D46" s="151">
        <v>0</v>
      </c>
      <c r="E46" s="152">
        <v>0</v>
      </c>
      <c r="F46" s="151">
        <v>0</v>
      </c>
      <c r="G46" s="152">
        <v>0</v>
      </c>
      <c r="H46" s="151">
        <v>0</v>
      </c>
      <c r="I46" s="152">
        <v>0</v>
      </c>
      <c r="J46" s="151">
        <v>0</v>
      </c>
      <c r="K46" s="152">
        <v>0</v>
      </c>
      <c r="L46" s="151">
        <v>0</v>
      </c>
      <c r="M46" s="152">
        <v>0</v>
      </c>
      <c r="N46" s="151">
        <v>0</v>
      </c>
      <c r="O46" s="152">
        <v>0</v>
      </c>
      <c r="P46" s="151">
        <v>0</v>
      </c>
      <c r="Q46" s="152">
        <v>0</v>
      </c>
      <c r="R46" s="151">
        <v>0</v>
      </c>
      <c r="S46" s="152">
        <v>0</v>
      </c>
      <c r="T46" s="151">
        <v>0</v>
      </c>
      <c r="U46" s="153">
        <v>0</v>
      </c>
    </row>
    <row r="47" spans="1:21" x14ac:dyDescent="0.25">
      <c r="A47" s="21" t="s">
        <v>1236</v>
      </c>
      <c r="B47" s="154" t="s">
        <v>1237</v>
      </c>
      <c r="C47" s="154" t="s">
        <v>1238</v>
      </c>
      <c r="D47" s="155">
        <v>0</v>
      </c>
      <c r="E47" s="158">
        <v>0</v>
      </c>
      <c r="F47" s="155">
        <v>0</v>
      </c>
      <c r="G47" s="158">
        <v>0</v>
      </c>
      <c r="H47" s="155">
        <v>0</v>
      </c>
      <c r="I47" s="158">
        <v>0</v>
      </c>
      <c r="J47" s="155">
        <v>0</v>
      </c>
      <c r="K47" s="158">
        <v>0</v>
      </c>
      <c r="L47" s="155">
        <v>0</v>
      </c>
      <c r="M47" s="158">
        <v>0</v>
      </c>
      <c r="N47" s="155">
        <v>0</v>
      </c>
      <c r="O47" s="158">
        <v>0</v>
      </c>
      <c r="P47" s="155">
        <v>0</v>
      </c>
      <c r="Q47" s="158">
        <v>0</v>
      </c>
      <c r="R47" s="155">
        <v>0</v>
      </c>
      <c r="S47" s="158">
        <v>0</v>
      </c>
      <c r="T47" s="155">
        <v>0</v>
      </c>
      <c r="U47" s="157">
        <v>0</v>
      </c>
    </row>
    <row r="48" spans="1:21" x14ac:dyDescent="0.25">
      <c r="A48" s="149" t="s">
        <v>1239</v>
      </c>
      <c r="B48" s="150" t="s">
        <v>1240</v>
      </c>
      <c r="C48" s="150" t="s">
        <v>1241</v>
      </c>
      <c r="D48" s="151">
        <v>0</v>
      </c>
      <c r="E48" s="152">
        <v>0</v>
      </c>
      <c r="F48" s="151">
        <v>0</v>
      </c>
      <c r="G48" s="152">
        <v>0</v>
      </c>
      <c r="H48" s="151">
        <v>0</v>
      </c>
      <c r="I48" s="152">
        <v>0</v>
      </c>
      <c r="J48" s="151">
        <v>0</v>
      </c>
      <c r="K48" s="152">
        <v>0</v>
      </c>
      <c r="L48" s="151">
        <v>0</v>
      </c>
      <c r="M48" s="152">
        <v>0</v>
      </c>
      <c r="N48" s="151">
        <v>0</v>
      </c>
      <c r="O48" s="152">
        <v>0</v>
      </c>
      <c r="P48" s="151">
        <v>0</v>
      </c>
      <c r="Q48" s="152">
        <v>0</v>
      </c>
      <c r="R48" s="151">
        <v>0</v>
      </c>
      <c r="S48" s="152">
        <v>0</v>
      </c>
      <c r="T48" s="151">
        <v>0</v>
      </c>
      <c r="U48" s="153">
        <v>0</v>
      </c>
    </row>
    <row r="49" spans="1:21" x14ac:dyDescent="0.25">
      <c r="A49" s="21" t="s">
        <v>1194</v>
      </c>
      <c r="B49" s="154" t="s">
        <v>1201</v>
      </c>
      <c r="C49" s="154" t="s">
        <v>59</v>
      </c>
      <c r="D49" s="155">
        <v>0</v>
      </c>
      <c r="E49" s="158">
        <v>0</v>
      </c>
      <c r="F49" s="155">
        <v>0</v>
      </c>
      <c r="G49" s="158">
        <v>0</v>
      </c>
      <c r="H49" s="155">
        <v>0</v>
      </c>
      <c r="I49" s="158">
        <v>0</v>
      </c>
      <c r="J49" s="155">
        <v>0</v>
      </c>
      <c r="K49" s="158">
        <v>0</v>
      </c>
      <c r="L49" s="155">
        <v>0</v>
      </c>
      <c r="M49" s="158">
        <v>0</v>
      </c>
      <c r="N49" s="155">
        <v>0</v>
      </c>
      <c r="O49" s="158">
        <v>0</v>
      </c>
      <c r="P49" s="155">
        <v>0</v>
      </c>
      <c r="Q49" s="158">
        <v>0</v>
      </c>
      <c r="R49" s="155">
        <v>0</v>
      </c>
      <c r="S49" s="158">
        <v>0</v>
      </c>
      <c r="T49" s="155">
        <v>0</v>
      </c>
      <c r="U49" s="157">
        <v>0</v>
      </c>
    </row>
    <row r="50" spans="1:21" x14ac:dyDescent="0.25">
      <c r="A50" s="149" t="s">
        <v>1196</v>
      </c>
      <c r="B50" s="150" t="s">
        <v>1197</v>
      </c>
      <c r="C50" s="150" t="s">
        <v>59</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row>
    <row r="51" spans="1:21" x14ac:dyDescent="0.25">
      <c r="A51" s="21" t="s">
        <v>565</v>
      </c>
      <c r="B51" s="154" t="s">
        <v>1198</v>
      </c>
      <c r="C51" s="154" t="s">
        <v>59</v>
      </c>
      <c r="D51" s="155">
        <v>297</v>
      </c>
      <c r="E51" s="158">
        <v>0</v>
      </c>
      <c r="F51" s="155">
        <v>0</v>
      </c>
      <c r="G51" s="158">
        <v>0</v>
      </c>
      <c r="H51" s="155">
        <v>0</v>
      </c>
      <c r="I51" s="158">
        <v>0</v>
      </c>
      <c r="J51" s="155">
        <v>0</v>
      </c>
      <c r="K51" s="158">
        <v>0</v>
      </c>
      <c r="L51" s="155">
        <v>0</v>
      </c>
      <c r="M51" s="158">
        <v>0</v>
      </c>
      <c r="N51" s="155">
        <v>46</v>
      </c>
      <c r="O51" s="158">
        <v>83</v>
      </c>
      <c r="P51" s="155">
        <v>90</v>
      </c>
      <c r="Q51" s="158">
        <v>78</v>
      </c>
      <c r="R51" s="155">
        <v>0</v>
      </c>
      <c r="S51" s="158">
        <v>0</v>
      </c>
      <c r="T51" s="155">
        <v>0</v>
      </c>
      <c r="U51" s="157">
        <v>0</v>
      </c>
    </row>
    <row r="52" spans="1:21" x14ac:dyDescent="0.25">
      <c r="A52" s="149" t="s">
        <v>1199</v>
      </c>
      <c r="B52" s="150" t="s">
        <v>1200</v>
      </c>
      <c r="C52" s="150" t="s">
        <v>59</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row>
    <row r="53" spans="1:21" x14ac:dyDescent="0.25">
      <c r="A53" s="21" t="s">
        <v>1242</v>
      </c>
      <c r="B53" s="154" t="s">
        <v>1243</v>
      </c>
      <c r="C53" s="154" t="s">
        <v>1244</v>
      </c>
      <c r="D53" s="155">
        <v>142</v>
      </c>
      <c r="E53" s="158">
        <v>0</v>
      </c>
      <c r="F53" s="155">
        <v>142</v>
      </c>
      <c r="G53" s="158">
        <v>0</v>
      </c>
      <c r="H53" s="155">
        <v>0</v>
      </c>
      <c r="I53" s="158">
        <v>0</v>
      </c>
      <c r="J53" s="155">
        <v>0</v>
      </c>
      <c r="K53" s="158">
        <v>0</v>
      </c>
      <c r="L53" s="155">
        <v>0</v>
      </c>
      <c r="M53" s="158">
        <v>0</v>
      </c>
      <c r="N53" s="155">
        <v>0</v>
      </c>
      <c r="O53" s="158">
        <v>0</v>
      </c>
      <c r="P53" s="155">
        <v>0</v>
      </c>
      <c r="Q53" s="158">
        <v>0</v>
      </c>
      <c r="R53" s="155">
        <v>0</v>
      </c>
      <c r="S53" s="158">
        <v>0</v>
      </c>
      <c r="T53" s="155">
        <v>0</v>
      </c>
      <c r="U53" s="157">
        <v>0</v>
      </c>
    </row>
    <row r="54" spans="1:21" x14ac:dyDescent="0.25">
      <c r="A54" s="149" t="s">
        <v>1194</v>
      </c>
      <c r="B54" s="150" t="s">
        <v>1245</v>
      </c>
      <c r="C54" s="150" t="s">
        <v>59</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row>
    <row r="55" spans="1:21" x14ac:dyDescent="0.25">
      <c r="A55" s="21" t="s">
        <v>1196</v>
      </c>
      <c r="B55" s="154" t="s">
        <v>1197</v>
      </c>
      <c r="C55" s="154" t="s">
        <v>59</v>
      </c>
      <c r="D55" s="155">
        <v>0</v>
      </c>
      <c r="E55" s="158">
        <v>0</v>
      </c>
      <c r="F55" s="155">
        <v>0</v>
      </c>
      <c r="G55" s="158">
        <v>0</v>
      </c>
      <c r="H55" s="155">
        <v>0</v>
      </c>
      <c r="I55" s="158">
        <v>0</v>
      </c>
      <c r="J55" s="155">
        <v>0</v>
      </c>
      <c r="K55" s="158">
        <v>0</v>
      </c>
      <c r="L55" s="155">
        <v>0</v>
      </c>
      <c r="M55" s="158">
        <v>0</v>
      </c>
      <c r="N55" s="155">
        <v>0</v>
      </c>
      <c r="O55" s="158">
        <v>0</v>
      </c>
      <c r="P55" s="155">
        <v>0</v>
      </c>
      <c r="Q55" s="158">
        <v>0</v>
      </c>
      <c r="R55" s="155">
        <v>0</v>
      </c>
      <c r="S55" s="158">
        <v>0</v>
      </c>
      <c r="T55" s="155">
        <v>0</v>
      </c>
      <c r="U55" s="157">
        <v>0</v>
      </c>
    </row>
    <row r="56" spans="1:21" x14ac:dyDescent="0.25">
      <c r="A56" s="149" t="s">
        <v>565</v>
      </c>
      <c r="B56" s="150" t="s">
        <v>1198</v>
      </c>
      <c r="C56" s="150" t="s">
        <v>59</v>
      </c>
      <c r="D56" s="151">
        <v>529</v>
      </c>
      <c r="E56" s="152">
        <v>0</v>
      </c>
      <c r="F56" s="151">
        <v>0</v>
      </c>
      <c r="G56" s="152">
        <v>0</v>
      </c>
      <c r="H56" s="151">
        <v>0</v>
      </c>
      <c r="I56" s="152">
        <v>0</v>
      </c>
      <c r="J56" s="151">
        <v>0</v>
      </c>
      <c r="K56" s="152">
        <v>0</v>
      </c>
      <c r="L56" s="151">
        <v>0</v>
      </c>
      <c r="M56" s="152">
        <v>0</v>
      </c>
      <c r="N56" s="151">
        <v>55</v>
      </c>
      <c r="O56" s="152">
        <v>209</v>
      </c>
      <c r="P56" s="151">
        <v>55</v>
      </c>
      <c r="Q56" s="152">
        <v>210</v>
      </c>
      <c r="R56" s="151">
        <v>0</v>
      </c>
      <c r="S56" s="152">
        <v>0</v>
      </c>
      <c r="T56" s="151">
        <v>0</v>
      </c>
      <c r="U56" s="153">
        <v>0</v>
      </c>
    </row>
    <row r="57" spans="1:21" x14ac:dyDescent="0.25">
      <c r="A57" s="21" t="s">
        <v>1199</v>
      </c>
      <c r="B57" s="154" t="s">
        <v>1200</v>
      </c>
      <c r="C57" s="154" t="s">
        <v>59</v>
      </c>
      <c r="D57" s="155">
        <v>0</v>
      </c>
      <c r="E57" s="158">
        <v>0</v>
      </c>
      <c r="F57" s="155">
        <v>0</v>
      </c>
      <c r="G57" s="158">
        <v>0</v>
      </c>
      <c r="H57" s="155">
        <v>0</v>
      </c>
      <c r="I57" s="158">
        <v>0</v>
      </c>
      <c r="J57" s="155">
        <v>0</v>
      </c>
      <c r="K57" s="158">
        <v>0</v>
      </c>
      <c r="L57" s="155">
        <v>0</v>
      </c>
      <c r="M57" s="158">
        <v>0</v>
      </c>
      <c r="N57" s="155">
        <v>0</v>
      </c>
      <c r="O57" s="158">
        <v>0</v>
      </c>
      <c r="P57" s="155">
        <v>0</v>
      </c>
      <c r="Q57" s="158">
        <v>0</v>
      </c>
      <c r="R57" s="155">
        <v>0</v>
      </c>
      <c r="S57" s="158">
        <v>0</v>
      </c>
      <c r="T57" s="155">
        <v>0</v>
      </c>
      <c r="U57" s="157">
        <v>0</v>
      </c>
    </row>
    <row r="58" spans="1:21" x14ac:dyDescent="0.25">
      <c r="A58" s="149" t="s">
        <v>1246</v>
      </c>
      <c r="B58" s="150" t="s">
        <v>1247</v>
      </c>
      <c r="C58" s="150" t="s">
        <v>1248</v>
      </c>
      <c r="D58" s="151">
        <v>415</v>
      </c>
      <c r="E58" s="152">
        <v>0</v>
      </c>
      <c r="F58" s="151">
        <v>415</v>
      </c>
      <c r="G58" s="152">
        <v>0</v>
      </c>
      <c r="H58" s="151">
        <v>0</v>
      </c>
      <c r="I58" s="152">
        <v>0</v>
      </c>
      <c r="J58" s="151">
        <v>0</v>
      </c>
      <c r="K58" s="152">
        <v>0</v>
      </c>
      <c r="L58" s="151">
        <v>0</v>
      </c>
      <c r="M58" s="152">
        <v>0</v>
      </c>
      <c r="N58" s="151">
        <v>0</v>
      </c>
      <c r="O58" s="152">
        <v>0</v>
      </c>
      <c r="P58" s="151">
        <v>0</v>
      </c>
      <c r="Q58" s="152">
        <v>0</v>
      </c>
      <c r="R58" s="151">
        <v>0</v>
      </c>
      <c r="S58" s="152">
        <v>0</v>
      </c>
      <c r="T58" s="151">
        <v>0</v>
      </c>
      <c r="U58" s="153">
        <v>0</v>
      </c>
    </row>
    <row r="59" spans="1:21" x14ac:dyDescent="0.25">
      <c r="A59" s="21" t="s">
        <v>1194</v>
      </c>
      <c r="B59" s="154" t="s">
        <v>1209</v>
      </c>
      <c r="C59" s="154" t="s">
        <v>59</v>
      </c>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row>
    <row r="60" spans="1:21" x14ac:dyDescent="0.25">
      <c r="A60" s="149" t="s">
        <v>1196</v>
      </c>
      <c r="B60" s="150" t="s">
        <v>1197</v>
      </c>
      <c r="C60" s="150" t="s">
        <v>59</v>
      </c>
      <c r="D60" s="151">
        <v>0</v>
      </c>
      <c r="E60" s="152">
        <v>0</v>
      </c>
      <c r="F60" s="151">
        <v>0</v>
      </c>
      <c r="G60" s="152">
        <v>0</v>
      </c>
      <c r="H60" s="151">
        <v>0</v>
      </c>
      <c r="I60" s="152">
        <v>0</v>
      </c>
      <c r="J60" s="151">
        <v>0</v>
      </c>
      <c r="K60" s="152">
        <v>0</v>
      </c>
      <c r="L60" s="151">
        <v>0</v>
      </c>
      <c r="M60" s="152">
        <v>0</v>
      </c>
      <c r="N60" s="151">
        <v>0</v>
      </c>
      <c r="O60" s="152">
        <v>0</v>
      </c>
      <c r="P60" s="151">
        <v>0</v>
      </c>
      <c r="Q60" s="152">
        <v>0</v>
      </c>
      <c r="R60" s="151">
        <v>0</v>
      </c>
      <c r="S60" s="152">
        <v>0</v>
      </c>
      <c r="T60" s="151">
        <v>0</v>
      </c>
      <c r="U60" s="153">
        <v>0</v>
      </c>
    </row>
    <row r="61" spans="1:21" x14ac:dyDescent="0.25">
      <c r="A61" s="21" t="s">
        <v>565</v>
      </c>
      <c r="B61" s="154" t="s">
        <v>1198</v>
      </c>
      <c r="C61" s="154" t="s">
        <v>59</v>
      </c>
      <c r="D61" s="155">
        <v>514</v>
      </c>
      <c r="E61" s="158">
        <v>0</v>
      </c>
      <c r="F61" s="155">
        <v>0</v>
      </c>
      <c r="G61" s="158">
        <v>0</v>
      </c>
      <c r="H61" s="155">
        <v>0</v>
      </c>
      <c r="I61" s="158">
        <v>0</v>
      </c>
      <c r="J61" s="155">
        <v>0</v>
      </c>
      <c r="K61" s="158">
        <v>0</v>
      </c>
      <c r="L61" s="155">
        <v>0</v>
      </c>
      <c r="M61" s="158">
        <v>0</v>
      </c>
      <c r="N61" s="155">
        <v>128.5</v>
      </c>
      <c r="O61" s="158">
        <v>128.5</v>
      </c>
      <c r="P61" s="155">
        <v>128.5</v>
      </c>
      <c r="Q61" s="158">
        <v>128.5</v>
      </c>
      <c r="R61" s="155">
        <v>0</v>
      </c>
      <c r="S61" s="158">
        <v>0</v>
      </c>
      <c r="T61" s="155">
        <v>0</v>
      </c>
      <c r="U61" s="157">
        <v>0</v>
      </c>
    </row>
    <row r="62" spans="1:21" x14ac:dyDescent="0.25">
      <c r="A62" s="149" t="s">
        <v>1199</v>
      </c>
      <c r="B62" s="150" t="s">
        <v>1200</v>
      </c>
      <c r="C62" s="150" t="s">
        <v>59</v>
      </c>
      <c r="D62" s="151">
        <v>0</v>
      </c>
      <c r="E62" s="152">
        <v>0</v>
      </c>
      <c r="F62" s="151">
        <v>0</v>
      </c>
      <c r="G62" s="152">
        <v>0</v>
      </c>
      <c r="H62" s="151">
        <v>0</v>
      </c>
      <c r="I62" s="152">
        <v>0</v>
      </c>
      <c r="J62" s="151">
        <v>0</v>
      </c>
      <c r="K62" s="152">
        <v>0</v>
      </c>
      <c r="L62" s="151">
        <v>0</v>
      </c>
      <c r="M62" s="152">
        <v>0</v>
      </c>
      <c r="N62" s="151">
        <v>0</v>
      </c>
      <c r="O62" s="152">
        <v>0</v>
      </c>
      <c r="P62" s="151">
        <v>0</v>
      </c>
      <c r="Q62" s="152">
        <v>0</v>
      </c>
      <c r="R62" s="151">
        <v>0</v>
      </c>
      <c r="S62" s="152">
        <v>0</v>
      </c>
      <c r="T62" s="151">
        <v>0</v>
      </c>
      <c r="U62" s="153">
        <v>0</v>
      </c>
    </row>
    <row r="63" spans="1:21" x14ac:dyDescent="0.25">
      <c r="A63" s="21" t="s">
        <v>1249</v>
      </c>
      <c r="B63" s="154" t="s">
        <v>1250</v>
      </c>
      <c r="C63" s="154" t="s">
        <v>1251</v>
      </c>
      <c r="D63" s="155">
        <v>129</v>
      </c>
      <c r="E63" s="158">
        <v>0</v>
      </c>
      <c r="F63" s="155">
        <v>129</v>
      </c>
      <c r="G63" s="158">
        <v>0</v>
      </c>
      <c r="H63" s="155">
        <v>26</v>
      </c>
      <c r="I63" s="158">
        <v>0</v>
      </c>
      <c r="J63" s="155">
        <v>0</v>
      </c>
      <c r="K63" s="158">
        <v>0</v>
      </c>
      <c r="L63" s="155">
        <v>0</v>
      </c>
      <c r="M63" s="158">
        <v>0</v>
      </c>
      <c r="N63" s="155">
        <v>0</v>
      </c>
      <c r="O63" s="158">
        <v>0</v>
      </c>
      <c r="P63" s="155">
        <v>0</v>
      </c>
      <c r="Q63" s="158">
        <v>0</v>
      </c>
      <c r="R63" s="155">
        <v>0</v>
      </c>
      <c r="S63" s="158">
        <v>0</v>
      </c>
      <c r="T63" s="155">
        <v>0</v>
      </c>
      <c r="U63" s="157">
        <v>0</v>
      </c>
    </row>
    <row r="64" spans="1:21" x14ac:dyDescent="0.25">
      <c r="A64" s="149" t="s">
        <v>1194</v>
      </c>
      <c r="B64" s="150" t="s">
        <v>1218</v>
      </c>
      <c r="C64" s="150" t="s">
        <v>59</v>
      </c>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row>
    <row r="65" spans="1:21" x14ac:dyDescent="0.25">
      <c r="A65" s="21" t="s">
        <v>1196</v>
      </c>
      <c r="B65" s="154" t="s">
        <v>1197</v>
      </c>
      <c r="C65" s="154" t="s">
        <v>59</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row>
    <row r="66" spans="1:21" x14ac:dyDescent="0.25">
      <c r="A66" s="149" t="s">
        <v>1456</v>
      </c>
      <c r="B66" s="150" t="s">
        <v>1457</v>
      </c>
      <c r="C66" s="150" t="s">
        <v>1458</v>
      </c>
      <c r="D66" s="151">
        <v>1618</v>
      </c>
      <c r="E66" s="152">
        <v>0</v>
      </c>
      <c r="F66" s="151">
        <v>1618</v>
      </c>
      <c r="G66" s="152">
        <v>0</v>
      </c>
      <c r="H66" s="151">
        <v>0</v>
      </c>
      <c r="I66" s="152">
        <v>0</v>
      </c>
      <c r="J66" s="151">
        <v>0</v>
      </c>
      <c r="K66" s="152">
        <v>0</v>
      </c>
      <c r="L66" s="151">
        <v>0</v>
      </c>
      <c r="M66" s="152">
        <v>0</v>
      </c>
      <c r="N66" s="151">
        <v>0</v>
      </c>
      <c r="O66" s="152">
        <v>0</v>
      </c>
      <c r="P66" s="151">
        <v>0</v>
      </c>
      <c r="Q66" s="152">
        <v>0</v>
      </c>
      <c r="R66" s="151">
        <v>0</v>
      </c>
      <c r="S66" s="152">
        <v>0</v>
      </c>
      <c r="T66" s="151">
        <v>0</v>
      </c>
      <c r="U66" s="153">
        <v>0</v>
      </c>
    </row>
    <row r="67" spans="1:21" x14ac:dyDescent="0.25">
      <c r="A67" s="21" t="s">
        <v>565</v>
      </c>
      <c r="B67" s="154" t="s">
        <v>1198</v>
      </c>
      <c r="C67" s="154" t="s">
        <v>59</v>
      </c>
      <c r="D67" s="155">
        <v>2058</v>
      </c>
      <c r="E67" s="158">
        <v>0</v>
      </c>
      <c r="F67" s="155">
        <v>0</v>
      </c>
      <c r="G67" s="158">
        <v>0</v>
      </c>
      <c r="H67" s="155">
        <v>0</v>
      </c>
      <c r="I67" s="158">
        <v>0</v>
      </c>
      <c r="J67" s="155">
        <v>0</v>
      </c>
      <c r="K67" s="158">
        <v>0</v>
      </c>
      <c r="L67" s="155">
        <v>0</v>
      </c>
      <c r="M67" s="158">
        <v>0</v>
      </c>
      <c r="N67" s="155">
        <v>0</v>
      </c>
      <c r="O67" s="158">
        <v>1050</v>
      </c>
      <c r="P67" s="155">
        <v>1008</v>
      </c>
      <c r="Q67" s="158">
        <v>0</v>
      </c>
      <c r="R67" s="155">
        <v>0</v>
      </c>
      <c r="S67" s="158">
        <v>0</v>
      </c>
      <c r="T67" s="155">
        <v>0</v>
      </c>
      <c r="U67" s="157">
        <v>0</v>
      </c>
    </row>
    <row r="68" spans="1:21" x14ac:dyDescent="0.25">
      <c r="A68" s="149" t="s">
        <v>1199</v>
      </c>
      <c r="B68" s="150" t="s">
        <v>1200</v>
      </c>
      <c r="C68" s="150" t="s">
        <v>59</v>
      </c>
      <c r="D68" s="151">
        <v>9.9999999999909106E-2</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row>
    <row r="69" spans="1:21" x14ac:dyDescent="0.25">
      <c r="A69" s="21" t="s">
        <v>1194</v>
      </c>
      <c r="B69" s="154" t="s">
        <v>1252</v>
      </c>
      <c r="C69" s="154" t="s">
        <v>59</v>
      </c>
      <c r="D69" s="155">
        <v>0</v>
      </c>
      <c r="E69" s="158">
        <v>0</v>
      </c>
      <c r="F69" s="155">
        <v>0</v>
      </c>
      <c r="G69" s="158">
        <v>0</v>
      </c>
      <c r="H69" s="155">
        <v>0</v>
      </c>
      <c r="I69" s="158">
        <v>0</v>
      </c>
      <c r="J69" s="155">
        <v>0</v>
      </c>
      <c r="K69" s="158">
        <v>0</v>
      </c>
      <c r="L69" s="155">
        <v>0</v>
      </c>
      <c r="M69" s="158">
        <v>0</v>
      </c>
      <c r="N69" s="155">
        <v>0</v>
      </c>
      <c r="O69" s="158">
        <v>0</v>
      </c>
      <c r="P69" s="155">
        <v>0</v>
      </c>
      <c r="Q69" s="158">
        <v>0</v>
      </c>
      <c r="R69" s="155">
        <v>0</v>
      </c>
      <c r="S69" s="158">
        <v>0</v>
      </c>
      <c r="T69" s="155">
        <v>0</v>
      </c>
      <c r="U69" s="157">
        <v>0</v>
      </c>
    </row>
    <row r="70" spans="1:21" x14ac:dyDescent="0.25">
      <c r="A70" s="149" t="s">
        <v>1196</v>
      </c>
      <c r="B70" s="150" t="s">
        <v>1197</v>
      </c>
      <c r="C70" s="150" t="s">
        <v>59</v>
      </c>
      <c r="D70" s="151">
        <v>0</v>
      </c>
      <c r="E70" s="152">
        <v>0</v>
      </c>
      <c r="F70" s="151">
        <v>0</v>
      </c>
      <c r="G70" s="152">
        <v>0</v>
      </c>
      <c r="H70" s="151">
        <v>0</v>
      </c>
      <c r="I70" s="152">
        <v>0</v>
      </c>
      <c r="J70" s="151">
        <v>0</v>
      </c>
      <c r="K70" s="152">
        <v>0</v>
      </c>
      <c r="L70" s="151">
        <v>0</v>
      </c>
      <c r="M70" s="152">
        <v>0</v>
      </c>
      <c r="N70" s="151">
        <v>0</v>
      </c>
      <c r="O70" s="152">
        <v>0</v>
      </c>
      <c r="P70" s="151">
        <v>0</v>
      </c>
      <c r="Q70" s="152">
        <v>0</v>
      </c>
      <c r="R70" s="151">
        <v>0</v>
      </c>
      <c r="S70" s="152">
        <v>0</v>
      </c>
      <c r="T70" s="151">
        <v>0</v>
      </c>
      <c r="U70" s="153">
        <v>0</v>
      </c>
    </row>
    <row r="71" spans="1:21" x14ac:dyDescent="0.25">
      <c r="A71" s="21" t="s">
        <v>1459</v>
      </c>
      <c r="B71" s="154" t="s">
        <v>1460</v>
      </c>
      <c r="C71" s="154" t="s">
        <v>1461</v>
      </c>
      <c r="D71" s="155">
        <v>1815</v>
      </c>
      <c r="E71" s="158">
        <v>0</v>
      </c>
      <c r="F71" s="155">
        <v>1815</v>
      </c>
      <c r="G71" s="158">
        <v>0</v>
      </c>
      <c r="H71" s="155">
        <v>0</v>
      </c>
      <c r="I71" s="158">
        <v>0</v>
      </c>
      <c r="J71" s="155">
        <v>0</v>
      </c>
      <c r="K71" s="158">
        <v>0</v>
      </c>
      <c r="L71" s="155">
        <v>0</v>
      </c>
      <c r="M71" s="158">
        <v>0</v>
      </c>
      <c r="N71" s="155">
        <v>0</v>
      </c>
      <c r="O71" s="158">
        <v>0</v>
      </c>
      <c r="P71" s="155">
        <v>0</v>
      </c>
      <c r="Q71" s="158">
        <v>0</v>
      </c>
      <c r="R71" s="155">
        <v>0</v>
      </c>
      <c r="S71" s="158">
        <v>0</v>
      </c>
      <c r="T71" s="155">
        <v>0</v>
      </c>
      <c r="U71" s="157">
        <v>0</v>
      </c>
    </row>
    <row r="72" spans="1:21" x14ac:dyDescent="0.25">
      <c r="A72" s="149" t="s">
        <v>1253</v>
      </c>
      <c r="B72" s="150" t="s">
        <v>1254</v>
      </c>
      <c r="C72" s="150" t="s">
        <v>1255</v>
      </c>
      <c r="D72" s="151">
        <v>0</v>
      </c>
      <c r="E72" s="152">
        <v>0</v>
      </c>
      <c r="F72" s="151">
        <v>0</v>
      </c>
      <c r="G72" s="152">
        <v>5</v>
      </c>
      <c r="H72" s="151">
        <v>0</v>
      </c>
      <c r="I72" s="152">
        <v>3.91975998878479</v>
      </c>
      <c r="J72" s="151">
        <v>0</v>
      </c>
      <c r="K72" s="152">
        <v>3.91975998878479</v>
      </c>
      <c r="L72" s="151">
        <v>0</v>
      </c>
      <c r="M72" s="152">
        <v>3.91975998878479</v>
      </c>
      <c r="N72" s="151">
        <v>0</v>
      </c>
      <c r="O72" s="152">
        <v>0</v>
      </c>
      <c r="P72" s="151">
        <v>0</v>
      </c>
      <c r="Q72" s="152">
        <v>0</v>
      </c>
      <c r="R72" s="151">
        <v>0</v>
      </c>
      <c r="S72" s="152">
        <v>0</v>
      </c>
      <c r="T72" s="151">
        <v>0</v>
      </c>
      <c r="U72" s="153">
        <v>0</v>
      </c>
    </row>
    <row r="73" spans="1:21" x14ac:dyDescent="0.25">
      <c r="A73" s="21" t="s">
        <v>1256</v>
      </c>
      <c r="B73" s="154" t="s">
        <v>1257</v>
      </c>
      <c r="C73" s="154" t="s">
        <v>1258</v>
      </c>
      <c r="D73" s="155">
        <v>0</v>
      </c>
      <c r="E73" s="158">
        <v>0</v>
      </c>
      <c r="F73" s="155">
        <v>0</v>
      </c>
      <c r="G73" s="158">
        <v>1088</v>
      </c>
      <c r="H73" s="155">
        <v>0</v>
      </c>
      <c r="I73" s="158">
        <v>0</v>
      </c>
      <c r="J73" s="155">
        <v>0</v>
      </c>
      <c r="K73" s="158">
        <v>0</v>
      </c>
      <c r="L73" s="155">
        <v>2.5</v>
      </c>
      <c r="M73" s="158">
        <v>2.5</v>
      </c>
      <c r="N73" s="155">
        <v>0</v>
      </c>
      <c r="O73" s="158">
        <v>0</v>
      </c>
      <c r="P73" s="155">
        <v>0</v>
      </c>
      <c r="Q73" s="158">
        <v>0</v>
      </c>
      <c r="R73" s="155">
        <v>0</v>
      </c>
      <c r="S73" s="158">
        <v>0</v>
      </c>
      <c r="T73" s="155">
        <v>0</v>
      </c>
      <c r="U73" s="157">
        <v>0</v>
      </c>
    </row>
    <row r="74" spans="1:21" x14ac:dyDescent="0.25">
      <c r="A74" s="149" t="s">
        <v>565</v>
      </c>
      <c r="B74" s="150" t="s">
        <v>1259</v>
      </c>
      <c r="C74" s="150" t="s">
        <v>59</v>
      </c>
      <c r="D74" s="151">
        <v>4823</v>
      </c>
      <c r="E74" s="152">
        <v>0</v>
      </c>
      <c r="F74" s="151">
        <v>0</v>
      </c>
      <c r="G74" s="152">
        <v>0</v>
      </c>
      <c r="H74" s="151">
        <v>0</v>
      </c>
      <c r="I74" s="152">
        <v>0</v>
      </c>
      <c r="J74" s="151">
        <v>0</v>
      </c>
      <c r="K74" s="152">
        <v>0</v>
      </c>
      <c r="L74" s="151">
        <v>0</v>
      </c>
      <c r="M74" s="152">
        <v>0</v>
      </c>
      <c r="N74" s="151">
        <v>1496</v>
      </c>
      <c r="O74" s="152">
        <v>777</v>
      </c>
      <c r="P74" s="151">
        <v>2550</v>
      </c>
      <c r="Q74" s="152">
        <v>0</v>
      </c>
      <c r="R74" s="151">
        <v>0</v>
      </c>
      <c r="S74" s="152">
        <v>0</v>
      </c>
      <c r="T74" s="151">
        <v>0</v>
      </c>
      <c r="U74" s="153">
        <v>0</v>
      </c>
    </row>
    <row r="75" spans="1:21" x14ac:dyDescent="0.25">
      <c r="A75" s="21" t="s">
        <v>1260</v>
      </c>
      <c r="B75" s="154" t="s">
        <v>1261</v>
      </c>
      <c r="C75" s="154" t="s">
        <v>1262</v>
      </c>
      <c r="D75" s="155">
        <v>0</v>
      </c>
      <c r="E75" s="158">
        <v>0</v>
      </c>
      <c r="F75" s="155">
        <v>0</v>
      </c>
      <c r="G75" s="158">
        <v>126</v>
      </c>
      <c r="H75" s="155">
        <v>0</v>
      </c>
      <c r="I75" s="158">
        <v>0</v>
      </c>
      <c r="J75" s="155">
        <v>0</v>
      </c>
      <c r="K75" s="158">
        <v>0</v>
      </c>
      <c r="L75" s="155">
        <v>106.54799938201904</v>
      </c>
      <c r="M75" s="158">
        <v>106.54799938201904</v>
      </c>
      <c r="N75" s="155">
        <v>0</v>
      </c>
      <c r="O75" s="158">
        <v>0</v>
      </c>
      <c r="P75" s="155">
        <v>0</v>
      </c>
      <c r="Q75" s="158">
        <v>0</v>
      </c>
      <c r="R75" s="155">
        <v>0</v>
      </c>
      <c r="S75" s="158">
        <v>0</v>
      </c>
      <c r="T75" s="155">
        <v>0</v>
      </c>
      <c r="U75" s="157">
        <v>0</v>
      </c>
    </row>
    <row r="76" spans="1:21" x14ac:dyDescent="0.25">
      <c r="A76" s="149" t="s">
        <v>1199</v>
      </c>
      <c r="B76" s="150" t="s">
        <v>1200</v>
      </c>
      <c r="C76" s="150" t="s">
        <v>59</v>
      </c>
      <c r="D76" s="151">
        <v>9.9920072216264089E-16</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row>
    <row r="77" spans="1:21" x14ac:dyDescent="0.25">
      <c r="A77" s="21" t="s">
        <v>1263</v>
      </c>
      <c r="B77" s="154" t="s">
        <v>1264</v>
      </c>
      <c r="C77" s="154" t="s">
        <v>1265</v>
      </c>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row>
    <row r="78" spans="1:21" x14ac:dyDescent="0.25">
      <c r="A78" s="149" t="s">
        <v>1266</v>
      </c>
      <c r="B78" s="150" t="s">
        <v>1267</v>
      </c>
      <c r="C78" s="150" t="s">
        <v>1268</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row>
    <row r="79" spans="1:21" x14ac:dyDescent="0.25">
      <c r="A79" s="21" t="s">
        <v>1269</v>
      </c>
      <c r="B79" s="154" t="s">
        <v>1270</v>
      </c>
      <c r="C79" s="154" t="s">
        <v>1271</v>
      </c>
      <c r="D79" s="155">
        <v>0</v>
      </c>
      <c r="E79" s="158">
        <v>0</v>
      </c>
      <c r="F79" s="155">
        <v>0</v>
      </c>
      <c r="G79" s="158">
        <v>0</v>
      </c>
      <c r="H79" s="155">
        <v>0</v>
      </c>
      <c r="I79" s="158">
        <v>0</v>
      </c>
      <c r="J79" s="155">
        <v>0</v>
      </c>
      <c r="K79" s="158">
        <v>0</v>
      </c>
      <c r="L79" s="155">
        <v>0</v>
      </c>
      <c r="M79" s="158">
        <v>0</v>
      </c>
      <c r="N79" s="155">
        <v>0</v>
      </c>
      <c r="O79" s="158">
        <v>0</v>
      </c>
      <c r="P79" s="155">
        <v>0</v>
      </c>
      <c r="Q79" s="158">
        <v>0</v>
      </c>
      <c r="R79" s="155">
        <v>0</v>
      </c>
      <c r="S79" s="158">
        <v>0</v>
      </c>
      <c r="T79" s="155">
        <v>0</v>
      </c>
      <c r="U79" s="157">
        <v>0</v>
      </c>
    </row>
    <row r="80" spans="1:21" x14ac:dyDescent="0.25">
      <c r="A80" s="149" t="s">
        <v>1272</v>
      </c>
      <c r="B80" s="150" t="s">
        <v>1273</v>
      </c>
      <c r="C80" s="150" t="s">
        <v>1274</v>
      </c>
      <c r="D80" s="151">
        <v>0</v>
      </c>
      <c r="E80" s="152">
        <v>0</v>
      </c>
      <c r="F80" s="151">
        <v>0</v>
      </c>
      <c r="G80" s="152">
        <v>0</v>
      </c>
      <c r="H80" s="151">
        <v>0</v>
      </c>
      <c r="I80" s="152">
        <v>0</v>
      </c>
      <c r="J80" s="151">
        <v>0</v>
      </c>
      <c r="K80" s="152">
        <v>0</v>
      </c>
      <c r="L80" s="151">
        <v>0</v>
      </c>
      <c r="M80" s="152">
        <v>0</v>
      </c>
      <c r="N80" s="151">
        <v>0</v>
      </c>
      <c r="O80" s="152">
        <v>0</v>
      </c>
      <c r="P80" s="151">
        <v>0</v>
      </c>
      <c r="Q80" s="152">
        <v>0</v>
      </c>
      <c r="R80" s="151">
        <v>0</v>
      </c>
      <c r="S80" s="152">
        <v>0</v>
      </c>
      <c r="T80" s="151">
        <v>0</v>
      </c>
      <c r="U80" s="153">
        <v>0</v>
      </c>
    </row>
    <row r="81" spans="1:21" x14ac:dyDescent="0.25">
      <c r="A81" s="21" t="s">
        <v>1275</v>
      </c>
      <c r="B81" s="154" t="s">
        <v>1276</v>
      </c>
      <c r="C81" s="154" t="s">
        <v>1277</v>
      </c>
      <c r="D81" s="155">
        <v>0</v>
      </c>
      <c r="E81" s="158">
        <v>0</v>
      </c>
      <c r="F81" s="155">
        <v>0</v>
      </c>
      <c r="G81" s="158">
        <v>0</v>
      </c>
      <c r="H81" s="155">
        <v>0</v>
      </c>
      <c r="I81" s="158">
        <v>0</v>
      </c>
      <c r="J81" s="155">
        <v>0</v>
      </c>
      <c r="K81" s="158">
        <v>0</v>
      </c>
      <c r="L81" s="155">
        <v>0</v>
      </c>
      <c r="M81" s="158">
        <v>0</v>
      </c>
      <c r="N81" s="155">
        <v>0</v>
      </c>
      <c r="O81" s="158">
        <v>0</v>
      </c>
      <c r="P81" s="155">
        <v>0</v>
      </c>
      <c r="Q81" s="158">
        <v>0</v>
      </c>
      <c r="R81" s="155">
        <v>0</v>
      </c>
      <c r="S81" s="158">
        <v>0</v>
      </c>
      <c r="T81" s="155">
        <v>0</v>
      </c>
      <c r="U81" s="157">
        <v>0</v>
      </c>
    </row>
    <row r="82" spans="1:21" x14ac:dyDescent="0.25">
      <c r="A82" s="149" t="s">
        <v>1278</v>
      </c>
      <c r="B82" s="150" t="s">
        <v>1279</v>
      </c>
      <c r="C82" s="150" t="s">
        <v>1280</v>
      </c>
      <c r="D82" s="151">
        <v>0</v>
      </c>
      <c r="E82" s="152">
        <v>0</v>
      </c>
      <c r="F82" s="151">
        <v>0</v>
      </c>
      <c r="G82" s="152">
        <v>0</v>
      </c>
      <c r="H82" s="151">
        <v>0</v>
      </c>
      <c r="I82" s="152">
        <v>0</v>
      </c>
      <c r="J82" s="151">
        <v>0</v>
      </c>
      <c r="K82" s="152">
        <v>0</v>
      </c>
      <c r="L82" s="151">
        <v>0</v>
      </c>
      <c r="M82" s="152">
        <v>0</v>
      </c>
      <c r="N82" s="151">
        <v>0</v>
      </c>
      <c r="O82" s="152">
        <v>0</v>
      </c>
      <c r="P82" s="151">
        <v>0</v>
      </c>
      <c r="Q82" s="152">
        <v>0</v>
      </c>
      <c r="R82" s="151">
        <v>0</v>
      </c>
      <c r="S82" s="152">
        <v>0</v>
      </c>
      <c r="T82" s="151">
        <v>0</v>
      </c>
      <c r="U82" s="153">
        <v>0</v>
      </c>
    </row>
    <row r="83" spans="1:21" x14ac:dyDescent="0.25">
      <c r="A83" s="21" t="s">
        <v>1281</v>
      </c>
      <c r="B83" s="154" t="s">
        <v>1282</v>
      </c>
      <c r="C83" s="154" t="s">
        <v>1283</v>
      </c>
      <c r="D83" s="155">
        <v>0</v>
      </c>
      <c r="E83" s="158">
        <v>0</v>
      </c>
      <c r="F83" s="155">
        <v>0</v>
      </c>
      <c r="G83" s="158">
        <v>0</v>
      </c>
      <c r="H83" s="155">
        <v>0</v>
      </c>
      <c r="I83" s="158">
        <v>0</v>
      </c>
      <c r="J83" s="155">
        <v>0</v>
      </c>
      <c r="K83" s="158">
        <v>0</v>
      </c>
      <c r="L83" s="155">
        <v>0</v>
      </c>
      <c r="M83" s="158">
        <v>0</v>
      </c>
      <c r="N83" s="155">
        <v>0</v>
      </c>
      <c r="O83" s="158">
        <v>0</v>
      </c>
      <c r="P83" s="155">
        <v>0</v>
      </c>
      <c r="Q83" s="158">
        <v>0</v>
      </c>
      <c r="R83" s="155">
        <v>0</v>
      </c>
      <c r="S83" s="158">
        <v>0</v>
      </c>
      <c r="T83" s="155">
        <v>0</v>
      </c>
      <c r="U83" s="157">
        <v>0</v>
      </c>
    </row>
    <row r="84" spans="1:21" x14ac:dyDescent="0.25">
      <c r="A84" s="149" t="s">
        <v>1284</v>
      </c>
      <c r="B84" s="150" t="s">
        <v>1285</v>
      </c>
      <c r="C84" s="150" t="s">
        <v>1286</v>
      </c>
      <c r="D84" s="151">
        <v>0</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row>
    <row r="85" spans="1:21" x14ac:dyDescent="0.25">
      <c r="A85" s="21" t="s">
        <v>1194</v>
      </c>
      <c r="B85" s="154" t="s">
        <v>1287</v>
      </c>
      <c r="C85" s="154" t="s">
        <v>59</v>
      </c>
      <c r="D85" s="155">
        <v>0</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row>
    <row r="86" spans="1:21" x14ac:dyDescent="0.25">
      <c r="A86" s="149" t="s">
        <v>1288</v>
      </c>
      <c r="B86" s="150" t="s">
        <v>1289</v>
      </c>
      <c r="C86" s="150" t="s">
        <v>1290</v>
      </c>
      <c r="D86" s="151">
        <v>0</v>
      </c>
      <c r="E86" s="152">
        <v>0</v>
      </c>
      <c r="F86" s="151">
        <v>0</v>
      </c>
      <c r="G86" s="152">
        <v>0</v>
      </c>
      <c r="H86" s="151">
        <v>0</v>
      </c>
      <c r="I86" s="152">
        <v>0</v>
      </c>
      <c r="J86" s="151">
        <v>0</v>
      </c>
      <c r="K86" s="152">
        <v>0</v>
      </c>
      <c r="L86" s="151">
        <v>0</v>
      </c>
      <c r="M86" s="152">
        <v>0</v>
      </c>
      <c r="N86" s="151">
        <v>0</v>
      </c>
      <c r="O86" s="152">
        <v>0</v>
      </c>
      <c r="P86" s="151">
        <v>0</v>
      </c>
      <c r="Q86" s="152">
        <v>0</v>
      </c>
      <c r="R86" s="151">
        <v>0</v>
      </c>
      <c r="S86" s="152">
        <v>0</v>
      </c>
      <c r="T86" s="151">
        <v>0</v>
      </c>
      <c r="U86" s="153">
        <v>0</v>
      </c>
    </row>
    <row r="87" spans="1:21" x14ac:dyDescent="0.25">
      <c r="A87" s="21" t="s">
        <v>1291</v>
      </c>
      <c r="B87" s="154" t="s">
        <v>1292</v>
      </c>
      <c r="C87" s="154" t="s">
        <v>1293</v>
      </c>
      <c r="D87" s="155">
        <v>0</v>
      </c>
      <c r="E87" s="158">
        <v>0</v>
      </c>
      <c r="F87" s="155">
        <v>0</v>
      </c>
      <c r="G87" s="158">
        <v>13</v>
      </c>
      <c r="H87" s="155">
        <v>0</v>
      </c>
      <c r="I87" s="158">
        <v>12.704649925231934</v>
      </c>
      <c r="J87" s="155">
        <v>0</v>
      </c>
      <c r="K87" s="158">
        <v>12.704649925231934</v>
      </c>
      <c r="L87" s="155">
        <v>0</v>
      </c>
      <c r="M87" s="158">
        <v>12.704649925231934</v>
      </c>
      <c r="N87" s="155">
        <v>0</v>
      </c>
      <c r="O87" s="158">
        <v>0</v>
      </c>
      <c r="P87" s="155">
        <v>0</v>
      </c>
      <c r="Q87" s="158">
        <v>0</v>
      </c>
      <c r="R87" s="155">
        <v>0</v>
      </c>
      <c r="S87" s="158">
        <v>0</v>
      </c>
      <c r="T87" s="155">
        <v>0</v>
      </c>
      <c r="U87" s="157">
        <v>0</v>
      </c>
    </row>
    <row r="88" spans="1:21" x14ac:dyDescent="0.25">
      <c r="A88" s="149" t="s">
        <v>1196</v>
      </c>
      <c r="B88" s="150" t="s">
        <v>1197</v>
      </c>
      <c r="C88" s="150" t="s">
        <v>59</v>
      </c>
      <c r="D88" s="151">
        <v>0</v>
      </c>
      <c r="E88" s="152">
        <v>0</v>
      </c>
      <c r="F88" s="151">
        <v>0</v>
      </c>
      <c r="G88" s="152">
        <v>0</v>
      </c>
      <c r="H88" s="151">
        <v>0</v>
      </c>
      <c r="I88" s="152">
        <v>0</v>
      </c>
      <c r="J88" s="151">
        <v>0</v>
      </c>
      <c r="K88" s="152">
        <v>0</v>
      </c>
      <c r="L88" s="151">
        <v>0</v>
      </c>
      <c r="M88" s="152">
        <v>0</v>
      </c>
      <c r="N88" s="151">
        <v>0</v>
      </c>
      <c r="O88" s="152">
        <v>0</v>
      </c>
      <c r="P88" s="151">
        <v>0</v>
      </c>
      <c r="Q88" s="152">
        <v>0</v>
      </c>
      <c r="R88" s="151">
        <v>0</v>
      </c>
      <c r="S88" s="152">
        <v>0</v>
      </c>
      <c r="T88" s="151">
        <v>0</v>
      </c>
      <c r="U88" s="153">
        <v>0</v>
      </c>
    </row>
    <row r="89" spans="1:21" x14ac:dyDescent="0.25">
      <c r="A89" s="21" t="s">
        <v>1294</v>
      </c>
      <c r="B89" s="154" t="s">
        <v>1295</v>
      </c>
      <c r="C89" s="154" t="s">
        <v>1296</v>
      </c>
      <c r="D89" s="155">
        <v>2417</v>
      </c>
      <c r="E89" s="158">
        <v>0</v>
      </c>
      <c r="F89" s="155">
        <v>2417</v>
      </c>
      <c r="G89" s="158">
        <v>0</v>
      </c>
      <c r="H89" s="155">
        <v>0</v>
      </c>
      <c r="I89" s="158">
        <v>0</v>
      </c>
      <c r="J89" s="155">
        <v>0</v>
      </c>
      <c r="K89" s="158">
        <v>0</v>
      </c>
      <c r="L89" s="155">
        <v>0</v>
      </c>
      <c r="M89" s="158">
        <v>0</v>
      </c>
      <c r="N89" s="155">
        <v>0</v>
      </c>
      <c r="O89" s="158">
        <v>0</v>
      </c>
      <c r="P89" s="155">
        <v>0</v>
      </c>
      <c r="Q89" s="158">
        <v>0</v>
      </c>
      <c r="R89" s="155">
        <v>0</v>
      </c>
      <c r="S89" s="158">
        <v>0</v>
      </c>
      <c r="T89" s="155">
        <v>0</v>
      </c>
      <c r="U89" s="157">
        <v>0</v>
      </c>
    </row>
    <row r="90" spans="1:21" x14ac:dyDescent="0.25">
      <c r="A90" s="149" t="s">
        <v>565</v>
      </c>
      <c r="B90" s="150" t="s">
        <v>1198</v>
      </c>
      <c r="C90" s="150" t="s">
        <v>59</v>
      </c>
      <c r="D90" s="151">
        <v>11667</v>
      </c>
      <c r="E90" s="152">
        <v>0</v>
      </c>
      <c r="F90" s="151">
        <v>0</v>
      </c>
      <c r="G90" s="152">
        <v>0</v>
      </c>
      <c r="H90" s="151">
        <v>0</v>
      </c>
      <c r="I90" s="152">
        <v>0</v>
      </c>
      <c r="J90" s="151">
        <v>0</v>
      </c>
      <c r="K90" s="152">
        <v>0</v>
      </c>
      <c r="L90" s="151">
        <v>0</v>
      </c>
      <c r="M90" s="152">
        <v>0</v>
      </c>
      <c r="N90" s="151">
        <v>2235</v>
      </c>
      <c r="O90" s="152">
        <v>3005</v>
      </c>
      <c r="P90" s="151">
        <v>3898</v>
      </c>
      <c r="Q90" s="152">
        <v>2529</v>
      </c>
      <c r="R90" s="151">
        <v>0</v>
      </c>
      <c r="S90" s="152">
        <v>0</v>
      </c>
      <c r="T90" s="151">
        <v>0</v>
      </c>
      <c r="U90" s="153">
        <v>0</v>
      </c>
    </row>
    <row r="91" spans="1:21" x14ac:dyDescent="0.25">
      <c r="A91" s="21" t="s">
        <v>1199</v>
      </c>
      <c r="B91" s="154" t="s">
        <v>1200</v>
      </c>
      <c r="C91" s="154" t="s">
        <v>59</v>
      </c>
      <c r="D91" s="155">
        <v>0</v>
      </c>
      <c r="E91" s="158">
        <v>0</v>
      </c>
      <c r="F91" s="155">
        <v>0</v>
      </c>
      <c r="G91" s="158">
        <v>0</v>
      </c>
      <c r="H91" s="155">
        <v>0</v>
      </c>
      <c r="I91" s="158">
        <v>0</v>
      </c>
      <c r="J91" s="155">
        <v>0</v>
      </c>
      <c r="K91" s="158">
        <v>0</v>
      </c>
      <c r="L91" s="155">
        <v>0</v>
      </c>
      <c r="M91" s="158">
        <v>0</v>
      </c>
      <c r="N91" s="155">
        <v>0</v>
      </c>
      <c r="O91" s="158">
        <v>0</v>
      </c>
      <c r="P91" s="155">
        <v>0</v>
      </c>
      <c r="Q91" s="158">
        <v>0</v>
      </c>
      <c r="R91" s="155">
        <v>0</v>
      </c>
      <c r="S91" s="158">
        <v>0</v>
      </c>
      <c r="T91" s="155">
        <v>0</v>
      </c>
      <c r="U91" s="157">
        <v>0</v>
      </c>
    </row>
    <row r="92" spans="1:21" x14ac:dyDescent="0.25">
      <c r="A92" s="149" t="s">
        <v>1194</v>
      </c>
      <c r="B92" s="150" t="s">
        <v>1195</v>
      </c>
      <c r="C92" s="150" t="s">
        <v>59</v>
      </c>
      <c r="D92" s="151">
        <v>0</v>
      </c>
      <c r="E92" s="152">
        <v>0</v>
      </c>
      <c r="F92" s="151">
        <v>0</v>
      </c>
      <c r="G92" s="152">
        <v>0</v>
      </c>
      <c r="H92" s="151">
        <v>0</v>
      </c>
      <c r="I92" s="152">
        <v>0</v>
      </c>
      <c r="J92" s="151">
        <v>0</v>
      </c>
      <c r="K92" s="152">
        <v>0</v>
      </c>
      <c r="L92" s="151">
        <v>0</v>
      </c>
      <c r="M92" s="152">
        <v>0</v>
      </c>
      <c r="N92" s="151">
        <v>0</v>
      </c>
      <c r="O92" s="152">
        <v>0</v>
      </c>
      <c r="P92" s="151">
        <v>0</v>
      </c>
      <c r="Q92" s="152">
        <v>0</v>
      </c>
      <c r="R92" s="151">
        <v>0</v>
      </c>
      <c r="S92" s="152">
        <v>0</v>
      </c>
      <c r="T92" s="151">
        <v>0</v>
      </c>
      <c r="U92" s="153">
        <v>0</v>
      </c>
    </row>
    <row r="93" spans="1:21" x14ac:dyDescent="0.25">
      <c r="A93" s="21" t="s">
        <v>1297</v>
      </c>
      <c r="B93" s="154" t="s">
        <v>1298</v>
      </c>
      <c r="C93" s="154" t="s">
        <v>1299</v>
      </c>
      <c r="D93" s="155">
        <v>0</v>
      </c>
      <c r="E93" s="158">
        <v>0</v>
      </c>
      <c r="F93" s="155">
        <v>0</v>
      </c>
      <c r="G93" s="158">
        <v>0</v>
      </c>
      <c r="H93" s="155">
        <v>0</v>
      </c>
      <c r="I93" s="158">
        <v>0</v>
      </c>
      <c r="J93" s="155">
        <v>0</v>
      </c>
      <c r="K93" s="158">
        <v>0</v>
      </c>
      <c r="L93" s="155">
        <v>0</v>
      </c>
      <c r="M93" s="158">
        <v>0</v>
      </c>
      <c r="N93" s="155">
        <v>0</v>
      </c>
      <c r="O93" s="158">
        <v>0</v>
      </c>
      <c r="P93" s="155">
        <v>0</v>
      </c>
      <c r="Q93" s="158">
        <v>0</v>
      </c>
      <c r="R93" s="155">
        <v>0</v>
      </c>
      <c r="S93" s="158">
        <v>0</v>
      </c>
      <c r="T93" s="155">
        <v>0</v>
      </c>
      <c r="U93" s="157">
        <v>0</v>
      </c>
    </row>
    <row r="94" spans="1:21" x14ac:dyDescent="0.25">
      <c r="A94" s="149" t="s">
        <v>1157</v>
      </c>
      <c r="B94" s="150" t="s">
        <v>1300</v>
      </c>
      <c r="C94" s="150" t="s">
        <v>1158</v>
      </c>
      <c r="D94" s="151">
        <v>0</v>
      </c>
      <c r="E94" s="152">
        <v>0</v>
      </c>
      <c r="F94" s="151">
        <v>0</v>
      </c>
      <c r="G94" s="152">
        <v>56</v>
      </c>
      <c r="H94" s="151">
        <v>0</v>
      </c>
      <c r="I94" s="152">
        <v>54.296999216079712</v>
      </c>
      <c r="J94" s="151">
        <v>0</v>
      </c>
      <c r="K94" s="152">
        <v>54.296999216079712</v>
      </c>
      <c r="L94" s="151">
        <v>0</v>
      </c>
      <c r="M94" s="152">
        <v>54.296999216079712</v>
      </c>
      <c r="N94" s="151">
        <v>0</v>
      </c>
      <c r="O94" s="152">
        <v>0</v>
      </c>
      <c r="P94" s="151">
        <v>0</v>
      </c>
      <c r="Q94" s="152">
        <v>0</v>
      </c>
      <c r="R94" s="151">
        <v>0</v>
      </c>
      <c r="S94" s="152">
        <v>0</v>
      </c>
      <c r="T94" s="151">
        <v>0</v>
      </c>
      <c r="U94" s="153">
        <v>0</v>
      </c>
    </row>
    <row r="95" spans="1:21" x14ac:dyDescent="0.25">
      <c r="A95" s="21" t="s">
        <v>1196</v>
      </c>
      <c r="B95" s="154" t="s">
        <v>1197</v>
      </c>
      <c r="C95" s="154" t="s">
        <v>59</v>
      </c>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row>
    <row r="96" spans="1:21" x14ac:dyDescent="0.25">
      <c r="A96" s="149" t="s">
        <v>1161</v>
      </c>
      <c r="B96" s="150" t="s">
        <v>1301</v>
      </c>
      <c r="C96" s="150" t="s">
        <v>1302</v>
      </c>
      <c r="D96" s="151">
        <v>0</v>
      </c>
      <c r="E96" s="152">
        <v>0</v>
      </c>
      <c r="F96" s="151">
        <v>0</v>
      </c>
      <c r="G96" s="152">
        <v>2</v>
      </c>
      <c r="H96" s="151">
        <v>0</v>
      </c>
      <c r="I96" s="152">
        <v>1.7749999761581421</v>
      </c>
      <c r="J96" s="151">
        <v>0</v>
      </c>
      <c r="K96" s="152">
        <v>1.7749999761581421</v>
      </c>
      <c r="L96" s="151">
        <v>0</v>
      </c>
      <c r="M96" s="152">
        <v>1.7749999761581421</v>
      </c>
      <c r="N96" s="151">
        <v>0</v>
      </c>
      <c r="O96" s="152">
        <v>0</v>
      </c>
      <c r="P96" s="151">
        <v>0</v>
      </c>
      <c r="Q96" s="152">
        <v>0</v>
      </c>
      <c r="R96" s="151">
        <v>0</v>
      </c>
      <c r="S96" s="152">
        <v>0</v>
      </c>
      <c r="T96" s="151">
        <v>0</v>
      </c>
      <c r="U96" s="153">
        <v>0</v>
      </c>
    </row>
    <row r="97" spans="1:21" x14ac:dyDescent="0.25">
      <c r="A97" s="21" t="s">
        <v>1303</v>
      </c>
      <c r="B97" s="154" t="s">
        <v>1304</v>
      </c>
      <c r="C97" s="154" t="s">
        <v>1305</v>
      </c>
      <c r="D97" s="155">
        <v>6259</v>
      </c>
      <c r="E97" s="158">
        <v>0</v>
      </c>
      <c r="F97" s="155">
        <v>6259</v>
      </c>
      <c r="G97" s="158">
        <v>0</v>
      </c>
      <c r="H97" s="155">
        <v>62</v>
      </c>
      <c r="I97" s="158">
        <v>0</v>
      </c>
      <c r="J97" s="155">
        <v>0</v>
      </c>
      <c r="K97" s="158">
        <v>0</v>
      </c>
      <c r="L97" s="155">
        <v>0</v>
      </c>
      <c r="M97" s="158">
        <v>0</v>
      </c>
      <c r="N97" s="155">
        <v>0</v>
      </c>
      <c r="O97" s="158">
        <v>0</v>
      </c>
      <c r="P97" s="155">
        <v>0</v>
      </c>
      <c r="Q97" s="158">
        <v>0</v>
      </c>
      <c r="R97" s="155">
        <v>0</v>
      </c>
      <c r="S97" s="158">
        <v>0</v>
      </c>
      <c r="T97" s="155">
        <v>0</v>
      </c>
      <c r="U97" s="157">
        <v>0</v>
      </c>
    </row>
    <row r="98" spans="1:21" x14ac:dyDescent="0.25">
      <c r="A98" s="149" t="s">
        <v>565</v>
      </c>
      <c r="B98" s="150" t="s">
        <v>1198</v>
      </c>
      <c r="C98" s="150" t="s">
        <v>59</v>
      </c>
      <c r="D98" s="151">
        <v>34192</v>
      </c>
      <c r="E98" s="152">
        <v>0</v>
      </c>
      <c r="F98" s="151">
        <v>0</v>
      </c>
      <c r="G98" s="152">
        <v>0</v>
      </c>
      <c r="H98" s="151">
        <v>0</v>
      </c>
      <c r="I98" s="152">
        <v>0</v>
      </c>
      <c r="J98" s="151">
        <v>0</v>
      </c>
      <c r="K98" s="152">
        <v>0</v>
      </c>
      <c r="L98" s="151">
        <v>0</v>
      </c>
      <c r="M98" s="152">
        <v>0</v>
      </c>
      <c r="N98" s="151">
        <v>8703</v>
      </c>
      <c r="O98" s="152">
        <v>9836</v>
      </c>
      <c r="P98" s="151">
        <v>9596</v>
      </c>
      <c r="Q98" s="152">
        <v>6057</v>
      </c>
      <c r="R98" s="151">
        <v>0</v>
      </c>
      <c r="S98" s="152">
        <v>0</v>
      </c>
      <c r="T98" s="151">
        <v>0</v>
      </c>
      <c r="U98" s="153">
        <v>0</v>
      </c>
    </row>
    <row r="99" spans="1:21" x14ac:dyDescent="0.25">
      <c r="A99" s="21" t="s">
        <v>1153</v>
      </c>
      <c r="B99" s="154" t="s">
        <v>472</v>
      </c>
      <c r="C99" s="154" t="s">
        <v>1306</v>
      </c>
      <c r="D99" s="155">
        <v>0</v>
      </c>
      <c r="E99" s="158">
        <v>0</v>
      </c>
      <c r="F99" s="155">
        <v>0</v>
      </c>
      <c r="G99" s="158">
        <v>250</v>
      </c>
      <c r="H99" s="155">
        <v>0</v>
      </c>
      <c r="I99" s="158">
        <v>0</v>
      </c>
      <c r="J99" s="155">
        <v>0</v>
      </c>
      <c r="K99" s="158">
        <v>0</v>
      </c>
      <c r="L99" s="155">
        <v>51.18402099609375</v>
      </c>
      <c r="M99" s="158">
        <v>51.18402099609375</v>
      </c>
      <c r="N99" s="155">
        <v>0</v>
      </c>
      <c r="O99" s="158">
        <v>0</v>
      </c>
      <c r="P99" s="155">
        <v>0</v>
      </c>
      <c r="Q99" s="158">
        <v>0</v>
      </c>
      <c r="R99" s="155">
        <v>0</v>
      </c>
      <c r="S99" s="158">
        <v>0</v>
      </c>
      <c r="T99" s="155">
        <v>0</v>
      </c>
      <c r="U99" s="157">
        <v>0</v>
      </c>
    </row>
    <row r="100" spans="1:21" x14ac:dyDescent="0.25">
      <c r="A100" s="149" t="s">
        <v>1199</v>
      </c>
      <c r="B100" s="150" t="s">
        <v>1200</v>
      </c>
      <c r="C100" s="150" t="s">
        <v>59</v>
      </c>
      <c r="D100" s="151">
        <v>0.5</v>
      </c>
      <c r="E100" s="152">
        <v>0</v>
      </c>
      <c r="F100" s="151">
        <v>0</v>
      </c>
      <c r="G100" s="152">
        <v>0</v>
      </c>
      <c r="H100" s="151">
        <v>0</v>
      </c>
      <c r="I100" s="152">
        <v>0</v>
      </c>
      <c r="J100" s="151">
        <v>0</v>
      </c>
      <c r="K100" s="152">
        <v>0</v>
      </c>
      <c r="L100" s="151">
        <v>0</v>
      </c>
      <c r="M100" s="152">
        <v>0</v>
      </c>
      <c r="N100" s="151">
        <v>0</v>
      </c>
      <c r="O100" s="152">
        <v>0</v>
      </c>
      <c r="P100" s="151">
        <v>0</v>
      </c>
      <c r="Q100" s="152">
        <v>0</v>
      </c>
      <c r="R100" s="151">
        <v>0</v>
      </c>
      <c r="S100" s="152">
        <v>0</v>
      </c>
      <c r="T100" s="151">
        <v>0</v>
      </c>
      <c r="U100" s="153">
        <v>0</v>
      </c>
    </row>
    <row r="101" spans="1:21" x14ac:dyDescent="0.25">
      <c r="A101" s="21" t="s">
        <v>1194</v>
      </c>
      <c r="B101" s="154" t="s">
        <v>1307</v>
      </c>
      <c r="C101" s="154" t="s">
        <v>59</v>
      </c>
      <c r="D101" s="155">
        <v>0</v>
      </c>
      <c r="E101" s="158">
        <v>0</v>
      </c>
      <c r="F101" s="155">
        <v>0</v>
      </c>
      <c r="G101" s="158">
        <v>0</v>
      </c>
      <c r="H101" s="155">
        <v>0</v>
      </c>
      <c r="I101" s="158">
        <v>0</v>
      </c>
      <c r="J101" s="155">
        <v>0</v>
      </c>
      <c r="K101" s="158">
        <v>0</v>
      </c>
      <c r="L101" s="155">
        <v>0</v>
      </c>
      <c r="M101" s="158">
        <v>0</v>
      </c>
      <c r="N101" s="155">
        <v>0</v>
      </c>
      <c r="O101" s="158">
        <v>0</v>
      </c>
      <c r="P101" s="155">
        <v>0</v>
      </c>
      <c r="Q101" s="158">
        <v>0</v>
      </c>
      <c r="R101" s="155">
        <v>0</v>
      </c>
      <c r="S101" s="158">
        <v>0</v>
      </c>
      <c r="T101" s="155">
        <v>0</v>
      </c>
      <c r="U101" s="157">
        <v>0</v>
      </c>
    </row>
    <row r="102" spans="1:21" x14ac:dyDescent="0.25">
      <c r="A102" s="149" t="s">
        <v>1196</v>
      </c>
      <c r="B102" s="150" t="s">
        <v>1197</v>
      </c>
      <c r="C102" s="150" t="s">
        <v>59</v>
      </c>
      <c r="D102" s="151">
        <v>0</v>
      </c>
      <c r="E102" s="152">
        <v>0</v>
      </c>
      <c r="F102" s="151">
        <v>0</v>
      </c>
      <c r="G102" s="152">
        <v>0</v>
      </c>
      <c r="H102" s="151">
        <v>0</v>
      </c>
      <c r="I102" s="152">
        <v>0</v>
      </c>
      <c r="J102" s="151">
        <v>0</v>
      </c>
      <c r="K102" s="152">
        <v>0</v>
      </c>
      <c r="L102" s="151">
        <v>0</v>
      </c>
      <c r="M102" s="152">
        <v>0</v>
      </c>
      <c r="N102" s="151">
        <v>0</v>
      </c>
      <c r="O102" s="152">
        <v>0</v>
      </c>
      <c r="P102" s="151">
        <v>0</v>
      </c>
      <c r="Q102" s="152">
        <v>0</v>
      </c>
      <c r="R102" s="151">
        <v>0</v>
      </c>
      <c r="S102" s="152">
        <v>0</v>
      </c>
      <c r="T102" s="151">
        <v>0</v>
      </c>
      <c r="U102" s="153">
        <v>0</v>
      </c>
    </row>
    <row r="103" spans="1:21" x14ac:dyDescent="0.25">
      <c r="A103" s="21" t="s">
        <v>565</v>
      </c>
      <c r="B103" s="154" t="s">
        <v>1198</v>
      </c>
      <c r="C103" s="154" t="s">
        <v>59</v>
      </c>
      <c r="D103" s="155">
        <v>0</v>
      </c>
      <c r="E103" s="158">
        <v>0</v>
      </c>
      <c r="F103" s="155">
        <v>0</v>
      </c>
      <c r="G103" s="158">
        <v>0</v>
      </c>
      <c r="H103" s="155">
        <v>0</v>
      </c>
      <c r="I103" s="158">
        <v>0</v>
      </c>
      <c r="J103" s="155">
        <v>0</v>
      </c>
      <c r="K103" s="158">
        <v>0</v>
      </c>
      <c r="L103" s="155">
        <v>0</v>
      </c>
      <c r="M103" s="158">
        <v>0</v>
      </c>
      <c r="N103" s="155">
        <v>0</v>
      </c>
      <c r="O103" s="158">
        <v>0</v>
      </c>
      <c r="P103" s="155">
        <v>0</v>
      </c>
      <c r="Q103" s="158">
        <v>0</v>
      </c>
      <c r="R103" s="155">
        <v>0</v>
      </c>
      <c r="S103" s="158">
        <v>0</v>
      </c>
      <c r="T103" s="155">
        <v>0</v>
      </c>
      <c r="U103" s="157">
        <v>0</v>
      </c>
    </row>
    <row r="104" spans="1:21" x14ac:dyDescent="0.25">
      <c r="A104" s="149" t="s">
        <v>1199</v>
      </c>
      <c r="B104" s="150" t="s">
        <v>1200</v>
      </c>
      <c r="C104" s="150" t="s">
        <v>59</v>
      </c>
      <c r="D104" s="151">
        <v>-1</v>
      </c>
      <c r="E104" s="152">
        <v>0</v>
      </c>
      <c r="F104" s="151">
        <v>0</v>
      </c>
      <c r="G104" s="152">
        <v>0</v>
      </c>
      <c r="H104" s="151">
        <v>0</v>
      </c>
      <c r="I104" s="152">
        <v>0</v>
      </c>
      <c r="J104" s="151">
        <v>0</v>
      </c>
      <c r="K104" s="152">
        <v>0</v>
      </c>
      <c r="L104" s="151">
        <v>0</v>
      </c>
      <c r="M104" s="152">
        <v>0</v>
      </c>
      <c r="N104" s="151">
        <v>0</v>
      </c>
      <c r="O104" s="152">
        <v>0</v>
      </c>
      <c r="P104" s="151">
        <v>0</v>
      </c>
      <c r="Q104" s="152">
        <v>0</v>
      </c>
      <c r="R104" s="151">
        <v>0</v>
      </c>
      <c r="S104" s="152">
        <v>0</v>
      </c>
      <c r="T104" s="151">
        <v>0</v>
      </c>
      <c r="U104" s="153">
        <v>0</v>
      </c>
    </row>
    <row r="105" spans="1:21" x14ac:dyDescent="0.25">
      <c r="A105" s="21" t="s">
        <v>1308</v>
      </c>
      <c r="B105" s="154" t="s">
        <v>1309</v>
      </c>
      <c r="C105" s="154" t="s">
        <v>1310</v>
      </c>
      <c r="D105" s="155">
        <v>34563</v>
      </c>
      <c r="E105" s="158">
        <v>0</v>
      </c>
      <c r="F105" s="155">
        <v>4112</v>
      </c>
      <c r="G105" s="158">
        <v>0</v>
      </c>
      <c r="H105" s="155">
        <v>0</v>
      </c>
      <c r="I105" s="158">
        <v>0</v>
      </c>
      <c r="J105" s="155">
        <v>0</v>
      </c>
      <c r="K105" s="158">
        <v>0</v>
      </c>
      <c r="L105" s="155">
        <v>0</v>
      </c>
      <c r="M105" s="158">
        <v>0</v>
      </c>
      <c r="N105" s="155">
        <v>5203</v>
      </c>
      <c r="O105" s="158">
        <v>8313</v>
      </c>
      <c r="P105" s="155">
        <v>9847</v>
      </c>
      <c r="Q105" s="158">
        <v>7088</v>
      </c>
      <c r="R105" s="155">
        <v>0</v>
      </c>
      <c r="S105" s="158">
        <v>0</v>
      </c>
      <c r="T105" s="155">
        <v>0</v>
      </c>
      <c r="U105" s="157">
        <v>0</v>
      </c>
    </row>
    <row r="106" spans="1:21" x14ac:dyDescent="0.25">
      <c r="A106" s="149" t="s">
        <v>1192</v>
      </c>
      <c r="B106" s="150" t="s">
        <v>1311</v>
      </c>
      <c r="C106" s="150" t="s">
        <v>1193</v>
      </c>
      <c r="D106" s="151">
        <v>0</v>
      </c>
      <c r="E106" s="152">
        <v>0</v>
      </c>
      <c r="F106" s="151">
        <v>0</v>
      </c>
      <c r="G106" s="152">
        <v>367</v>
      </c>
      <c r="H106" s="151">
        <v>0</v>
      </c>
      <c r="I106" s="152">
        <v>0</v>
      </c>
      <c r="J106" s="151">
        <v>0</v>
      </c>
      <c r="K106" s="152">
        <v>0</v>
      </c>
      <c r="L106" s="151">
        <v>341.78379249572754</v>
      </c>
      <c r="M106" s="152">
        <v>341.78379249572754</v>
      </c>
      <c r="N106" s="151">
        <v>0</v>
      </c>
      <c r="O106" s="152">
        <v>0</v>
      </c>
      <c r="P106" s="151">
        <v>0</v>
      </c>
      <c r="Q106" s="152">
        <v>0</v>
      </c>
      <c r="R106" s="151">
        <v>0</v>
      </c>
      <c r="S106" s="152">
        <v>0</v>
      </c>
      <c r="T106" s="151">
        <v>0</v>
      </c>
      <c r="U106" s="153">
        <v>0</v>
      </c>
    </row>
    <row r="107" spans="1:21" x14ac:dyDescent="0.25">
      <c r="A107" s="21" t="s">
        <v>1312</v>
      </c>
      <c r="B107" s="154" t="s">
        <v>1313</v>
      </c>
      <c r="C107" s="154" t="s">
        <v>1314</v>
      </c>
      <c r="D107" s="155">
        <v>0</v>
      </c>
      <c r="E107" s="158">
        <v>0</v>
      </c>
      <c r="F107" s="155">
        <v>0</v>
      </c>
      <c r="G107" s="158">
        <v>108</v>
      </c>
      <c r="H107" s="155">
        <v>0</v>
      </c>
      <c r="I107" s="158">
        <v>0</v>
      </c>
      <c r="J107" s="155">
        <v>0</v>
      </c>
      <c r="K107" s="158">
        <v>0</v>
      </c>
      <c r="L107" s="155">
        <v>0</v>
      </c>
      <c r="M107" s="158">
        <v>0</v>
      </c>
      <c r="N107" s="155">
        <v>0</v>
      </c>
      <c r="O107" s="158">
        <v>0</v>
      </c>
      <c r="P107" s="155">
        <v>0</v>
      </c>
      <c r="Q107" s="158">
        <v>0</v>
      </c>
      <c r="R107" s="155">
        <v>0</v>
      </c>
      <c r="S107" s="158">
        <v>0</v>
      </c>
      <c r="T107" s="155">
        <v>0</v>
      </c>
      <c r="U107" s="157">
        <v>0</v>
      </c>
    </row>
    <row r="108" spans="1:21" x14ac:dyDescent="0.25">
      <c r="A108" s="149" t="s">
        <v>1194</v>
      </c>
      <c r="B108" s="150" t="s">
        <v>1315</v>
      </c>
      <c r="C108" s="150" t="s">
        <v>59</v>
      </c>
      <c r="D108" s="151">
        <v>0</v>
      </c>
      <c r="E108" s="152">
        <v>0</v>
      </c>
      <c r="F108" s="151">
        <v>0</v>
      </c>
      <c r="G108" s="152">
        <v>0</v>
      </c>
      <c r="H108" s="151">
        <v>0</v>
      </c>
      <c r="I108" s="152">
        <v>0</v>
      </c>
      <c r="J108" s="151">
        <v>0</v>
      </c>
      <c r="K108" s="152">
        <v>0</v>
      </c>
      <c r="L108" s="151">
        <v>0</v>
      </c>
      <c r="M108" s="152">
        <v>0</v>
      </c>
      <c r="N108" s="151">
        <v>0</v>
      </c>
      <c r="O108" s="152">
        <v>0</v>
      </c>
      <c r="P108" s="151">
        <v>0</v>
      </c>
      <c r="Q108" s="152">
        <v>0</v>
      </c>
      <c r="R108" s="151">
        <v>0</v>
      </c>
      <c r="S108" s="152">
        <v>0</v>
      </c>
      <c r="T108" s="151">
        <v>0</v>
      </c>
      <c r="U108" s="153">
        <v>0</v>
      </c>
    </row>
    <row r="109" spans="1:21" x14ac:dyDescent="0.25">
      <c r="A109" s="21" t="s">
        <v>1196</v>
      </c>
      <c r="B109" s="154" t="s">
        <v>1197</v>
      </c>
      <c r="C109" s="154" t="s">
        <v>59</v>
      </c>
      <c r="D109" s="155">
        <v>0</v>
      </c>
      <c r="E109" s="158">
        <v>0</v>
      </c>
      <c r="F109" s="155">
        <v>0</v>
      </c>
      <c r="G109" s="158">
        <v>0</v>
      </c>
      <c r="H109" s="155">
        <v>0</v>
      </c>
      <c r="I109" s="158">
        <v>0</v>
      </c>
      <c r="J109" s="155">
        <v>0</v>
      </c>
      <c r="K109" s="158">
        <v>0</v>
      </c>
      <c r="L109" s="155">
        <v>0</v>
      </c>
      <c r="M109" s="158">
        <v>0</v>
      </c>
      <c r="N109" s="155">
        <v>0</v>
      </c>
      <c r="O109" s="158">
        <v>0</v>
      </c>
      <c r="P109" s="155">
        <v>0</v>
      </c>
      <c r="Q109" s="158">
        <v>0</v>
      </c>
      <c r="R109" s="155">
        <v>0</v>
      </c>
      <c r="S109" s="158">
        <v>0</v>
      </c>
      <c r="T109" s="155">
        <v>0</v>
      </c>
      <c r="U109" s="157">
        <v>0</v>
      </c>
    </row>
    <row r="110" spans="1:21" x14ac:dyDescent="0.25">
      <c r="A110" s="149" t="s">
        <v>565</v>
      </c>
      <c r="B110" s="150" t="s">
        <v>1316</v>
      </c>
      <c r="C110" s="150" t="s">
        <v>59</v>
      </c>
      <c r="D110" s="151">
        <v>0</v>
      </c>
      <c r="E110" s="152">
        <v>0</v>
      </c>
      <c r="F110" s="151">
        <v>0</v>
      </c>
      <c r="G110" s="152">
        <v>0</v>
      </c>
      <c r="H110" s="151">
        <v>0</v>
      </c>
      <c r="I110" s="152">
        <v>0</v>
      </c>
      <c r="J110" s="151">
        <v>0</v>
      </c>
      <c r="K110" s="152">
        <v>0</v>
      </c>
      <c r="L110" s="151">
        <v>0</v>
      </c>
      <c r="M110" s="152">
        <v>0</v>
      </c>
      <c r="N110" s="151">
        <v>0</v>
      </c>
      <c r="O110" s="152">
        <v>0</v>
      </c>
      <c r="P110" s="151">
        <v>0</v>
      </c>
      <c r="Q110" s="152">
        <v>0</v>
      </c>
      <c r="R110" s="151">
        <v>0</v>
      </c>
      <c r="S110" s="152">
        <v>0</v>
      </c>
      <c r="T110" s="151">
        <v>0</v>
      </c>
      <c r="U110" s="153">
        <v>0</v>
      </c>
    </row>
    <row r="111" spans="1:21" x14ac:dyDescent="0.25">
      <c r="A111" s="21" t="s">
        <v>1199</v>
      </c>
      <c r="B111" s="154" t="s">
        <v>1200</v>
      </c>
      <c r="C111" s="154" t="s">
        <v>59</v>
      </c>
      <c r="D111" s="155">
        <v>0</v>
      </c>
      <c r="E111" s="158">
        <v>0</v>
      </c>
      <c r="F111" s="155">
        <v>0</v>
      </c>
      <c r="G111" s="158">
        <v>0</v>
      </c>
      <c r="H111" s="155">
        <v>0</v>
      </c>
      <c r="I111" s="158">
        <v>0</v>
      </c>
      <c r="J111" s="155">
        <v>0</v>
      </c>
      <c r="K111" s="158">
        <v>0</v>
      </c>
      <c r="L111" s="155">
        <v>0</v>
      </c>
      <c r="M111" s="158">
        <v>0</v>
      </c>
      <c r="N111" s="155">
        <v>0</v>
      </c>
      <c r="O111" s="158">
        <v>0</v>
      </c>
      <c r="P111" s="155">
        <v>0</v>
      </c>
      <c r="Q111" s="158">
        <v>0</v>
      </c>
      <c r="R111" s="155">
        <v>0</v>
      </c>
      <c r="S111" s="158">
        <v>0</v>
      </c>
      <c r="T111" s="155">
        <v>0</v>
      </c>
      <c r="U111" s="157">
        <v>0</v>
      </c>
    </row>
    <row r="112" spans="1:21" x14ac:dyDescent="0.25">
      <c r="A112" s="149" t="s">
        <v>1317</v>
      </c>
      <c r="B112" s="150" t="s">
        <v>1318</v>
      </c>
      <c r="C112" s="150" t="s">
        <v>1319</v>
      </c>
      <c r="D112" s="151">
        <v>25864</v>
      </c>
      <c r="E112" s="152">
        <v>0</v>
      </c>
      <c r="F112" s="151">
        <v>4684</v>
      </c>
      <c r="G112" s="152">
        <v>0</v>
      </c>
      <c r="H112" s="151">
        <v>0</v>
      </c>
      <c r="I112" s="152">
        <v>0</v>
      </c>
      <c r="J112" s="151">
        <v>0</v>
      </c>
      <c r="K112" s="152">
        <v>0</v>
      </c>
      <c r="L112" s="151">
        <v>0</v>
      </c>
      <c r="M112" s="152">
        <v>0</v>
      </c>
      <c r="N112" s="151">
        <v>15470</v>
      </c>
      <c r="O112" s="152">
        <v>2660</v>
      </c>
      <c r="P112" s="151">
        <v>390</v>
      </c>
      <c r="Q112" s="152">
        <v>2660</v>
      </c>
      <c r="R112" s="151">
        <v>0</v>
      </c>
      <c r="S112" s="152">
        <v>0</v>
      </c>
      <c r="T112" s="151">
        <v>0</v>
      </c>
      <c r="U112" s="153">
        <v>0</v>
      </c>
    </row>
    <row r="113" spans="1:21" x14ac:dyDescent="0.25">
      <c r="A113" s="21" t="s">
        <v>711</v>
      </c>
      <c r="B113" s="154" t="s">
        <v>1320</v>
      </c>
      <c r="C113" s="154" t="s">
        <v>1321</v>
      </c>
      <c r="D113" s="155">
        <v>0</v>
      </c>
      <c r="E113" s="158">
        <v>0</v>
      </c>
      <c r="F113" s="155">
        <v>0</v>
      </c>
      <c r="G113" s="158">
        <v>280</v>
      </c>
      <c r="H113" s="155">
        <v>0</v>
      </c>
      <c r="I113" s="158">
        <v>0</v>
      </c>
      <c r="J113" s="155">
        <v>0</v>
      </c>
      <c r="K113" s="158">
        <v>0</v>
      </c>
      <c r="L113" s="155">
        <v>0</v>
      </c>
      <c r="M113" s="158">
        <v>0</v>
      </c>
      <c r="N113" s="155">
        <v>0</v>
      </c>
      <c r="O113" s="158">
        <v>0</v>
      </c>
      <c r="P113" s="155">
        <v>0</v>
      </c>
      <c r="Q113" s="158">
        <v>0</v>
      </c>
      <c r="R113" s="155">
        <v>0</v>
      </c>
      <c r="S113" s="158">
        <v>0</v>
      </c>
      <c r="T113" s="155">
        <v>0</v>
      </c>
      <c r="U113" s="157">
        <v>0</v>
      </c>
    </row>
    <row r="114" spans="1:21" x14ac:dyDescent="0.25">
      <c r="A114" s="149" t="s">
        <v>1462</v>
      </c>
      <c r="B114" s="150" t="s">
        <v>1463</v>
      </c>
      <c r="C114" s="150" t="s">
        <v>1464</v>
      </c>
      <c r="D114" s="151">
        <v>0</v>
      </c>
      <c r="E114" s="152">
        <v>0</v>
      </c>
      <c r="F114" s="151">
        <v>0</v>
      </c>
      <c r="G114" s="152">
        <v>4184</v>
      </c>
      <c r="H114" s="151">
        <v>0</v>
      </c>
      <c r="I114" s="152">
        <v>0</v>
      </c>
      <c r="J114" s="151">
        <v>0</v>
      </c>
      <c r="K114" s="152">
        <v>0</v>
      </c>
      <c r="L114" s="151">
        <v>0</v>
      </c>
      <c r="M114" s="152">
        <v>0</v>
      </c>
      <c r="N114" s="151">
        <v>0</v>
      </c>
      <c r="O114" s="152">
        <v>0</v>
      </c>
      <c r="P114" s="151">
        <v>0</v>
      </c>
      <c r="Q114" s="152">
        <v>0</v>
      </c>
      <c r="R114" s="151">
        <v>0</v>
      </c>
      <c r="S114" s="152">
        <v>0</v>
      </c>
      <c r="T114" s="151">
        <v>0</v>
      </c>
      <c r="U114" s="153">
        <v>0</v>
      </c>
    </row>
    <row r="115" spans="1:21" x14ac:dyDescent="0.25">
      <c r="A115" s="21" t="s">
        <v>1194</v>
      </c>
      <c r="B115" s="154" t="s">
        <v>1322</v>
      </c>
      <c r="C115" s="154" t="s">
        <v>59</v>
      </c>
      <c r="D115" s="155">
        <v>0</v>
      </c>
      <c r="E115" s="158">
        <v>0</v>
      </c>
      <c r="F115" s="155">
        <v>0</v>
      </c>
      <c r="G115" s="158">
        <v>0</v>
      </c>
      <c r="H115" s="155">
        <v>0</v>
      </c>
      <c r="I115" s="158">
        <v>0</v>
      </c>
      <c r="J115" s="155">
        <v>0</v>
      </c>
      <c r="K115" s="158">
        <v>0</v>
      </c>
      <c r="L115" s="155">
        <v>0</v>
      </c>
      <c r="M115" s="158">
        <v>0</v>
      </c>
      <c r="N115" s="155">
        <v>0</v>
      </c>
      <c r="O115" s="158">
        <v>0</v>
      </c>
      <c r="P115" s="155">
        <v>0</v>
      </c>
      <c r="Q115" s="158">
        <v>0</v>
      </c>
      <c r="R115" s="155">
        <v>0</v>
      </c>
      <c r="S115" s="158">
        <v>0</v>
      </c>
      <c r="T115" s="155">
        <v>0</v>
      </c>
      <c r="U115" s="157">
        <v>0</v>
      </c>
    </row>
    <row r="116" spans="1:21" x14ac:dyDescent="0.25">
      <c r="A116" s="149" t="s">
        <v>1196</v>
      </c>
      <c r="B116" s="150" t="s">
        <v>1197</v>
      </c>
      <c r="C116" s="150" t="s">
        <v>59</v>
      </c>
      <c r="D116" s="151">
        <v>0</v>
      </c>
      <c r="E116" s="152">
        <v>0</v>
      </c>
      <c r="F116" s="151">
        <v>0</v>
      </c>
      <c r="G116" s="152">
        <v>0</v>
      </c>
      <c r="H116" s="151">
        <v>0</v>
      </c>
      <c r="I116" s="152">
        <v>0</v>
      </c>
      <c r="J116" s="151">
        <v>0</v>
      </c>
      <c r="K116" s="152">
        <v>0</v>
      </c>
      <c r="L116" s="151">
        <v>0</v>
      </c>
      <c r="M116" s="152">
        <v>0</v>
      </c>
      <c r="N116" s="151">
        <v>0</v>
      </c>
      <c r="O116" s="152">
        <v>0</v>
      </c>
      <c r="P116" s="151">
        <v>0</v>
      </c>
      <c r="Q116" s="152">
        <v>0</v>
      </c>
      <c r="R116" s="151">
        <v>0</v>
      </c>
      <c r="S116" s="152">
        <v>0</v>
      </c>
      <c r="T116" s="151">
        <v>0</v>
      </c>
      <c r="U116" s="153">
        <v>0</v>
      </c>
    </row>
    <row r="117" spans="1:21" x14ac:dyDescent="0.25">
      <c r="A117" s="21" t="s">
        <v>565</v>
      </c>
      <c r="B117" s="154" t="s">
        <v>1323</v>
      </c>
      <c r="C117" s="154" t="s">
        <v>59</v>
      </c>
      <c r="D117" s="155">
        <v>146128</v>
      </c>
      <c r="E117" s="158">
        <v>0</v>
      </c>
      <c r="F117" s="155">
        <v>0</v>
      </c>
      <c r="G117" s="158">
        <v>0</v>
      </c>
      <c r="H117" s="155">
        <v>0</v>
      </c>
      <c r="I117" s="158">
        <v>0</v>
      </c>
      <c r="J117" s="155">
        <v>0</v>
      </c>
      <c r="K117" s="158">
        <v>0</v>
      </c>
      <c r="L117" s="155">
        <v>0</v>
      </c>
      <c r="M117" s="158">
        <v>0</v>
      </c>
      <c r="N117" s="155">
        <v>47870</v>
      </c>
      <c r="O117" s="158">
        <v>49321</v>
      </c>
      <c r="P117" s="155">
        <v>22590</v>
      </c>
      <c r="Q117" s="158">
        <v>26347</v>
      </c>
      <c r="R117" s="155">
        <v>0</v>
      </c>
      <c r="S117" s="158">
        <v>0</v>
      </c>
      <c r="T117" s="155">
        <v>0</v>
      </c>
      <c r="U117" s="157">
        <v>0</v>
      </c>
    </row>
    <row r="118" spans="1:21" x14ac:dyDescent="0.25">
      <c r="A118" s="149" t="s">
        <v>1199</v>
      </c>
      <c r="B118" s="150" t="s">
        <v>1200</v>
      </c>
      <c r="C118" s="150" t="s">
        <v>59</v>
      </c>
      <c r="D118" s="151">
        <v>0</v>
      </c>
      <c r="E118" s="152">
        <v>0</v>
      </c>
      <c r="F118" s="151">
        <v>0</v>
      </c>
      <c r="G118" s="152">
        <v>0</v>
      </c>
      <c r="H118" s="151">
        <v>0</v>
      </c>
      <c r="I118" s="152">
        <v>0</v>
      </c>
      <c r="J118" s="151">
        <v>0</v>
      </c>
      <c r="K118" s="152">
        <v>0</v>
      </c>
      <c r="L118" s="151">
        <v>0</v>
      </c>
      <c r="M118" s="152">
        <v>0</v>
      </c>
      <c r="N118" s="151">
        <v>0</v>
      </c>
      <c r="O118" s="152">
        <v>0</v>
      </c>
      <c r="P118" s="151">
        <v>0</v>
      </c>
      <c r="Q118" s="152">
        <v>0</v>
      </c>
      <c r="R118" s="151">
        <v>0</v>
      </c>
      <c r="S118" s="152">
        <v>0</v>
      </c>
      <c r="T118" s="151">
        <v>0</v>
      </c>
      <c r="U118" s="153">
        <v>0</v>
      </c>
    </row>
    <row r="119" spans="1:21" x14ac:dyDescent="0.25">
      <c r="A119" s="21" t="s">
        <v>1136</v>
      </c>
      <c r="B119" s="154" t="s">
        <v>1210</v>
      </c>
      <c r="C119" s="154" t="s">
        <v>1324</v>
      </c>
      <c r="D119" s="155">
        <v>0</v>
      </c>
      <c r="E119" s="158">
        <v>0</v>
      </c>
      <c r="F119" s="155">
        <v>0</v>
      </c>
      <c r="G119" s="158">
        <v>479</v>
      </c>
      <c r="H119" s="155">
        <v>0</v>
      </c>
      <c r="I119" s="158">
        <v>479.32675170898437</v>
      </c>
      <c r="J119" s="155">
        <v>0</v>
      </c>
      <c r="K119" s="158">
        <v>479.32675170898437</v>
      </c>
      <c r="L119" s="155">
        <v>0</v>
      </c>
      <c r="M119" s="158">
        <v>479.32675170898437</v>
      </c>
      <c r="N119" s="155">
        <v>0</v>
      </c>
      <c r="O119" s="158">
        <v>0</v>
      </c>
      <c r="P119" s="155">
        <v>0</v>
      </c>
      <c r="Q119" s="158">
        <v>0</v>
      </c>
      <c r="R119" s="155">
        <v>0</v>
      </c>
      <c r="S119" s="158">
        <v>0</v>
      </c>
      <c r="T119" s="155">
        <v>0</v>
      </c>
      <c r="U119" s="157">
        <v>0</v>
      </c>
    </row>
    <row r="120" spans="1:21" x14ac:dyDescent="0.25">
      <c r="A120" s="149" t="s">
        <v>1177</v>
      </c>
      <c r="B120" s="150" t="s">
        <v>1179</v>
      </c>
      <c r="C120" s="150" t="s">
        <v>1178</v>
      </c>
      <c r="D120" s="151">
        <v>0</v>
      </c>
      <c r="E120" s="152">
        <v>0</v>
      </c>
      <c r="F120" s="151">
        <v>0</v>
      </c>
      <c r="G120" s="152">
        <v>14</v>
      </c>
      <c r="H120" s="151">
        <v>0</v>
      </c>
      <c r="I120" s="152">
        <v>14.010740280151367</v>
      </c>
      <c r="J120" s="151">
        <v>0</v>
      </c>
      <c r="K120" s="152">
        <v>14.010740280151367</v>
      </c>
      <c r="L120" s="151">
        <v>0</v>
      </c>
      <c r="M120" s="152">
        <v>14.010740280151367</v>
      </c>
      <c r="N120" s="151">
        <v>0</v>
      </c>
      <c r="O120" s="152">
        <v>0</v>
      </c>
      <c r="P120" s="151">
        <v>0</v>
      </c>
      <c r="Q120" s="152">
        <v>0</v>
      </c>
      <c r="R120" s="151">
        <v>0</v>
      </c>
      <c r="S120" s="152">
        <v>0</v>
      </c>
      <c r="T120" s="151">
        <v>0</v>
      </c>
      <c r="U120" s="153">
        <v>0</v>
      </c>
    </row>
    <row r="121" spans="1:21" x14ac:dyDescent="0.25">
      <c r="A121" s="21" t="s">
        <v>1185</v>
      </c>
      <c r="B121" s="154" t="s">
        <v>1187</v>
      </c>
      <c r="C121" s="154" t="s">
        <v>1186</v>
      </c>
      <c r="D121" s="155">
        <v>0</v>
      </c>
      <c r="E121" s="158">
        <v>0</v>
      </c>
      <c r="F121" s="155">
        <v>0</v>
      </c>
      <c r="G121" s="158">
        <v>10</v>
      </c>
      <c r="H121" s="155">
        <v>0</v>
      </c>
      <c r="I121" s="158">
        <v>9.5870800018310547</v>
      </c>
      <c r="J121" s="155">
        <v>0</v>
      </c>
      <c r="K121" s="158">
        <v>9.5870800018310547</v>
      </c>
      <c r="L121" s="155">
        <v>0</v>
      </c>
      <c r="M121" s="158">
        <v>9.5870800018310547</v>
      </c>
      <c r="N121" s="155">
        <v>0</v>
      </c>
      <c r="O121" s="158">
        <v>0</v>
      </c>
      <c r="P121" s="155">
        <v>0</v>
      </c>
      <c r="Q121" s="158">
        <v>0</v>
      </c>
      <c r="R121" s="155">
        <v>0</v>
      </c>
      <c r="S121" s="158">
        <v>0</v>
      </c>
      <c r="T121" s="155">
        <v>0</v>
      </c>
      <c r="U121" s="157">
        <v>0</v>
      </c>
    </row>
    <row r="122" spans="1:21" x14ac:dyDescent="0.25">
      <c r="A122" s="149" t="s">
        <v>1181</v>
      </c>
      <c r="B122" s="150" t="s">
        <v>1183</v>
      </c>
      <c r="C122" s="150" t="s">
        <v>1182</v>
      </c>
      <c r="D122" s="151">
        <v>0</v>
      </c>
      <c r="E122" s="152">
        <v>0</v>
      </c>
      <c r="F122" s="151">
        <v>0</v>
      </c>
      <c r="G122" s="152">
        <v>11</v>
      </c>
      <c r="H122" s="151">
        <v>0</v>
      </c>
      <c r="I122" s="152">
        <v>10.502650260925293</v>
      </c>
      <c r="J122" s="151">
        <v>0</v>
      </c>
      <c r="K122" s="152">
        <v>10.502650260925293</v>
      </c>
      <c r="L122" s="151">
        <v>0</v>
      </c>
      <c r="M122" s="152">
        <v>10.502650260925293</v>
      </c>
      <c r="N122" s="151">
        <v>0</v>
      </c>
      <c r="O122" s="152">
        <v>0</v>
      </c>
      <c r="P122" s="151">
        <v>0</v>
      </c>
      <c r="Q122" s="152">
        <v>0</v>
      </c>
      <c r="R122" s="151">
        <v>0</v>
      </c>
      <c r="S122" s="152">
        <v>0</v>
      </c>
      <c r="T122" s="151">
        <v>0</v>
      </c>
      <c r="U122" s="153">
        <v>0</v>
      </c>
    </row>
    <row r="123" spans="1:21" x14ac:dyDescent="0.25">
      <c r="A123" s="21" t="s">
        <v>758</v>
      </c>
      <c r="B123" s="154" t="s">
        <v>1325</v>
      </c>
      <c r="C123" s="154" t="s">
        <v>1326</v>
      </c>
      <c r="D123" s="155">
        <v>0</v>
      </c>
      <c r="E123" s="158">
        <v>0</v>
      </c>
      <c r="F123" s="155">
        <v>0</v>
      </c>
      <c r="G123" s="158">
        <v>51</v>
      </c>
      <c r="H123" s="155">
        <v>0</v>
      </c>
      <c r="I123" s="158">
        <v>50.69175910949707</v>
      </c>
      <c r="J123" s="155">
        <v>0</v>
      </c>
      <c r="K123" s="158">
        <v>50.69175910949707</v>
      </c>
      <c r="L123" s="155">
        <v>0</v>
      </c>
      <c r="M123" s="158">
        <v>50.69175910949707</v>
      </c>
      <c r="N123" s="155">
        <v>0</v>
      </c>
      <c r="O123" s="158">
        <v>0</v>
      </c>
      <c r="P123" s="155">
        <v>0</v>
      </c>
      <c r="Q123" s="158">
        <v>0</v>
      </c>
      <c r="R123" s="155">
        <v>0</v>
      </c>
      <c r="S123" s="158">
        <v>0</v>
      </c>
      <c r="T123" s="155">
        <v>0</v>
      </c>
      <c r="U123" s="157">
        <v>0</v>
      </c>
    </row>
    <row r="124" spans="1:21" x14ac:dyDescent="0.25">
      <c r="A124" s="149" t="s">
        <v>1327</v>
      </c>
      <c r="B124" s="150" t="s">
        <v>1328</v>
      </c>
      <c r="C124" s="150" t="s">
        <v>1329</v>
      </c>
      <c r="D124" s="151">
        <v>0</v>
      </c>
      <c r="E124" s="152">
        <v>0</v>
      </c>
      <c r="F124" s="151">
        <v>0</v>
      </c>
      <c r="G124" s="152">
        <v>0</v>
      </c>
      <c r="H124" s="151">
        <v>0</v>
      </c>
      <c r="I124" s="152">
        <v>0</v>
      </c>
      <c r="J124" s="151">
        <v>0</v>
      </c>
      <c r="K124" s="152">
        <v>0</v>
      </c>
      <c r="L124" s="151">
        <v>0</v>
      </c>
      <c r="M124" s="152">
        <v>0</v>
      </c>
      <c r="N124" s="151">
        <v>0</v>
      </c>
      <c r="O124" s="152">
        <v>0</v>
      </c>
      <c r="P124" s="151">
        <v>0</v>
      </c>
      <c r="Q124" s="152">
        <v>0</v>
      </c>
      <c r="R124" s="151">
        <v>0</v>
      </c>
      <c r="S124" s="152">
        <v>0</v>
      </c>
      <c r="T124" s="151">
        <v>0</v>
      </c>
      <c r="U124" s="153">
        <v>0</v>
      </c>
    </row>
    <row r="125" spans="1:21" x14ac:dyDescent="0.25">
      <c r="A125" s="21" t="s">
        <v>757</v>
      </c>
      <c r="B125" s="154" t="s">
        <v>341</v>
      </c>
      <c r="C125" s="154" t="s">
        <v>1330</v>
      </c>
      <c r="D125" s="155">
        <v>0</v>
      </c>
      <c r="E125" s="158">
        <v>0</v>
      </c>
      <c r="F125" s="155">
        <v>0</v>
      </c>
      <c r="G125" s="158">
        <v>38</v>
      </c>
      <c r="H125" s="155">
        <v>0</v>
      </c>
      <c r="I125" s="158">
        <v>38.371688842773438</v>
      </c>
      <c r="J125" s="155">
        <v>0</v>
      </c>
      <c r="K125" s="158">
        <v>38.371688842773438</v>
      </c>
      <c r="L125" s="155">
        <v>0</v>
      </c>
      <c r="M125" s="158">
        <v>38.371688842773438</v>
      </c>
      <c r="N125" s="155">
        <v>0</v>
      </c>
      <c r="O125" s="158">
        <v>0</v>
      </c>
      <c r="P125" s="155">
        <v>0</v>
      </c>
      <c r="Q125" s="158">
        <v>0</v>
      </c>
      <c r="R125" s="155">
        <v>0</v>
      </c>
      <c r="S125" s="158">
        <v>0</v>
      </c>
      <c r="T125" s="155">
        <v>0</v>
      </c>
      <c r="U125" s="157">
        <v>0</v>
      </c>
    </row>
    <row r="126" spans="1:21" x14ac:dyDescent="0.25">
      <c r="A126" s="149" t="s">
        <v>755</v>
      </c>
      <c r="B126" s="150" t="s">
        <v>1331</v>
      </c>
      <c r="C126" s="150" t="s">
        <v>1332</v>
      </c>
      <c r="D126" s="151">
        <v>0</v>
      </c>
      <c r="E126" s="152">
        <v>0</v>
      </c>
      <c r="F126" s="151">
        <v>0</v>
      </c>
      <c r="G126" s="152">
        <v>440</v>
      </c>
      <c r="H126" s="151">
        <v>0</v>
      </c>
      <c r="I126" s="152">
        <v>67.5806884765625</v>
      </c>
      <c r="J126" s="151">
        <v>0</v>
      </c>
      <c r="K126" s="152">
        <v>67.5806884765625</v>
      </c>
      <c r="L126" s="151">
        <v>370.58047485351563</v>
      </c>
      <c r="M126" s="152">
        <v>438.16116333007812</v>
      </c>
      <c r="N126" s="151">
        <v>0</v>
      </c>
      <c r="O126" s="152">
        <v>0</v>
      </c>
      <c r="P126" s="151">
        <v>0</v>
      </c>
      <c r="Q126" s="152">
        <v>0</v>
      </c>
      <c r="R126" s="151">
        <v>0</v>
      </c>
      <c r="S126" s="152">
        <v>0</v>
      </c>
      <c r="T126" s="151">
        <v>0</v>
      </c>
      <c r="U126" s="153">
        <v>0</v>
      </c>
    </row>
    <row r="127" spans="1:21" x14ac:dyDescent="0.25">
      <c r="A127" s="21" t="s">
        <v>1333</v>
      </c>
      <c r="B127" s="154" t="s">
        <v>1334</v>
      </c>
      <c r="C127" s="154" t="s">
        <v>1335</v>
      </c>
      <c r="D127" s="155">
        <v>0</v>
      </c>
      <c r="E127" s="158">
        <v>0</v>
      </c>
      <c r="F127" s="155">
        <v>0</v>
      </c>
      <c r="G127" s="158">
        <v>0</v>
      </c>
      <c r="H127" s="155">
        <v>0</v>
      </c>
      <c r="I127" s="158">
        <v>0</v>
      </c>
      <c r="J127" s="155">
        <v>0</v>
      </c>
      <c r="K127" s="158">
        <v>0</v>
      </c>
      <c r="L127" s="155">
        <v>0</v>
      </c>
      <c r="M127" s="158">
        <v>0</v>
      </c>
      <c r="N127" s="155">
        <v>0</v>
      </c>
      <c r="O127" s="158">
        <v>0</v>
      </c>
      <c r="P127" s="155">
        <v>0</v>
      </c>
      <c r="Q127" s="158">
        <v>0</v>
      </c>
      <c r="R127" s="155">
        <v>0</v>
      </c>
      <c r="S127" s="158">
        <v>0</v>
      </c>
      <c r="T127" s="155">
        <v>0</v>
      </c>
      <c r="U127" s="157">
        <v>0</v>
      </c>
    </row>
    <row r="128" spans="1:21" x14ac:dyDescent="0.25">
      <c r="A128" s="149" t="s">
        <v>1336</v>
      </c>
      <c r="B128" s="150" t="s">
        <v>823</v>
      </c>
      <c r="C128" s="150" t="s">
        <v>1337</v>
      </c>
      <c r="D128" s="151">
        <v>0</v>
      </c>
      <c r="E128" s="152">
        <v>0</v>
      </c>
      <c r="F128" s="151">
        <v>0</v>
      </c>
      <c r="G128" s="152">
        <v>0</v>
      </c>
      <c r="H128" s="151">
        <v>0</v>
      </c>
      <c r="I128" s="152">
        <v>0</v>
      </c>
      <c r="J128" s="151">
        <v>0</v>
      </c>
      <c r="K128" s="152">
        <v>0</v>
      </c>
      <c r="L128" s="151">
        <v>0</v>
      </c>
      <c r="M128" s="152">
        <v>0</v>
      </c>
      <c r="N128" s="151">
        <v>0</v>
      </c>
      <c r="O128" s="152">
        <v>0</v>
      </c>
      <c r="P128" s="151">
        <v>0</v>
      </c>
      <c r="Q128" s="152">
        <v>0</v>
      </c>
      <c r="R128" s="151">
        <v>0</v>
      </c>
      <c r="S128" s="152">
        <v>0</v>
      </c>
      <c r="T128" s="151">
        <v>0</v>
      </c>
      <c r="U128" s="153">
        <v>0</v>
      </c>
    </row>
    <row r="129" spans="1:21" x14ac:dyDescent="0.25">
      <c r="A129" s="21" t="s">
        <v>1189</v>
      </c>
      <c r="B129" s="154" t="s">
        <v>1338</v>
      </c>
      <c r="C129" s="154" t="s">
        <v>1190</v>
      </c>
      <c r="D129" s="155">
        <v>0</v>
      </c>
      <c r="E129" s="158">
        <v>0</v>
      </c>
      <c r="F129" s="155">
        <v>0</v>
      </c>
      <c r="G129" s="158">
        <v>1</v>
      </c>
      <c r="H129" s="155">
        <v>0</v>
      </c>
      <c r="I129" s="158">
        <v>0.70899999141693115</v>
      </c>
      <c r="J129" s="155">
        <v>0</v>
      </c>
      <c r="K129" s="158">
        <v>0.70899999141693115</v>
      </c>
      <c r="L129" s="155">
        <v>0</v>
      </c>
      <c r="M129" s="158">
        <v>0.70899999141693115</v>
      </c>
      <c r="N129" s="155">
        <v>0</v>
      </c>
      <c r="O129" s="158">
        <v>0</v>
      </c>
      <c r="P129" s="155">
        <v>0</v>
      </c>
      <c r="Q129" s="158">
        <v>0</v>
      </c>
      <c r="R129" s="155">
        <v>0</v>
      </c>
      <c r="S129" s="158">
        <v>0</v>
      </c>
      <c r="T129" s="155">
        <v>0</v>
      </c>
      <c r="U129" s="157">
        <v>0</v>
      </c>
    </row>
    <row r="130" spans="1:21" x14ac:dyDescent="0.25">
      <c r="A130" s="149" t="s">
        <v>1339</v>
      </c>
      <c r="B130" s="150" t="s">
        <v>1003</v>
      </c>
      <c r="C130" s="150" t="s">
        <v>1340</v>
      </c>
      <c r="D130" s="151">
        <v>0</v>
      </c>
      <c r="E130" s="152">
        <v>0</v>
      </c>
      <c r="F130" s="151">
        <v>0</v>
      </c>
      <c r="G130" s="152">
        <v>0</v>
      </c>
      <c r="H130" s="151">
        <v>0</v>
      </c>
      <c r="I130" s="152">
        <v>0</v>
      </c>
      <c r="J130" s="151">
        <v>0</v>
      </c>
      <c r="K130" s="152">
        <v>0</v>
      </c>
      <c r="L130" s="151">
        <v>0</v>
      </c>
      <c r="M130" s="152">
        <v>0</v>
      </c>
      <c r="N130" s="151">
        <v>0</v>
      </c>
      <c r="O130" s="152">
        <v>0</v>
      </c>
      <c r="P130" s="151">
        <v>0</v>
      </c>
      <c r="Q130" s="152">
        <v>0</v>
      </c>
      <c r="R130" s="151">
        <v>0</v>
      </c>
      <c r="S130" s="152">
        <v>0</v>
      </c>
      <c r="T130" s="151">
        <v>0</v>
      </c>
      <c r="U130" s="153">
        <v>0</v>
      </c>
    </row>
    <row r="131" spans="1:21" x14ac:dyDescent="0.25">
      <c r="A131" s="21" t="s">
        <v>564</v>
      </c>
      <c r="B131" s="154" t="s">
        <v>1341</v>
      </c>
      <c r="C131" s="154" t="s">
        <v>1342</v>
      </c>
      <c r="D131" s="155">
        <v>0</v>
      </c>
      <c r="E131" s="158">
        <v>0</v>
      </c>
      <c r="F131" s="155">
        <v>0</v>
      </c>
      <c r="G131" s="158">
        <v>66</v>
      </c>
      <c r="H131" s="155">
        <v>0</v>
      </c>
      <c r="I131" s="158">
        <v>66.024219512939453</v>
      </c>
      <c r="J131" s="155">
        <v>0</v>
      </c>
      <c r="K131" s="158">
        <v>66.024219512939453</v>
      </c>
      <c r="L131" s="155">
        <v>0</v>
      </c>
      <c r="M131" s="158">
        <v>66.024219512939453</v>
      </c>
      <c r="N131" s="155">
        <v>0</v>
      </c>
      <c r="O131" s="158">
        <v>0</v>
      </c>
      <c r="P131" s="155">
        <v>0</v>
      </c>
      <c r="Q131" s="158">
        <v>0</v>
      </c>
      <c r="R131" s="155">
        <v>0</v>
      </c>
      <c r="S131" s="158">
        <v>0</v>
      </c>
      <c r="T131" s="155">
        <v>0</v>
      </c>
      <c r="U131" s="157">
        <v>0</v>
      </c>
    </row>
    <row r="132" spans="1:21" x14ac:dyDescent="0.25">
      <c r="A132" s="149" t="s">
        <v>1343</v>
      </c>
      <c r="B132" s="150" t="s">
        <v>1344</v>
      </c>
      <c r="C132" s="150" t="s">
        <v>1345</v>
      </c>
      <c r="D132" s="151">
        <v>0</v>
      </c>
      <c r="E132" s="152">
        <v>0</v>
      </c>
      <c r="F132" s="151">
        <v>0</v>
      </c>
      <c r="G132" s="152">
        <v>0</v>
      </c>
      <c r="H132" s="151">
        <v>0</v>
      </c>
      <c r="I132" s="152">
        <v>0</v>
      </c>
      <c r="J132" s="151">
        <v>0</v>
      </c>
      <c r="K132" s="152">
        <v>0</v>
      </c>
      <c r="L132" s="151">
        <v>0</v>
      </c>
      <c r="M132" s="152">
        <v>0</v>
      </c>
      <c r="N132" s="151">
        <v>0</v>
      </c>
      <c r="O132" s="152">
        <v>0</v>
      </c>
      <c r="P132" s="151">
        <v>0</v>
      </c>
      <c r="Q132" s="152">
        <v>0</v>
      </c>
      <c r="R132" s="151">
        <v>0</v>
      </c>
      <c r="S132" s="152">
        <v>0</v>
      </c>
      <c r="T132" s="151">
        <v>0</v>
      </c>
      <c r="U132" s="153">
        <v>0</v>
      </c>
    </row>
    <row r="133" spans="1:21" x14ac:dyDescent="0.25">
      <c r="A133" s="21" t="s">
        <v>1167</v>
      </c>
      <c r="B133" s="154" t="s">
        <v>1346</v>
      </c>
      <c r="C133" s="154" t="s">
        <v>1168</v>
      </c>
      <c r="D133" s="155">
        <v>0</v>
      </c>
      <c r="E133" s="158">
        <v>0</v>
      </c>
      <c r="F133" s="155">
        <v>0</v>
      </c>
      <c r="G133" s="158">
        <v>1606</v>
      </c>
      <c r="H133" s="155">
        <v>0</v>
      </c>
      <c r="I133" s="158">
        <v>0</v>
      </c>
      <c r="J133" s="155">
        <v>0</v>
      </c>
      <c r="K133" s="158">
        <v>0</v>
      </c>
      <c r="L133" s="155">
        <v>1236.459716796875</v>
      </c>
      <c r="M133" s="158">
        <v>1236.459716796875</v>
      </c>
      <c r="N133" s="155">
        <v>0</v>
      </c>
      <c r="O133" s="158">
        <v>0</v>
      </c>
      <c r="P133" s="155">
        <v>0</v>
      </c>
      <c r="Q133" s="158">
        <v>0</v>
      </c>
      <c r="R133" s="155">
        <v>0</v>
      </c>
      <c r="S133" s="158">
        <v>0</v>
      </c>
      <c r="T133" s="155">
        <v>0</v>
      </c>
      <c r="U133" s="157">
        <v>0</v>
      </c>
    </row>
    <row r="134" spans="1:21" x14ac:dyDescent="0.25">
      <c r="A134" s="149" t="s">
        <v>1347</v>
      </c>
      <c r="B134" s="150" t="s">
        <v>1348</v>
      </c>
      <c r="C134" s="150" t="s">
        <v>1349</v>
      </c>
      <c r="D134" s="151">
        <v>0</v>
      </c>
      <c r="E134" s="152">
        <v>0</v>
      </c>
      <c r="F134" s="151">
        <v>0</v>
      </c>
      <c r="G134" s="152">
        <v>0</v>
      </c>
      <c r="H134" s="151">
        <v>0</v>
      </c>
      <c r="I134" s="152">
        <v>-0.51274001598358154</v>
      </c>
      <c r="J134" s="151">
        <v>0</v>
      </c>
      <c r="K134" s="152">
        <v>-0.51274001598358154</v>
      </c>
      <c r="L134" s="151">
        <v>0</v>
      </c>
      <c r="M134" s="152">
        <v>-0.51274001598358154</v>
      </c>
      <c r="N134" s="151">
        <v>0</v>
      </c>
      <c r="O134" s="152">
        <v>0</v>
      </c>
      <c r="P134" s="151">
        <v>0</v>
      </c>
      <c r="Q134" s="152">
        <v>0</v>
      </c>
      <c r="R134" s="151">
        <v>0</v>
      </c>
      <c r="S134" s="152">
        <v>0</v>
      </c>
      <c r="T134" s="151">
        <v>0</v>
      </c>
      <c r="U134" s="153">
        <v>0</v>
      </c>
    </row>
    <row r="135" spans="1:21" x14ac:dyDescent="0.25">
      <c r="A135" s="21" t="s">
        <v>1350</v>
      </c>
      <c r="B135" s="154" t="s">
        <v>1351</v>
      </c>
      <c r="C135" s="154" t="s">
        <v>1352</v>
      </c>
      <c r="D135" s="155">
        <v>0</v>
      </c>
      <c r="E135" s="158">
        <v>0</v>
      </c>
      <c r="F135" s="155">
        <v>0</v>
      </c>
      <c r="G135" s="158">
        <v>0</v>
      </c>
      <c r="H135" s="155">
        <v>0</v>
      </c>
      <c r="I135" s="158">
        <v>0</v>
      </c>
      <c r="J135" s="155">
        <v>0</v>
      </c>
      <c r="K135" s="158">
        <v>0</v>
      </c>
      <c r="L135" s="155">
        <v>0</v>
      </c>
      <c r="M135" s="158">
        <v>0</v>
      </c>
      <c r="N135" s="155">
        <v>0</v>
      </c>
      <c r="O135" s="158">
        <v>0</v>
      </c>
      <c r="P135" s="155">
        <v>0</v>
      </c>
      <c r="Q135" s="158">
        <v>0</v>
      </c>
      <c r="R135" s="155">
        <v>0</v>
      </c>
      <c r="S135" s="158">
        <v>0</v>
      </c>
      <c r="T135" s="155">
        <v>0</v>
      </c>
      <c r="U135" s="157">
        <v>0</v>
      </c>
    </row>
    <row r="136" spans="1:21" x14ac:dyDescent="0.25">
      <c r="A136" s="149" t="s">
        <v>759</v>
      </c>
      <c r="B136" s="150" t="s">
        <v>347</v>
      </c>
      <c r="C136" s="150" t="s">
        <v>1353</v>
      </c>
      <c r="D136" s="151">
        <v>0</v>
      </c>
      <c r="E136" s="152">
        <v>0</v>
      </c>
      <c r="F136" s="151">
        <v>0</v>
      </c>
      <c r="G136" s="152">
        <v>85</v>
      </c>
      <c r="H136" s="151">
        <v>0</v>
      </c>
      <c r="I136" s="152">
        <v>84.535680770874023</v>
      </c>
      <c r="J136" s="151">
        <v>0</v>
      </c>
      <c r="K136" s="152">
        <v>84.535680770874023</v>
      </c>
      <c r="L136" s="151">
        <v>0</v>
      </c>
      <c r="M136" s="152">
        <v>84.535680770874023</v>
      </c>
      <c r="N136" s="151">
        <v>0</v>
      </c>
      <c r="O136" s="152">
        <v>0</v>
      </c>
      <c r="P136" s="151">
        <v>0</v>
      </c>
      <c r="Q136" s="152">
        <v>0</v>
      </c>
      <c r="R136" s="151">
        <v>0</v>
      </c>
      <c r="S136" s="152">
        <v>0</v>
      </c>
      <c r="T136" s="151">
        <v>0</v>
      </c>
      <c r="U136" s="153">
        <v>0</v>
      </c>
    </row>
    <row r="137" spans="1:21" x14ac:dyDescent="0.25">
      <c r="A137" s="21" t="s">
        <v>1354</v>
      </c>
      <c r="B137" s="154" t="s">
        <v>1355</v>
      </c>
      <c r="C137" s="154" t="s">
        <v>1356</v>
      </c>
      <c r="D137" s="155">
        <v>57967</v>
      </c>
      <c r="E137" s="158">
        <v>0</v>
      </c>
      <c r="F137" s="155">
        <v>54226</v>
      </c>
      <c r="G137" s="158">
        <v>0</v>
      </c>
      <c r="H137" s="155">
        <v>4242</v>
      </c>
      <c r="I137" s="158">
        <v>0</v>
      </c>
      <c r="J137" s="155">
        <v>0</v>
      </c>
      <c r="K137" s="158">
        <v>0</v>
      </c>
      <c r="L137" s="155">
        <v>0</v>
      </c>
      <c r="M137" s="158">
        <v>0</v>
      </c>
      <c r="N137" s="155">
        <v>3441</v>
      </c>
      <c r="O137" s="158">
        <v>300</v>
      </c>
      <c r="P137" s="155">
        <v>0</v>
      </c>
      <c r="Q137" s="158">
        <v>0</v>
      </c>
      <c r="R137" s="155">
        <v>0</v>
      </c>
      <c r="S137" s="158">
        <v>0</v>
      </c>
      <c r="T137" s="155">
        <v>0</v>
      </c>
      <c r="U137" s="157">
        <v>0</v>
      </c>
    </row>
    <row r="138" spans="1:21" x14ac:dyDescent="0.25">
      <c r="A138" s="149" t="s">
        <v>1357</v>
      </c>
      <c r="B138" s="150" t="s">
        <v>1358</v>
      </c>
      <c r="C138" s="150" t="s">
        <v>1359</v>
      </c>
      <c r="D138" s="151">
        <v>0</v>
      </c>
      <c r="E138" s="152">
        <v>0</v>
      </c>
      <c r="F138" s="151">
        <v>0</v>
      </c>
      <c r="G138" s="152">
        <v>0</v>
      </c>
      <c r="H138" s="151">
        <v>0</v>
      </c>
      <c r="I138" s="152">
        <v>0</v>
      </c>
      <c r="J138" s="151">
        <v>0</v>
      </c>
      <c r="K138" s="152">
        <v>0</v>
      </c>
      <c r="L138" s="151">
        <v>0</v>
      </c>
      <c r="M138" s="152">
        <v>0</v>
      </c>
      <c r="N138" s="151">
        <v>0</v>
      </c>
      <c r="O138" s="152">
        <v>0</v>
      </c>
      <c r="P138" s="151">
        <v>0</v>
      </c>
      <c r="Q138" s="152">
        <v>0</v>
      </c>
      <c r="R138" s="151">
        <v>0</v>
      </c>
      <c r="S138" s="152">
        <v>0</v>
      </c>
      <c r="T138" s="151">
        <v>0</v>
      </c>
      <c r="U138" s="153">
        <v>0</v>
      </c>
    </row>
    <row r="139" spans="1:21" x14ac:dyDescent="0.25">
      <c r="A139" s="21" t="s">
        <v>752</v>
      </c>
      <c r="B139" s="154" t="s">
        <v>329</v>
      </c>
      <c r="C139" s="154" t="s">
        <v>1360</v>
      </c>
      <c r="D139" s="155">
        <v>0</v>
      </c>
      <c r="E139" s="158">
        <v>0</v>
      </c>
      <c r="F139" s="155">
        <v>0</v>
      </c>
      <c r="G139" s="158">
        <v>1800</v>
      </c>
      <c r="H139" s="155">
        <v>0</v>
      </c>
      <c r="I139" s="158">
        <v>1705.1062276363373</v>
      </c>
      <c r="J139" s="155">
        <v>0</v>
      </c>
      <c r="K139" s="158">
        <v>1705.1062276363373</v>
      </c>
      <c r="L139" s="155">
        <v>0</v>
      </c>
      <c r="M139" s="158">
        <v>1705.1062276363373</v>
      </c>
      <c r="N139" s="155">
        <v>0</v>
      </c>
      <c r="O139" s="158">
        <v>0</v>
      </c>
      <c r="P139" s="155">
        <v>0</v>
      </c>
      <c r="Q139" s="158">
        <v>0</v>
      </c>
      <c r="R139" s="155">
        <v>0</v>
      </c>
      <c r="S139" s="158">
        <v>0</v>
      </c>
      <c r="T139" s="155">
        <v>0</v>
      </c>
      <c r="U139" s="157">
        <v>0</v>
      </c>
    </row>
    <row r="140" spans="1:21" x14ac:dyDescent="0.25">
      <c r="A140" s="149" t="s">
        <v>763</v>
      </c>
      <c r="B140" s="150" t="s">
        <v>1361</v>
      </c>
      <c r="C140" s="150" t="s">
        <v>1362</v>
      </c>
      <c r="D140" s="151">
        <v>0</v>
      </c>
      <c r="E140" s="152">
        <v>0</v>
      </c>
      <c r="F140" s="151">
        <v>0</v>
      </c>
      <c r="G140" s="152">
        <v>23</v>
      </c>
      <c r="H140" s="151">
        <v>0</v>
      </c>
      <c r="I140" s="152">
        <v>23.278350830078125</v>
      </c>
      <c r="J140" s="151">
        <v>0</v>
      </c>
      <c r="K140" s="152">
        <v>23.278350830078125</v>
      </c>
      <c r="L140" s="151">
        <v>0</v>
      </c>
      <c r="M140" s="152">
        <v>23.278350830078125</v>
      </c>
      <c r="N140" s="151">
        <v>0</v>
      </c>
      <c r="O140" s="152">
        <v>0</v>
      </c>
      <c r="P140" s="151">
        <v>0</v>
      </c>
      <c r="Q140" s="152">
        <v>0</v>
      </c>
      <c r="R140" s="151">
        <v>0</v>
      </c>
      <c r="S140" s="152">
        <v>0</v>
      </c>
      <c r="T140" s="151">
        <v>0</v>
      </c>
      <c r="U140" s="153">
        <v>0</v>
      </c>
    </row>
    <row r="141" spans="1:21" x14ac:dyDescent="0.25">
      <c r="A141" s="21" t="s">
        <v>563</v>
      </c>
      <c r="B141" s="154" t="s">
        <v>1363</v>
      </c>
      <c r="C141" s="154" t="s">
        <v>1364</v>
      </c>
      <c r="D141" s="155">
        <v>0</v>
      </c>
      <c r="E141" s="158">
        <v>0</v>
      </c>
      <c r="F141" s="155">
        <v>0</v>
      </c>
      <c r="G141" s="158">
        <v>163</v>
      </c>
      <c r="H141" s="155">
        <v>0</v>
      </c>
      <c r="I141" s="158">
        <v>160.23846435546875</v>
      </c>
      <c r="J141" s="155">
        <v>0</v>
      </c>
      <c r="K141" s="158">
        <v>160.23846435546875</v>
      </c>
      <c r="L141" s="155">
        <v>2.3477599620819092</v>
      </c>
      <c r="M141" s="158">
        <v>162.58622431755066</v>
      </c>
      <c r="N141" s="155">
        <v>0</v>
      </c>
      <c r="O141" s="158">
        <v>0</v>
      </c>
      <c r="P141" s="155">
        <v>0</v>
      </c>
      <c r="Q141" s="158">
        <v>0</v>
      </c>
      <c r="R141" s="155">
        <v>0</v>
      </c>
      <c r="S141" s="158">
        <v>0</v>
      </c>
      <c r="T141" s="155">
        <v>0</v>
      </c>
      <c r="U141" s="157">
        <v>0</v>
      </c>
    </row>
    <row r="142" spans="1:21" x14ac:dyDescent="0.25">
      <c r="A142" s="149" t="s">
        <v>767</v>
      </c>
      <c r="B142" s="150" t="s">
        <v>768</v>
      </c>
      <c r="C142" s="150" t="s">
        <v>1365</v>
      </c>
      <c r="D142" s="151">
        <v>0</v>
      </c>
      <c r="E142" s="152">
        <v>0</v>
      </c>
      <c r="F142" s="151">
        <v>0</v>
      </c>
      <c r="G142" s="152">
        <v>0</v>
      </c>
      <c r="H142" s="151">
        <v>0</v>
      </c>
      <c r="I142" s="152">
        <v>0</v>
      </c>
      <c r="J142" s="151">
        <v>0</v>
      </c>
      <c r="K142" s="152">
        <v>0</v>
      </c>
      <c r="L142" s="151">
        <v>0</v>
      </c>
      <c r="M142" s="152">
        <v>0</v>
      </c>
      <c r="N142" s="151">
        <v>0</v>
      </c>
      <c r="O142" s="152">
        <v>0</v>
      </c>
      <c r="P142" s="151">
        <v>0</v>
      </c>
      <c r="Q142" s="152">
        <v>0</v>
      </c>
      <c r="R142" s="151">
        <v>0</v>
      </c>
      <c r="S142" s="152">
        <v>0</v>
      </c>
      <c r="T142" s="151">
        <v>0</v>
      </c>
      <c r="U142" s="153">
        <v>0</v>
      </c>
    </row>
    <row r="143" spans="1:21" x14ac:dyDescent="0.25">
      <c r="A143" s="21" t="s">
        <v>754</v>
      </c>
      <c r="B143" s="154" t="s">
        <v>1366</v>
      </c>
      <c r="C143" s="154" t="s">
        <v>1367</v>
      </c>
      <c r="D143" s="155">
        <v>0</v>
      </c>
      <c r="E143" s="158">
        <v>0</v>
      </c>
      <c r="F143" s="155">
        <v>0</v>
      </c>
      <c r="G143" s="158">
        <v>0</v>
      </c>
      <c r="H143" s="155">
        <v>0</v>
      </c>
      <c r="I143" s="158">
        <v>0</v>
      </c>
      <c r="J143" s="155">
        <v>0</v>
      </c>
      <c r="K143" s="158">
        <v>0</v>
      </c>
      <c r="L143" s="155">
        <v>0</v>
      </c>
      <c r="M143" s="158">
        <v>0</v>
      </c>
      <c r="N143" s="155">
        <v>0</v>
      </c>
      <c r="O143" s="158">
        <v>0</v>
      </c>
      <c r="P143" s="155">
        <v>0</v>
      </c>
      <c r="Q143" s="158">
        <v>0</v>
      </c>
      <c r="R143" s="155">
        <v>0</v>
      </c>
      <c r="S143" s="158">
        <v>0</v>
      </c>
      <c r="T143" s="155">
        <v>0</v>
      </c>
      <c r="U143" s="157">
        <v>0</v>
      </c>
    </row>
    <row r="144" spans="1:21" x14ac:dyDescent="0.25">
      <c r="A144" s="149" t="s">
        <v>1175</v>
      </c>
      <c r="B144" s="150" t="s">
        <v>1173</v>
      </c>
      <c r="C144" s="150" t="s">
        <v>1176</v>
      </c>
      <c r="D144" s="151">
        <v>0</v>
      </c>
      <c r="E144" s="152">
        <v>0</v>
      </c>
      <c r="F144" s="151">
        <v>0</v>
      </c>
      <c r="G144" s="152">
        <v>300</v>
      </c>
      <c r="H144" s="151">
        <v>0</v>
      </c>
      <c r="I144" s="152">
        <v>0</v>
      </c>
      <c r="J144" s="151">
        <v>0</v>
      </c>
      <c r="K144" s="152">
        <v>0</v>
      </c>
      <c r="L144" s="151">
        <v>0</v>
      </c>
      <c r="M144" s="152">
        <v>0</v>
      </c>
      <c r="N144" s="151">
        <v>0</v>
      </c>
      <c r="O144" s="152">
        <v>0</v>
      </c>
      <c r="P144" s="151">
        <v>0</v>
      </c>
      <c r="Q144" s="152">
        <v>0</v>
      </c>
      <c r="R144" s="151">
        <v>0</v>
      </c>
      <c r="S144" s="152">
        <v>0</v>
      </c>
      <c r="T144" s="151">
        <v>0</v>
      </c>
      <c r="U144" s="153">
        <v>0</v>
      </c>
    </row>
    <row r="145" spans="1:21" x14ac:dyDescent="0.25">
      <c r="A145" s="21" t="s">
        <v>1368</v>
      </c>
      <c r="B145" s="154" t="s">
        <v>1369</v>
      </c>
      <c r="C145" s="154" t="s">
        <v>1370</v>
      </c>
      <c r="D145" s="155">
        <v>0</v>
      </c>
      <c r="E145" s="158">
        <v>0</v>
      </c>
      <c r="F145" s="155">
        <v>0</v>
      </c>
      <c r="G145" s="158">
        <v>373</v>
      </c>
      <c r="H145" s="155">
        <v>0</v>
      </c>
      <c r="I145" s="158">
        <v>22.68235969543457</v>
      </c>
      <c r="J145" s="155">
        <v>0</v>
      </c>
      <c r="K145" s="158">
        <v>22.68235969543457</v>
      </c>
      <c r="L145" s="155">
        <v>176.40750122070312</v>
      </c>
      <c r="M145" s="158">
        <v>199.0898609161377</v>
      </c>
      <c r="N145" s="155">
        <v>0</v>
      </c>
      <c r="O145" s="158">
        <v>0</v>
      </c>
      <c r="P145" s="155">
        <v>0</v>
      </c>
      <c r="Q145" s="158">
        <v>0</v>
      </c>
      <c r="R145" s="155">
        <v>0</v>
      </c>
      <c r="S145" s="158">
        <v>0</v>
      </c>
      <c r="T145" s="155">
        <v>0</v>
      </c>
      <c r="U145" s="157">
        <v>0</v>
      </c>
    </row>
    <row r="146" spans="1:21" x14ac:dyDescent="0.25">
      <c r="A146" s="149" t="s">
        <v>1171</v>
      </c>
      <c r="B146" s="150" t="s">
        <v>764</v>
      </c>
      <c r="C146" s="150" t="s">
        <v>1172</v>
      </c>
      <c r="D146" s="151">
        <v>0</v>
      </c>
      <c r="E146" s="152">
        <v>0</v>
      </c>
      <c r="F146" s="151">
        <v>0</v>
      </c>
      <c r="G146" s="152">
        <v>693</v>
      </c>
      <c r="H146" s="151">
        <v>0</v>
      </c>
      <c r="I146" s="152">
        <v>0</v>
      </c>
      <c r="J146" s="151">
        <v>0</v>
      </c>
      <c r="K146" s="152">
        <v>0</v>
      </c>
      <c r="L146" s="151">
        <v>693.4403076171875</v>
      </c>
      <c r="M146" s="152">
        <v>693.4403076171875</v>
      </c>
      <c r="N146" s="151">
        <v>0</v>
      </c>
      <c r="O146" s="152">
        <v>0</v>
      </c>
      <c r="P146" s="151">
        <v>0</v>
      </c>
      <c r="Q146" s="152">
        <v>0</v>
      </c>
      <c r="R146" s="151">
        <v>0</v>
      </c>
      <c r="S146" s="152">
        <v>0</v>
      </c>
      <c r="T146" s="151">
        <v>0</v>
      </c>
      <c r="U146" s="153">
        <v>0</v>
      </c>
    </row>
    <row r="147" spans="1:21" x14ac:dyDescent="0.25">
      <c r="A147" s="21" t="s">
        <v>753</v>
      </c>
      <c r="B147" s="154" t="s">
        <v>1371</v>
      </c>
      <c r="C147" s="154" t="s">
        <v>1372</v>
      </c>
      <c r="D147" s="155">
        <v>0</v>
      </c>
      <c r="E147" s="158">
        <v>0</v>
      </c>
      <c r="F147" s="155">
        <v>0</v>
      </c>
      <c r="G147" s="158">
        <v>350</v>
      </c>
      <c r="H147" s="155">
        <v>0</v>
      </c>
      <c r="I147" s="158">
        <v>0</v>
      </c>
      <c r="J147" s="155">
        <v>0</v>
      </c>
      <c r="K147" s="158">
        <v>0</v>
      </c>
      <c r="L147" s="155">
        <v>0</v>
      </c>
      <c r="M147" s="158">
        <v>0</v>
      </c>
      <c r="N147" s="155">
        <v>0</v>
      </c>
      <c r="O147" s="158">
        <v>0</v>
      </c>
      <c r="P147" s="155">
        <v>0</v>
      </c>
      <c r="Q147" s="158">
        <v>0</v>
      </c>
      <c r="R147" s="155">
        <v>0</v>
      </c>
      <c r="S147" s="158">
        <v>0</v>
      </c>
      <c r="T147" s="155">
        <v>0</v>
      </c>
      <c r="U147" s="157">
        <v>0</v>
      </c>
    </row>
    <row r="148" spans="1:21" x14ac:dyDescent="0.25">
      <c r="A148" s="149" t="s">
        <v>566</v>
      </c>
      <c r="B148" s="150" t="s">
        <v>1373</v>
      </c>
      <c r="C148" s="150" t="s">
        <v>1374</v>
      </c>
      <c r="D148" s="151">
        <v>0</v>
      </c>
      <c r="E148" s="152">
        <v>0</v>
      </c>
      <c r="F148" s="151">
        <v>0</v>
      </c>
      <c r="G148" s="152">
        <v>0</v>
      </c>
      <c r="H148" s="151">
        <v>0</v>
      </c>
      <c r="I148" s="152">
        <v>0</v>
      </c>
      <c r="J148" s="151">
        <v>0</v>
      </c>
      <c r="K148" s="152">
        <v>0</v>
      </c>
      <c r="L148" s="151">
        <v>0</v>
      </c>
      <c r="M148" s="152">
        <v>0</v>
      </c>
      <c r="N148" s="151">
        <v>0</v>
      </c>
      <c r="O148" s="152">
        <v>0</v>
      </c>
      <c r="P148" s="151">
        <v>0</v>
      </c>
      <c r="Q148" s="152">
        <v>0</v>
      </c>
      <c r="R148" s="151">
        <v>0</v>
      </c>
      <c r="S148" s="152">
        <v>0</v>
      </c>
      <c r="T148" s="151">
        <v>0</v>
      </c>
      <c r="U148" s="153">
        <v>0</v>
      </c>
    </row>
    <row r="149" spans="1:21" x14ac:dyDescent="0.25">
      <c r="A149" s="21" t="s">
        <v>568</v>
      </c>
      <c r="B149" s="154" t="s">
        <v>567</v>
      </c>
      <c r="C149" s="154" t="s">
        <v>1375</v>
      </c>
      <c r="D149" s="155">
        <v>0</v>
      </c>
      <c r="E149" s="158">
        <v>0</v>
      </c>
      <c r="F149" s="155">
        <v>0</v>
      </c>
      <c r="G149" s="158">
        <v>0</v>
      </c>
      <c r="H149" s="155">
        <v>0</v>
      </c>
      <c r="I149" s="158">
        <v>0</v>
      </c>
      <c r="J149" s="155">
        <v>0</v>
      </c>
      <c r="K149" s="158">
        <v>0</v>
      </c>
      <c r="L149" s="155">
        <v>0</v>
      </c>
      <c r="M149" s="158">
        <v>0</v>
      </c>
      <c r="N149" s="155">
        <v>0</v>
      </c>
      <c r="O149" s="158">
        <v>0</v>
      </c>
      <c r="P149" s="155">
        <v>0</v>
      </c>
      <c r="Q149" s="158">
        <v>0</v>
      </c>
      <c r="R149" s="155">
        <v>0</v>
      </c>
      <c r="S149" s="158">
        <v>0</v>
      </c>
      <c r="T149" s="155">
        <v>0</v>
      </c>
      <c r="U149" s="157">
        <v>0</v>
      </c>
    </row>
    <row r="150" spans="1:21" x14ac:dyDescent="0.25">
      <c r="A150" s="149" t="s">
        <v>1164</v>
      </c>
      <c r="B150" s="150" t="s">
        <v>1376</v>
      </c>
      <c r="C150" s="150" t="s">
        <v>1165</v>
      </c>
      <c r="D150" s="151">
        <v>0</v>
      </c>
      <c r="E150" s="152">
        <v>0</v>
      </c>
      <c r="F150" s="151">
        <v>0</v>
      </c>
      <c r="G150" s="152">
        <v>1080</v>
      </c>
      <c r="H150" s="151">
        <v>0</v>
      </c>
      <c r="I150" s="152">
        <v>0</v>
      </c>
      <c r="J150" s="151">
        <v>0</v>
      </c>
      <c r="K150" s="152">
        <v>0</v>
      </c>
      <c r="L150" s="151">
        <v>1080</v>
      </c>
      <c r="M150" s="152">
        <v>1080</v>
      </c>
      <c r="N150" s="151">
        <v>0</v>
      </c>
      <c r="O150" s="152">
        <v>0</v>
      </c>
      <c r="P150" s="151">
        <v>0</v>
      </c>
      <c r="Q150" s="152">
        <v>0</v>
      </c>
      <c r="R150" s="151">
        <v>0</v>
      </c>
      <c r="S150" s="152">
        <v>0</v>
      </c>
      <c r="T150" s="151">
        <v>0</v>
      </c>
      <c r="U150" s="153">
        <v>0</v>
      </c>
    </row>
    <row r="151" spans="1:21" x14ac:dyDescent="0.25">
      <c r="A151" s="21" t="s">
        <v>1377</v>
      </c>
      <c r="B151" s="154" t="s">
        <v>1378</v>
      </c>
      <c r="C151" s="154" t="s">
        <v>1379</v>
      </c>
      <c r="D151" s="155">
        <v>0</v>
      </c>
      <c r="E151" s="158">
        <v>0</v>
      </c>
      <c r="F151" s="155">
        <v>0</v>
      </c>
      <c r="G151" s="158">
        <v>2841</v>
      </c>
      <c r="H151" s="155">
        <v>0</v>
      </c>
      <c r="I151" s="158">
        <v>0</v>
      </c>
      <c r="J151" s="155">
        <v>0</v>
      </c>
      <c r="K151" s="158">
        <v>0</v>
      </c>
      <c r="L151" s="155">
        <v>2841</v>
      </c>
      <c r="M151" s="158">
        <v>2841</v>
      </c>
      <c r="N151" s="155">
        <v>0</v>
      </c>
      <c r="O151" s="158">
        <v>0</v>
      </c>
      <c r="P151" s="155">
        <v>0</v>
      </c>
      <c r="Q151" s="158">
        <v>0</v>
      </c>
      <c r="R151" s="155">
        <v>0</v>
      </c>
      <c r="S151" s="158">
        <v>0</v>
      </c>
      <c r="T151" s="155">
        <v>0</v>
      </c>
      <c r="U151" s="157">
        <v>0</v>
      </c>
    </row>
    <row r="152" spans="1:21" x14ac:dyDescent="0.25">
      <c r="A152" s="149" t="s">
        <v>1010</v>
      </c>
      <c r="B152" s="150" t="s">
        <v>1011</v>
      </c>
      <c r="C152" s="150" t="s">
        <v>1380</v>
      </c>
      <c r="D152" s="151">
        <v>0</v>
      </c>
      <c r="E152" s="152">
        <v>0</v>
      </c>
      <c r="F152" s="151">
        <v>0</v>
      </c>
      <c r="G152" s="152">
        <v>600</v>
      </c>
      <c r="H152" s="151">
        <v>0</v>
      </c>
      <c r="I152" s="152">
        <v>599.97772216796875</v>
      </c>
      <c r="J152" s="151">
        <v>0</v>
      </c>
      <c r="K152" s="152">
        <v>599.97772216796875</v>
      </c>
      <c r="L152" s="151">
        <v>0</v>
      </c>
      <c r="M152" s="152">
        <v>599.97772216796875</v>
      </c>
      <c r="N152" s="151">
        <v>0</v>
      </c>
      <c r="O152" s="152">
        <v>0</v>
      </c>
      <c r="P152" s="151">
        <v>0</v>
      </c>
      <c r="Q152" s="152">
        <v>0</v>
      </c>
      <c r="R152" s="151">
        <v>0</v>
      </c>
      <c r="S152" s="152">
        <v>0</v>
      </c>
      <c r="T152" s="151">
        <v>0</v>
      </c>
      <c r="U152" s="153">
        <v>0</v>
      </c>
    </row>
    <row r="153" spans="1:21" x14ac:dyDescent="0.25">
      <c r="A153" s="21" t="s">
        <v>1163</v>
      </c>
      <c r="B153" s="154" t="s">
        <v>335</v>
      </c>
      <c r="C153" s="154" t="s">
        <v>1381</v>
      </c>
      <c r="D153" s="155">
        <v>0</v>
      </c>
      <c r="E153" s="158">
        <v>0</v>
      </c>
      <c r="F153" s="155">
        <v>0</v>
      </c>
      <c r="G153" s="158">
        <v>52</v>
      </c>
      <c r="H153" s="155">
        <v>0</v>
      </c>
      <c r="I153" s="158">
        <v>52.127998352050781</v>
      </c>
      <c r="J153" s="155">
        <v>0</v>
      </c>
      <c r="K153" s="158">
        <v>52.127998352050781</v>
      </c>
      <c r="L153" s="155">
        <v>0</v>
      </c>
      <c r="M153" s="158">
        <v>52.127998352050781</v>
      </c>
      <c r="N153" s="155">
        <v>0</v>
      </c>
      <c r="O153" s="158">
        <v>0</v>
      </c>
      <c r="P153" s="155">
        <v>0</v>
      </c>
      <c r="Q153" s="158">
        <v>0</v>
      </c>
      <c r="R153" s="155">
        <v>0</v>
      </c>
      <c r="S153" s="158">
        <v>0</v>
      </c>
      <c r="T153" s="155">
        <v>0</v>
      </c>
      <c r="U153" s="157">
        <v>0</v>
      </c>
    </row>
    <row r="154" spans="1:21" x14ac:dyDescent="0.25">
      <c r="A154" s="149" t="s">
        <v>1144</v>
      </c>
      <c r="B154" s="150" t="s">
        <v>1382</v>
      </c>
      <c r="C154" s="150" t="s">
        <v>1383</v>
      </c>
      <c r="D154" s="151">
        <v>0</v>
      </c>
      <c r="E154" s="152">
        <v>0</v>
      </c>
      <c r="F154" s="151">
        <v>0</v>
      </c>
      <c r="G154" s="152">
        <v>216</v>
      </c>
      <c r="H154" s="151">
        <v>0</v>
      </c>
      <c r="I154" s="152">
        <v>0</v>
      </c>
      <c r="J154" s="151">
        <v>0</v>
      </c>
      <c r="K154" s="152">
        <v>0</v>
      </c>
      <c r="L154" s="151">
        <v>216</v>
      </c>
      <c r="M154" s="152">
        <v>216</v>
      </c>
      <c r="N154" s="151">
        <v>0</v>
      </c>
      <c r="O154" s="152">
        <v>0</v>
      </c>
      <c r="P154" s="151">
        <v>0</v>
      </c>
      <c r="Q154" s="152">
        <v>0</v>
      </c>
      <c r="R154" s="151">
        <v>0</v>
      </c>
      <c r="S154" s="152">
        <v>0</v>
      </c>
      <c r="T154" s="151">
        <v>0</v>
      </c>
      <c r="U154" s="153">
        <v>0</v>
      </c>
    </row>
    <row r="155" spans="1:21" x14ac:dyDescent="0.25">
      <c r="A155" s="21" t="s">
        <v>1049</v>
      </c>
      <c r="B155" s="154" t="s">
        <v>1338</v>
      </c>
      <c r="C155" s="154" t="s">
        <v>1384</v>
      </c>
      <c r="D155" s="155">
        <v>0</v>
      </c>
      <c r="E155" s="158">
        <v>0</v>
      </c>
      <c r="F155" s="155">
        <v>0</v>
      </c>
      <c r="G155" s="158">
        <v>1500</v>
      </c>
      <c r="H155" s="155">
        <v>0</v>
      </c>
      <c r="I155" s="158">
        <v>0</v>
      </c>
      <c r="J155" s="155">
        <v>0</v>
      </c>
      <c r="K155" s="158">
        <v>0</v>
      </c>
      <c r="L155" s="155">
        <v>1460.2259750366211</v>
      </c>
      <c r="M155" s="158">
        <v>1460.2259750366211</v>
      </c>
      <c r="N155" s="155">
        <v>0</v>
      </c>
      <c r="O155" s="158">
        <v>0</v>
      </c>
      <c r="P155" s="155">
        <v>0</v>
      </c>
      <c r="Q155" s="158">
        <v>0</v>
      </c>
      <c r="R155" s="155">
        <v>0</v>
      </c>
      <c r="S155" s="158">
        <v>0</v>
      </c>
      <c r="T155" s="155">
        <v>0</v>
      </c>
      <c r="U155" s="157">
        <v>0</v>
      </c>
    </row>
    <row r="156" spans="1:21" x14ac:dyDescent="0.25">
      <c r="A156" s="149" t="s">
        <v>1051</v>
      </c>
      <c r="B156" s="150" t="s">
        <v>1024</v>
      </c>
      <c r="C156" s="150" t="s">
        <v>1385</v>
      </c>
      <c r="D156" s="151">
        <v>0</v>
      </c>
      <c r="E156" s="152">
        <v>0</v>
      </c>
      <c r="F156" s="151">
        <v>0</v>
      </c>
      <c r="G156" s="152">
        <v>45</v>
      </c>
      <c r="H156" s="151">
        <v>0</v>
      </c>
      <c r="I156" s="152">
        <v>44.575801849365234</v>
      </c>
      <c r="J156" s="151">
        <v>0</v>
      </c>
      <c r="K156" s="152">
        <v>44.575801849365234</v>
      </c>
      <c r="L156" s="151">
        <v>0</v>
      </c>
      <c r="M156" s="152">
        <v>44.575801849365234</v>
      </c>
      <c r="N156" s="151">
        <v>0</v>
      </c>
      <c r="O156" s="152">
        <v>0</v>
      </c>
      <c r="P156" s="151">
        <v>0</v>
      </c>
      <c r="Q156" s="152">
        <v>0</v>
      </c>
      <c r="R156" s="151">
        <v>0</v>
      </c>
      <c r="S156" s="152">
        <v>0</v>
      </c>
      <c r="T156" s="151">
        <v>0</v>
      </c>
      <c r="U156" s="153">
        <v>0</v>
      </c>
    </row>
    <row r="157" spans="1:21" x14ac:dyDescent="0.25">
      <c r="A157" s="21" t="s">
        <v>1465</v>
      </c>
      <c r="B157" s="154" t="s">
        <v>1466</v>
      </c>
      <c r="C157" s="154" t="s">
        <v>1467</v>
      </c>
      <c r="D157" s="155">
        <v>0</v>
      </c>
      <c r="E157" s="158">
        <v>0</v>
      </c>
      <c r="F157" s="155">
        <v>0</v>
      </c>
      <c r="G157" s="158">
        <v>245</v>
      </c>
      <c r="H157" s="155">
        <v>0</v>
      </c>
      <c r="I157" s="158">
        <v>0</v>
      </c>
      <c r="J157" s="155">
        <v>0</v>
      </c>
      <c r="K157" s="158">
        <v>0</v>
      </c>
      <c r="L157" s="155">
        <v>244.84255981445312</v>
      </c>
      <c r="M157" s="158">
        <v>244.84255981445312</v>
      </c>
      <c r="N157" s="155">
        <v>0</v>
      </c>
      <c r="O157" s="158">
        <v>0</v>
      </c>
      <c r="P157" s="155">
        <v>0</v>
      </c>
      <c r="Q157" s="158">
        <v>0</v>
      </c>
      <c r="R157" s="155">
        <v>0</v>
      </c>
      <c r="S157" s="158">
        <v>0</v>
      </c>
      <c r="T157" s="155">
        <v>0</v>
      </c>
      <c r="U157" s="157">
        <v>0</v>
      </c>
    </row>
    <row r="158" spans="1:21" x14ac:dyDescent="0.25">
      <c r="A158" s="149" t="s">
        <v>1140</v>
      </c>
      <c r="B158" s="150" t="s">
        <v>1386</v>
      </c>
      <c r="C158" s="150" t="s">
        <v>1387</v>
      </c>
      <c r="D158" s="151">
        <v>0</v>
      </c>
      <c r="E158" s="152">
        <v>0</v>
      </c>
      <c r="F158" s="151">
        <v>0</v>
      </c>
      <c r="G158" s="152">
        <v>814</v>
      </c>
      <c r="H158" s="151">
        <v>0</v>
      </c>
      <c r="I158" s="152">
        <v>813.67767333984375</v>
      </c>
      <c r="J158" s="151">
        <v>0</v>
      </c>
      <c r="K158" s="152">
        <v>813.67767333984375</v>
      </c>
      <c r="L158" s="151">
        <v>0</v>
      </c>
      <c r="M158" s="152">
        <v>813.67767333984375</v>
      </c>
      <c r="N158" s="151">
        <v>0</v>
      </c>
      <c r="O158" s="152">
        <v>0</v>
      </c>
      <c r="P158" s="151">
        <v>0</v>
      </c>
      <c r="Q158" s="152">
        <v>0</v>
      </c>
      <c r="R158" s="151">
        <v>0</v>
      </c>
      <c r="S158" s="152">
        <v>0</v>
      </c>
      <c r="T158" s="151">
        <v>0</v>
      </c>
      <c r="U158" s="153">
        <v>0</v>
      </c>
    </row>
    <row r="159" spans="1:21" x14ac:dyDescent="0.25">
      <c r="A159" s="21" t="s">
        <v>1147</v>
      </c>
      <c r="B159" s="154" t="s">
        <v>1023</v>
      </c>
      <c r="C159" s="154" t="s">
        <v>1388</v>
      </c>
      <c r="D159" s="155">
        <v>0</v>
      </c>
      <c r="E159" s="158">
        <v>0</v>
      </c>
      <c r="F159" s="155">
        <v>0</v>
      </c>
      <c r="G159" s="158">
        <v>0</v>
      </c>
      <c r="H159" s="155">
        <v>0</v>
      </c>
      <c r="I159" s="158">
        <v>0</v>
      </c>
      <c r="J159" s="155">
        <v>0</v>
      </c>
      <c r="K159" s="158">
        <v>0</v>
      </c>
      <c r="L159" s="155">
        <v>0</v>
      </c>
      <c r="M159" s="158">
        <v>0</v>
      </c>
      <c r="N159" s="155">
        <v>0</v>
      </c>
      <c r="O159" s="158">
        <v>0</v>
      </c>
      <c r="P159" s="155">
        <v>0</v>
      </c>
      <c r="Q159" s="158">
        <v>0</v>
      </c>
      <c r="R159" s="155">
        <v>0</v>
      </c>
      <c r="S159" s="158">
        <v>0</v>
      </c>
      <c r="T159" s="155">
        <v>0</v>
      </c>
      <c r="U159" s="157">
        <v>0</v>
      </c>
    </row>
    <row r="160" spans="1:21" x14ac:dyDescent="0.25">
      <c r="A160" s="149" t="s">
        <v>1050</v>
      </c>
      <c r="B160" s="150" t="s">
        <v>1022</v>
      </c>
      <c r="C160" s="150" t="s">
        <v>1389</v>
      </c>
      <c r="D160" s="151">
        <v>0</v>
      </c>
      <c r="E160" s="152">
        <v>0</v>
      </c>
      <c r="F160" s="151">
        <v>0</v>
      </c>
      <c r="G160" s="152">
        <v>0</v>
      </c>
      <c r="H160" s="151">
        <v>0</v>
      </c>
      <c r="I160" s="152">
        <v>0</v>
      </c>
      <c r="J160" s="151">
        <v>0</v>
      </c>
      <c r="K160" s="152">
        <v>0</v>
      </c>
      <c r="L160" s="151">
        <v>0</v>
      </c>
      <c r="M160" s="152">
        <v>0</v>
      </c>
      <c r="N160" s="151">
        <v>0</v>
      </c>
      <c r="O160" s="152">
        <v>0</v>
      </c>
      <c r="P160" s="151">
        <v>0</v>
      </c>
      <c r="Q160" s="152">
        <v>0</v>
      </c>
      <c r="R160" s="151">
        <v>0</v>
      </c>
      <c r="S160" s="152">
        <v>0</v>
      </c>
      <c r="T160" s="151">
        <v>0</v>
      </c>
      <c r="U160" s="153">
        <v>0</v>
      </c>
    </row>
    <row r="161" spans="1:21" x14ac:dyDescent="0.25">
      <c r="A161" s="21" t="s">
        <v>1143</v>
      </c>
      <c r="B161" s="154" t="s">
        <v>1390</v>
      </c>
      <c r="C161" s="154" t="s">
        <v>1391</v>
      </c>
      <c r="D161" s="155">
        <v>0</v>
      </c>
      <c r="E161" s="158">
        <v>0</v>
      </c>
      <c r="F161" s="155">
        <v>0</v>
      </c>
      <c r="G161" s="158">
        <v>871</v>
      </c>
      <c r="H161" s="155">
        <v>0</v>
      </c>
      <c r="I161" s="158">
        <v>0</v>
      </c>
      <c r="J161" s="155">
        <v>0</v>
      </c>
      <c r="K161" s="158">
        <v>0</v>
      </c>
      <c r="L161" s="155">
        <v>384.39999389648437</v>
      </c>
      <c r="M161" s="158">
        <v>384.39999389648437</v>
      </c>
      <c r="N161" s="155">
        <v>0</v>
      </c>
      <c r="O161" s="158">
        <v>0</v>
      </c>
      <c r="P161" s="155">
        <v>0</v>
      </c>
      <c r="Q161" s="158">
        <v>0</v>
      </c>
      <c r="R161" s="155">
        <v>0</v>
      </c>
      <c r="S161" s="158">
        <v>0</v>
      </c>
      <c r="T161" s="155">
        <v>0</v>
      </c>
      <c r="U161" s="157">
        <v>0</v>
      </c>
    </row>
    <row r="162" spans="1:21" x14ac:dyDescent="0.25">
      <c r="A162" s="149" t="s">
        <v>1194</v>
      </c>
      <c r="B162" s="150" t="s">
        <v>1392</v>
      </c>
      <c r="C162" s="150" t="s">
        <v>59</v>
      </c>
      <c r="D162" s="151">
        <v>0</v>
      </c>
      <c r="E162" s="152">
        <v>0</v>
      </c>
      <c r="F162" s="151">
        <v>0</v>
      </c>
      <c r="G162" s="152">
        <v>0</v>
      </c>
      <c r="H162" s="151">
        <v>0</v>
      </c>
      <c r="I162" s="152">
        <v>0</v>
      </c>
      <c r="J162" s="151">
        <v>0</v>
      </c>
      <c r="K162" s="152">
        <v>0</v>
      </c>
      <c r="L162" s="151">
        <v>0</v>
      </c>
      <c r="M162" s="152">
        <v>0</v>
      </c>
      <c r="N162" s="151">
        <v>0</v>
      </c>
      <c r="O162" s="152">
        <v>0</v>
      </c>
      <c r="P162" s="151">
        <v>0</v>
      </c>
      <c r="Q162" s="152">
        <v>0</v>
      </c>
      <c r="R162" s="151">
        <v>0</v>
      </c>
      <c r="S162" s="152">
        <v>0</v>
      </c>
      <c r="T162" s="151">
        <v>0</v>
      </c>
      <c r="U162" s="153">
        <v>0</v>
      </c>
    </row>
    <row r="163" spans="1:21" x14ac:dyDescent="0.25">
      <c r="A163" s="21" t="s">
        <v>1196</v>
      </c>
      <c r="B163" s="154" t="s">
        <v>1197</v>
      </c>
      <c r="C163" s="154" t="s">
        <v>59</v>
      </c>
      <c r="D163" s="155">
        <v>0</v>
      </c>
      <c r="E163" s="158">
        <v>0</v>
      </c>
      <c r="F163" s="155">
        <v>0</v>
      </c>
      <c r="G163" s="158">
        <v>0</v>
      </c>
      <c r="H163" s="155">
        <v>0</v>
      </c>
      <c r="I163" s="158">
        <v>0</v>
      </c>
      <c r="J163" s="155">
        <v>0</v>
      </c>
      <c r="K163" s="158">
        <v>0</v>
      </c>
      <c r="L163" s="155">
        <v>0</v>
      </c>
      <c r="M163" s="158">
        <v>0</v>
      </c>
      <c r="N163" s="155">
        <v>0</v>
      </c>
      <c r="O163" s="158">
        <v>0</v>
      </c>
      <c r="P163" s="155">
        <v>0</v>
      </c>
      <c r="Q163" s="158">
        <v>0</v>
      </c>
      <c r="R163" s="155">
        <v>0</v>
      </c>
      <c r="S163" s="158">
        <v>0</v>
      </c>
      <c r="T163" s="155">
        <v>0</v>
      </c>
      <c r="U163" s="157">
        <v>0</v>
      </c>
    </row>
    <row r="164" spans="1:21" x14ac:dyDescent="0.25">
      <c r="A164" s="149" t="s">
        <v>1393</v>
      </c>
      <c r="B164" s="150" t="s">
        <v>1394</v>
      </c>
      <c r="C164" s="150" t="s">
        <v>1395</v>
      </c>
      <c r="D164" s="151">
        <v>3182</v>
      </c>
      <c r="E164" s="152">
        <v>0</v>
      </c>
      <c r="F164" s="151">
        <v>3182</v>
      </c>
      <c r="G164" s="152">
        <v>0</v>
      </c>
      <c r="H164" s="151">
        <v>0</v>
      </c>
      <c r="I164" s="152">
        <v>0</v>
      </c>
      <c r="J164" s="151">
        <v>0</v>
      </c>
      <c r="K164" s="152">
        <v>0</v>
      </c>
      <c r="L164" s="151">
        <v>0</v>
      </c>
      <c r="M164" s="152">
        <v>0</v>
      </c>
      <c r="N164" s="151">
        <v>0</v>
      </c>
      <c r="O164" s="152">
        <v>0</v>
      </c>
      <c r="P164" s="151">
        <v>0</v>
      </c>
      <c r="Q164" s="152">
        <v>0</v>
      </c>
      <c r="R164" s="151">
        <v>0</v>
      </c>
      <c r="S164" s="152">
        <v>0</v>
      </c>
      <c r="T164" s="151">
        <v>0</v>
      </c>
      <c r="U164" s="153">
        <v>0</v>
      </c>
    </row>
    <row r="165" spans="1:21" x14ac:dyDescent="0.25">
      <c r="A165" s="21" t="s">
        <v>565</v>
      </c>
      <c r="B165" s="154" t="s">
        <v>1198</v>
      </c>
      <c r="C165" s="154" t="s">
        <v>59</v>
      </c>
      <c r="D165" s="155">
        <v>5366</v>
      </c>
      <c r="E165" s="158">
        <v>0</v>
      </c>
      <c r="F165" s="155">
        <v>0</v>
      </c>
      <c r="G165" s="158">
        <v>0</v>
      </c>
      <c r="H165" s="155">
        <v>0</v>
      </c>
      <c r="I165" s="158">
        <v>0</v>
      </c>
      <c r="J165" s="155">
        <v>0</v>
      </c>
      <c r="K165" s="158">
        <v>0</v>
      </c>
      <c r="L165" s="155">
        <v>0</v>
      </c>
      <c r="M165" s="158">
        <v>0</v>
      </c>
      <c r="N165" s="155">
        <v>1864</v>
      </c>
      <c r="O165" s="158">
        <v>2982</v>
      </c>
      <c r="P165" s="155">
        <v>350</v>
      </c>
      <c r="Q165" s="158">
        <v>170</v>
      </c>
      <c r="R165" s="155">
        <v>0</v>
      </c>
      <c r="S165" s="158">
        <v>0</v>
      </c>
      <c r="T165" s="155">
        <v>0</v>
      </c>
      <c r="U165" s="157">
        <v>0</v>
      </c>
    </row>
    <row r="166" spans="1:21" x14ac:dyDescent="0.25">
      <c r="A166" s="149" t="s">
        <v>1199</v>
      </c>
      <c r="B166" s="150" t="s">
        <v>1200</v>
      </c>
      <c r="C166" s="150" t="s">
        <v>59</v>
      </c>
      <c r="D166" s="151">
        <v>0</v>
      </c>
      <c r="E166" s="152">
        <v>0</v>
      </c>
      <c r="F166" s="151">
        <v>0</v>
      </c>
      <c r="G166" s="152">
        <v>0</v>
      </c>
      <c r="H166" s="151">
        <v>0</v>
      </c>
      <c r="I166" s="152">
        <v>0</v>
      </c>
      <c r="J166" s="151">
        <v>0</v>
      </c>
      <c r="K166" s="152">
        <v>0</v>
      </c>
      <c r="L166" s="151">
        <v>0</v>
      </c>
      <c r="M166" s="152">
        <v>0</v>
      </c>
      <c r="N166" s="151">
        <v>0</v>
      </c>
      <c r="O166" s="152">
        <v>0</v>
      </c>
      <c r="P166" s="151">
        <v>0</v>
      </c>
      <c r="Q166" s="152">
        <v>0</v>
      </c>
      <c r="R166" s="151">
        <v>0</v>
      </c>
      <c r="S166" s="152">
        <v>0</v>
      </c>
      <c r="T166" s="151">
        <v>0</v>
      </c>
      <c r="U166" s="153">
        <v>0</v>
      </c>
    </row>
    <row r="167" spans="1:21" x14ac:dyDescent="0.25">
      <c r="A167" s="21" t="s">
        <v>1194</v>
      </c>
      <c r="B167" s="154" t="s">
        <v>1315</v>
      </c>
      <c r="C167" s="154" t="s">
        <v>59</v>
      </c>
      <c r="D167" s="155">
        <v>0</v>
      </c>
      <c r="E167" s="158">
        <v>0</v>
      </c>
      <c r="F167" s="155">
        <v>0</v>
      </c>
      <c r="G167" s="158">
        <v>0</v>
      </c>
      <c r="H167" s="155">
        <v>0</v>
      </c>
      <c r="I167" s="158">
        <v>0</v>
      </c>
      <c r="J167" s="155">
        <v>0</v>
      </c>
      <c r="K167" s="158">
        <v>0</v>
      </c>
      <c r="L167" s="155">
        <v>0</v>
      </c>
      <c r="M167" s="158">
        <v>0</v>
      </c>
      <c r="N167" s="155">
        <v>0</v>
      </c>
      <c r="O167" s="158">
        <v>0</v>
      </c>
      <c r="P167" s="155">
        <v>0</v>
      </c>
      <c r="Q167" s="158">
        <v>0</v>
      </c>
      <c r="R167" s="155">
        <v>0</v>
      </c>
      <c r="S167" s="158">
        <v>0</v>
      </c>
      <c r="T167" s="155">
        <v>0</v>
      </c>
      <c r="U167" s="157">
        <v>0</v>
      </c>
    </row>
    <row r="168" spans="1:21" x14ac:dyDescent="0.25">
      <c r="A168" s="149" t="s">
        <v>1196</v>
      </c>
      <c r="B168" s="150" t="s">
        <v>1197</v>
      </c>
      <c r="C168" s="150" t="s">
        <v>59</v>
      </c>
      <c r="D168" s="151">
        <v>0</v>
      </c>
      <c r="E168" s="152">
        <v>0</v>
      </c>
      <c r="F168" s="151">
        <v>0</v>
      </c>
      <c r="G168" s="152">
        <v>0</v>
      </c>
      <c r="H168" s="151">
        <v>0</v>
      </c>
      <c r="I168" s="152">
        <v>0</v>
      </c>
      <c r="J168" s="151">
        <v>0</v>
      </c>
      <c r="K168" s="152">
        <v>0</v>
      </c>
      <c r="L168" s="151">
        <v>0</v>
      </c>
      <c r="M168" s="152">
        <v>0</v>
      </c>
      <c r="N168" s="151">
        <v>0</v>
      </c>
      <c r="O168" s="152">
        <v>0</v>
      </c>
      <c r="P168" s="151">
        <v>0</v>
      </c>
      <c r="Q168" s="152">
        <v>0</v>
      </c>
      <c r="R168" s="151">
        <v>0</v>
      </c>
      <c r="S168" s="152">
        <v>0</v>
      </c>
      <c r="T168" s="151">
        <v>0</v>
      </c>
      <c r="U168" s="153">
        <v>0</v>
      </c>
    </row>
    <row r="169" spans="1:21" x14ac:dyDescent="0.25">
      <c r="A169" s="21" t="s">
        <v>565</v>
      </c>
      <c r="B169" s="154" t="s">
        <v>1396</v>
      </c>
      <c r="C169" s="154" t="s">
        <v>59</v>
      </c>
      <c r="D169" s="155">
        <v>625</v>
      </c>
      <c r="E169" s="158">
        <v>0</v>
      </c>
      <c r="F169" s="155">
        <v>0</v>
      </c>
      <c r="G169" s="158">
        <v>0</v>
      </c>
      <c r="H169" s="155">
        <v>0</v>
      </c>
      <c r="I169" s="158">
        <v>0</v>
      </c>
      <c r="J169" s="155">
        <v>0</v>
      </c>
      <c r="K169" s="158">
        <v>0</v>
      </c>
      <c r="L169" s="155">
        <v>0</v>
      </c>
      <c r="M169" s="158">
        <v>0</v>
      </c>
      <c r="N169" s="155">
        <v>75</v>
      </c>
      <c r="O169" s="158">
        <v>150</v>
      </c>
      <c r="P169" s="155">
        <v>150</v>
      </c>
      <c r="Q169" s="158">
        <v>250</v>
      </c>
      <c r="R169" s="155">
        <v>0</v>
      </c>
      <c r="S169" s="158">
        <v>0</v>
      </c>
      <c r="T169" s="155">
        <v>0</v>
      </c>
      <c r="U169" s="157">
        <v>0</v>
      </c>
    </row>
    <row r="170" spans="1:21" x14ac:dyDescent="0.25">
      <c r="A170" s="149" t="s">
        <v>1199</v>
      </c>
      <c r="B170" s="150" t="s">
        <v>1200</v>
      </c>
      <c r="C170" s="150" t="s">
        <v>59</v>
      </c>
      <c r="D170" s="151">
        <v>0</v>
      </c>
      <c r="E170" s="152">
        <v>0</v>
      </c>
      <c r="F170" s="151">
        <v>0</v>
      </c>
      <c r="G170" s="152">
        <v>0</v>
      </c>
      <c r="H170" s="151">
        <v>0</v>
      </c>
      <c r="I170" s="152">
        <v>0</v>
      </c>
      <c r="J170" s="151">
        <v>0</v>
      </c>
      <c r="K170" s="152">
        <v>0</v>
      </c>
      <c r="L170" s="151">
        <v>0</v>
      </c>
      <c r="M170" s="152">
        <v>0</v>
      </c>
      <c r="N170" s="151">
        <v>0</v>
      </c>
      <c r="O170" s="152">
        <v>0</v>
      </c>
      <c r="P170" s="151">
        <v>0</v>
      </c>
      <c r="Q170" s="152">
        <v>0</v>
      </c>
      <c r="R170" s="151">
        <v>0</v>
      </c>
      <c r="S170" s="152">
        <v>0</v>
      </c>
      <c r="T170" s="151">
        <v>0</v>
      </c>
      <c r="U170" s="153">
        <v>0</v>
      </c>
    </row>
    <row r="171" spans="1:21" x14ac:dyDescent="0.25">
      <c r="A171" s="21" t="s">
        <v>1397</v>
      </c>
      <c r="B171" s="154" t="s">
        <v>1398</v>
      </c>
      <c r="C171" s="154" t="s">
        <v>1399</v>
      </c>
      <c r="D171" s="155">
        <v>75</v>
      </c>
      <c r="E171" s="158">
        <v>0</v>
      </c>
      <c r="F171" s="155">
        <v>75</v>
      </c>
      <c r="G171" s="158">
        <v>0</v>
      </c>
      <c r="H171" s="155">
        <v>0</v>
      </c>
      <c r="I171" s="158">
        <v>0</v>
      </c>
      <c r="J171" s="155">
        <v>0</v>
      </c>
      <c r="K171" s="158">
        <v>0</v>
      </c>
      <c r="L171" s="155">
        <v>0</v>
      </c>
      <c r="M171" s="158">
        <v>0</v>
      </c>
      <c r="N171" s="155">
        <v>0</v>
      </c>
      <c r="O171" s="158">
        <v>0</v>
      </c>
      <c r="P171" s="155">
        <v>0</v>
      </c>
      <c r="Q171" s="158">
        <v>0</v>
      </c>
      <c r="R171" s="155">
        <v>0</v>
      </c>
      <c r="S171" s="158">
        <v>0</v>
      </c>
      <c r="T171" s="155">
        <v>0</v>
      </c>
      <c r="U171" s="157">
        <v>0</v>
      </c>
    </row>
    <row r="172" spans="1:21" x14ac:dyDescent="0.25">
      <c r="A172" s="149" t="s">
        <v>1194</v>
      </c>
      <c r="B172" s="150" t="s">
        <v>1400</v>
      </c>
      <c r="C172" s="150" t="s">
        <v>59</v>
      </c>
      <c r="D172" s="151">
        <v>0</v>
      </c>
      <c r="E172" s="152">
        <v>0</v>
      </c>
      <c r="F172" s="151">
        <v>0</v>
      </c>
      <c r="G172" s="152">
        <v>0</v>
      </c>
      <c r="H172" s="151">
        <v>0</v>
      </c>
      <c r="I172" s="152">
        <v>0</v>
      </c>
      <c r="J172" s="151">
        <v>0</v>
      </c>
      <c r="K172" s="152">
        <v>0</v>
      </c>
      <c r="L172" s="151">
        <v>0</v>
      </c>
      <c r="M172" s="152">
        <v>0</v>
      </c>
      <c r="N172" s="151">
        <v>0</v>
      </c>
      <c r="O172" s="152">
        <v>0</v>
      </c>
      <c r="P172" s="151">
        <v>0</v>
      </c>
      <c r="Q172" s="152">
        <v>0</v>
      </c>
      <c r="R172" s="151">
        <v>0</v>
      </c>
      <c r="S172" s="152">
        <v>0</v>
      </c>
      <c r="T172" s="151">
        <v>0</v>
      </c>
      <c r="U172" s="153">
        <v>0</v>
      </c>
    </row>
    <row r="173" spans="1:21" x14ac:dyDescent="0.25">
      <c r="A173" s="21" t="s">
        <v>1196</v>
      </c>
      <c r="B173" s="154" t="s">
        <v>1197</v>
      </c>
      <c r="C173" s="154" t="s">
        <v>59</v>
      </c>
      <c r="D173" s="155">
        <v>0</v>
      </c>
      <c r="E173" s="158">
        <v>0</v>
      </c>
      <c r="F173" s="155">
        <v>0</v>
      </c>
      <c r="G173" s="158">
        <v>0</v>
      </c>
      <c r="H173" s="155">
        <v>0</v>
      </c>
      <c r="I173" s="158">
        <v>0</v>
      </c>
      <c r="J173" s="155">
        <v>0</v>
      </c>
      <c r="K173" s="158">
        <v>0</v>
      </c>
      <c r="L173" s="155">
        <v>0</v>
      </c>
      <c r="M173" s="158">
        <v>0</v>
      </c>
      <c r="N173" s="155">
        <v>0</v>
      </c>
      <c r="O173" s="158">
        <v>0</v>
      </c>
      <c r="P173" s="155">
        <v>0</v>
      </c>
      <c r="Q173" s="158">
        <v>0</v>
      </c>
      <c r="R173" s="155">
        <v>0</v>
      </c>
      <c r="S173" s="158">
        <v>0</v>
      </c>
      <c r="T173" s="155">
        <v>0</v>
      </c>
      <c r="U173" s="157">
        <v>0</v>
      </c>
    </row>
    <row r="174" spans="1:21" x14ac:dyDescent="0.25">
      <c r="A174" s="149" t="s">
        <v>565</v>
      </c>
      <c r="B174" s="150" t="s">
        <v>1401</v>
      </c>
      <c r="C174" s="150" t="s">
        <v>59</v>
      </c>
      <c r="D174" s="151">
        <v>600</v>
      </c>
      <c r="E174" s="152">
        <v>0</v>
      </c>
      <c r="F174" s="151">
        <v>0</v>
      </c>
      <c r="G174" s="152">
        <v>0</v>
      </c>
      <c r="H174" s="151">
        <v>0</v>
      </c>
      <c r="I174" s="152">
        <v>0</v>
      </c>
      <c r="J174" s="151">
        <v>0</v>
      </c>
      <c r="K174" s="152">
        <v>0</v>
      </c>
      <c r="L174" s="151">
        <v>0</v>
      </c>
      <c r="M174" s="152">
        <v>0</v>
      </c>
      <c r="N174" s="151">
        <v>150</v>
      </c>
      <c r="O174" s="152">
        <v>150</v>
      </c>
      <c r="P174" s="151">
        <v>150</v>
      </c>
      <c r="Q174" s="152">
        <v>150</v>
      </c>
      <c r="R174" s="151">
        <v>0</v>
      </c>
      <c r="S174" s="152">
        <v>0</v>
      </c>
      <c r="T174" s="151">
        <v>0</v>
      </c>
      <c r="U174" s="153">
        <v>0</v>
      </c>
    </row>
    <row r="175" spans="1:21" x14ac:dyDescent="0.25">
      <c r="A175" s="21" t="s">
        <v>1199</v>
      </c>
      <c r="B175" s="154" t="s">
        <v>1200</v>
      </c>
      <c r="C175" s="154" t="s">
        <v>59</v>
      </c>
      <c r="D175" s="155">
        <v>0</v>
      </c>
      <c r="E175" s="158">
        <v>0</v>
      </c>
      <c r="F175" s="155">
        <v>0</v>
      </c>
      <c r="G175" s="158">
        <v>0</v>
      </c>
      <c r="H175" s="155">
        <v>0</v>
      </c>
      <c r="I175" s="158">
        <v>0</v>
      </c>
      <c r="J175" s="155">
        <v>0</v>
      </c>
      <c r="K175" s="158">
        <v>0</v>
      </c>
      <c r="L175" s="155">
        <v>0</v>
      </c>
      <c r="M175" s="158">
        <v>0</v>
      </c>
      <c r="N175" s="155">
        <v>0</v>
      </c>
      <c r="O175" s="158">
        <v>0</v>
      </c>
      <c r="P175" s="155">
        <v>0</v>
      </c>
      <c r="Q175" s="158">
        <v>0</v>
      </c>
      <c r="R175" s="155">
        <v>0</v>
      </c>
      <c r="S175" s="158">
        <v>0</v>
      </c>
      <c r="T175" s="155">
        <v>0</v>
      </c>
      <c r="U175" s="157">
        <v>0</v>
      </c>
    </row>
    <row r="176" spans="1:21" x14ac:dyDescent="0.25">
      <c r="A176" s="149" t="s">
        <v>1402</v>
      </c>
      <c r="B176" s="150" t="s">
        <v>1403</v>
      </c>
      <c r="C176" s="150" t="s">
        <v>1404</v>
      </c>
      <c r="D176" s="151">
        <v>0</v>
      </c>
      <c r="E176" s="152">
        <v>0</v>
      </c>
      <c r="F176" s="151">
        <v>0</v>
      </c>
      <c r="G176" s="152">
        <v>0</v>
      </c>
      <c r="H176" s="151">
        <v>0</v>
      </c>
      <c r="I176" s="152">
        <v>0</v>
      </c>
      <c r="J176" s="151">
        <v>0</v>
      </c>
      <c r="K176" s="152">
        <v>0</v>
      </c>
      <c r="L176" s="151">
        <v>0</v>
      </c>
      <c r="M176" s="152">
        <v>0</v>
      </c>
      <c r="N176" s="151">
        <v>0</v>
      </c>
      <c r="O176" s="152">
        <v>0</v>
      </c>
      <c r="P176" s="151">
        <v>0</v>
      </c>
      <c r="Q176" s="152">
        <v>0</v>
      </c>
      <c r="R176" s="151">
        <v>0</v>
      </c>
      <c r="S176" s="152">
        <v>0</v>
      </c>
      <c r="T176" s="151">
        <v>0</v>
      </c>
      <c r="U176" s="153">
        <v>0</v>
      </c>
    </row>
    <row r="177" spans="1:21" x14ac:dyDescent="0.25">
      <c r="A177" s="21" t="s">
        <v>801</v>
      </c>
      <c r="B177" s="154" t="s">
        <v>1405</v>
      </c>
      <c r="C177" s="154" t="s">
        <v>1406</v>
      </c>
      <c r="D177" s="155">
        <v>0</v>
      </c>
      <c r="E177" s="158">
        <v>0</v>
      </c>
      <c r="F177" s="155">
        <v>0</v>
      </c>
      <c r="G177" s="158">
        <v>8</v>
      </c>
      <c r="H177" s="155">
        <v>0</v>
      </c>
      <c r="I177" s="158">
        <v>7.60504150390625</v>
      </c>
      <c r="J177" s="155">
        <v>0</v>
      </c>
      <c r="K177" s="158">
        <v>7.60504150390625</v>
      </c>
      <c r="L177" s="155">
        <v>0</v>
      </c>
      <c r="M177" s="158">
        <v>7.60504150390625</v>
      </c>
      <c r="N177" s="155">
        <v>0</v>
      </c>
      <c r="O177" s="158">
        <v>0</v>
      </c>
      <c r="P177" s="155">
        <v>0</v>
      </c>
      <c r="Q177" s="158">
        <v>0</v>
      </c>
      <c r="R177" s="155">
        <v>0</v>
      </c>
      <c r="S177" s="158">
        <v>0</v>
      </c>
      <c r="T177" s="155">
        <v>0</v>
      </c>
      <c r="U177" s="157">
        <v>0</v>
      </c>
    </row>
    <row r="178" spans="1:21" x14ac:dyDescent="0.25">
      <c r="A178" s="149" t="s">
        <v>1397</v>
      </c>
      <c r="B178" s="150" t="s">
        <v>1407</v>
      </c>
      <c r="C178" s="150" t="s">
        <v>1408</v>
      </c>
      <c r="D178" s="151">
        <v>1289</v>
      </c>
      <c r="E178" s="152">
        <v>0</v>
      </c>
      <c r="F178" s="151">
        <v>1289</v>
      </c>
      <c r="G178" s="152">
        <v>0</v>
      </c>
      <c r="H178" s="151">
        <v>8</v>
      </c>
      <c r="I178" s="152">
        <v>0</v>
      </c>
      <c r="J178" s="151">
        <v>0</v>
      </c>
      <c r="K178" s="152">
        <v>0</v>
      </c>
      <c r="L178" s="151">
        <v>0</v>
      </c>
      <c r="M178" s="152">
        <v>0</v>
      </c>
      <c r="N178" s="151">
        <v>0</v>
      </c>
      <c r="O178" s="152">
        <v>0</v>
      </c>
      <c r="P178" s="151">
        <v>0</v>
      </c>
      <c r="Q178" s="152">
        <v>0</v>
      </c>
      <c r="R178" s="151">
        <v>0</v>
      </c>
      <c r="S178" s="152">
        <v>0</v>
      </c>
      <c r="T178" s="151">
        <v>0</v>
      </c>
      <c r="U178" s="153">
        <v>0</v>
      </c>
    </row>
    <row r="179" spans="1:21" x14ac:dyDescent="0.25">
      <c r="D179" s="173">
        <f t="shared" ref="D179:U179" si="0">SUBTOTAL(9,D4:D178)</f>
        <v>356727.6</v>
      </c>
      <c r="E179" s="173">
        <f t="shared" si="0"/>
        <v>0</v>
      </c>
      <c r="F179" s="173">
        <f t="shared" si="0"/>
        <v>83740</v>
      </c>
      <c r="G179" s="173">
        <f t="shared" si="0"/>
        <v>22630</v>
      </c>
      <c r="H179" s="173">
        <f t="shared" si="0"/>
        <v>4505</v>
      </c>
      <c r="I179" s="173">
        <f t="shared" si="0"/>
        <v>4624.553650021553</v>
      </c>
      <c r="J179" s="173">
        <f t="shared" si="0"/>
        <v>0</v>
      </c>
      <c r="K179" s="173">
        <f t="shared" si="0"/>
        <v>4624.553650021553</v>
      </c>
      <c r="L179" s="173">
        <f t="shared" si="0"/>
        <v>9913.8983333110809</v>
      </c>
      <c r="M179" s="173">
        <f t="shared" si="0"/>
        <v>14538.451983332634</v>
      </c>
      <c r="N179" s="173">
        <f t="shared" si="0"/>
        <v>89792</v>
      </c>
      <c r="O179" s="173">
        <f t="shared" si="0"/>
        <v>81660</v>
      </c>
      <c r="P179" s="173">
        <f t="shared" si="0"/>
        <v>54136</v>
      </c>
      <c r="Q179" s="173">
        <f t="shared" si="0"/>
        <v>47400</v>
      </c>
      <c r="R179" s="173">
        <f t="shared" si="0"/>
        <v>0</v>
      </c>
      <c r="S179" s="173">
        <f t="shared" si="0"/>
        <v>0</v>
      </c>
      <c r="T179" s="173">
        <f t="shared" si="0"/>
        <v>0</v>
      </c>
      <c r="U179" s="173">
        <f t="shared" si="0"/>
        <v>0</v>
      </c>
    </row>
  </sheetData>
  <autoFilter ref="A3:U178"/>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00"/>
  <sheetViews>
    <sheetView showGridLines="0" workbookViewId="0">
      <pane ySplit="3" topLeftCell="A133" activePane="bottomLeft" state="frozen"/>
      <selection pane="bottomLeft" activeCell="I201" sqref="I201"/>
    </sheetView>
  </sheetViews>
  <sheetFormatPr defaultRowHeight="15" x14ac:dyDescent="0.25"/>
  <cols>
    <col min="1" max="1" width="11" bestFit="1" customWidth="1"/>
    <col min="2" max="2" width="47" customWidth="1"/>
    <col min="3" max="3" width="19.85546875" bestFit="1" customWidth="1"/>
    <col min="4" max="4" width="12.5703125" hidden="1" customWidth="1"/>
    <col min="5" max="5" width="11" hidden="1" customWidth="1"/>
    <col min="6" max="6" width="7.5703125" hidden="1" customWidth="1"/>
    <col min="7" max="7" width="12.85546875" hidden="1" customWidth="1"/>
    <col min="8" max="8" width="10.140625" hidden="1" customWidth="1"/>
    <col min="9" max="9" width="17" customWidth="1"/>
    <col min="10" max="10" width="12" customWidth="1"/>
    <col min="11" max="11" width="9.140625" customWidth="1"/>
    <col min="12" max="12" width="13.5703125" bestFit="1" customWidth="1"/>
    <col min="13" max="13" width="17"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527" t="s">
        <v>1409</v>
      </c>
      <c r="B2" s="527" t="s">
        <v>1410</v>
      </c>
      <c r="C2" s="527" t="s">
        <v>1411</v>
      </c>
      <c r="D2" s="529" t="s">
        <v>1412</v>
      </c>
      <c r="E2" s="180" t="s">
        <v>1413</v>
      </c>
      <c r="F2" s="160"/>
      <c r="G2" s="161"/>
      <c r="H2" s="160"/>
      <c r="I2" s="162" t="s">
        <v>1414</v>
      </c>
      <c r="J2" s="163">
        <v>43220</v>
      </c>
      <c r="K2" s="162"/>
      <c r="L2" s="162"/>
      <c r="M2" s="164"/>
      <c r="N2" s="165"/>
      <c r="O2" s="162"/>
      <c r="P2" s="162" t="s">
        <v>1415</v>
      </c>
      <c r="Q2" s="162"/>
      <c r="R2" s="162"/>
      <c r="S2" s="162"/>
      <c r="T2" s="162"/>
      <c r="U2" s="166"/>
    </row>
    <row r="3" spans="1:22"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2"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c r="V4" t="e">
        <f>VLOOKUP(A4,'Projetos ciclo 2018-2022'!$I$8:$I$128,1,FALSE)</f>
        <v>#N/A</v>
      </c>
    </row>
    <row r="5" spans="1:22"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c r="V5" t="e">
        <f>VLOOKUP(A5,'Projetos ciclo 2018-2022'!$I$8:$I$128,1,FALSE)</f>
        <v>#N/A</v>
      </c>
    </row>
    <row r="6" spans="1:22" x14ac:dyDescent="0.25">
      <c r="A6" s="149" t="s">
        <v>1444</v>
      </c>
      <c r="B6" s="150" t="s">
        <v>1445</v>
      </c>
      <c r="C6" s="150" t="s">
        <v>1446</v>
      </c>
      <c r="D6" s="151">
        <v>782</v>
      </c>
      <c r="E6" s="152">
        <v>0</v>
      </c>
      <c r="F6" s="151">
        <v>782</v>
      </c>
      <c r="G6" s="152">
        <v>0</v>
      </c>
      <c r="H6" s="151">
        <v>0</v>
      </c>
      <c r="I6" s="152">
        <v>0</v>
      </c>
      <c r="J6" s="151">
        <v>0</v>
      </c>
      <c r="K6" s="152">
        <v>0</v>
      </c>
      <c r="L6" s="151">
        <v>0</v>
      </c>
      <c r="M6" s="152">
        <v>0</v>
      </c>
      <c r="N6" s="151">
        <v>0</v>
      </c>
      <c r="O6" s="152">
        <v>0</v>
      </c>
      <c r="P6" s="151">
        <v>0</v>
      </c>
      <c r="Q6" s="152">
        <v>0</v>
      </c>
      <c r="R6" s="151">
        <v>0</v>
      </c>
      <c r="S6" s="152">
        <v>0</v>
      </c>
      <c r="T6" s="151">
        <v>0</v>
      </c>
      <c r="U6" s="153">
        <v>0</v>
      </c>
      <c r="V6" t="e">
        <f>VLOOKUP(A6,'Projetos ciclo 2018-2022'!$I$8:$I$128,1,FALSE)</f>
        <v>#N/A</v>
      </c>
    </row>
    <row r="7" spans="1:22" x14ac:dyDescent="0.25">
      <c r="A7" s="21" t="s">
        <v>565</v>
      </c>
      <c r="B7" s="154" t="s">
        <v>1198</v>
      </c>
      <c r="C7" s="154" t="s">
        <v>59</v>
      </c>
      <c r="D7" s="155">
        <v>1854</v>
      </c>
      <c r="E7" s="158">
        <v>0</v>
      </c>
      <c r="F7" s="155">
        <v>0</v>
      </c>
      <c r="G7" s="158">
        <v>0</v>
      </c>
      <c r="H7" s="155">
        <v>0</v>
      </c>
      <c r="I7" s="158">
        <v>0</v>
      </c>
      <c r="J7" s="155">
        <v>0</v>
      </c>
      <c r="K7" s="158">
        <v>0</v>
      </c>
      <c r="L7" s="155">
        <v>0</v>
      </c>
      <c r="M7" s="158">
        <v>0</v>
      </c>
      <c r="N7" s="155">
        <v>634</v>
      </c>
      <c r="O7" s="158">
        <v>435</v>
      </c>
      <c r="P7" s="155">
        <v>360</v>
      </c>
      <c r="Q7" s="158">
        <v>425</v>
      </c>
      <c r="R7" s="155">
        <v>0</v>
      </c>
      <c r="S7" s="158">
        <v>0</v>
      </c>
      <c r="T7" s="155">
        <v>0</v>
      </c>
      <c r="U7" s="157">
        <v>0</v>
      </c>
      <c r="V7" t="str">
        <f>VLOOKUP(A7,'Projetos ciclo 2018-2022'!$I$8:$I$128,1,FALSE)</f>
        <v>NA</v>
      </c>
    </row>
    <row r="8" spans="1:22" x14ac:dyDescent="0.25">
      <c r="A8" s="149" t="s">
        <v>1530</v>
      </c>
      <c r="B8" s="150" t="s">
        <v>1580</v>
      </c>
      <c r="C8" s="150" t="s">
        <v>1531</v>
      </c>
      <c r="D8" s="151">
        <v>0</v>
      </c>
      <c r="E8" s="152">
        <v>0</v>
      </c>
      <c r="F8" s="151">
        <v>0</v>
      </c>
      <c r="G8" s="152">
        <v>132</v>
      </c>
      <c r="H8" s="151">
        <v>0</v>
      </c>
      <c r="I8" s="152">
        <v>0</v>
      </c>
      <c r="J8" s="151">
        <v>0</v>
      </c>
      <c r="K8" s="152">
        <v>0</v>
      </c>
      <c r="L8" s="151">
        <v>131.25634658336639</v>
      </c>
      <c r="M8" s="152">
        <v>131.25634658336639</v>
      </c>
      <c r="N8" s="151">
        <v>0</v>
      </c>
      <c r="O8" s="152">
        <v>0</v>
      </c>
      <c r="P8" s="151">
        <v>0</v>
      </c>
      <c r="Q8" s="152">
        <v>0</v>
      </c>
      <c r="R8" s="151">
        <v>0</v>
      </c>
      <c r="S8" s="152">
        <v>0</v>
      </c>
      <c r="T8" s="151">
        <v>0</v>
      </c>
      <c r="U8" s="153">
        <v>0</v>
      </c>
      <c r="V8" t="str">
        <f>VLOOKUP(A8,'Projetos ciclo 2018-2022'!$I$8:$I$128,1,FALSE)</f>
        <v>SC00318</v>
      </c>
    </row>
    <row r="9" spans="1:22" x14ac:dyDescent="0.25">
      <c r="A9" s="21" t="s">
        <v>1199</v>
      </c>
      <c r="B9" s="154" t="s">
        <v>1200</v>
      </c>
      <c r="C9" s="154" t="s">
        <v>59</v>
      </c>
      <c r="D9" s="155">
        <v>0</v>
      </c>
      <c r="E9" s="158">
        <v>0</v>
      </c>
      <c r="F9" s="155">
        <v>0</v>
      </c>
      <c r="G9" s="158">
        <v>0</v>
      </c>
      <c r="H9" s="155">
        <v>0</v>
      </c>
      <c r="I9" s="158">
        <v>0</v>
      </c>
      <c r="J9" s="155">
        <v>0</v>
      </c>
      <c r="K9" s="158">
        <v>0</v>
      </c>
      <c r="L9" s="155">
        <v>0</v>
      </c>
      <c r="M9" s="158">
        <v>0</v>
      </c>
      <c r="N9" s="155">
        <v>0</v>
      </c>
      <c r="O9" s="158">
        <v>0</v>
      </c>
      <c r="P9" s="155">
        <v>0</v>
      </c>
      <c r="Q9" s="158">
        <v>0</v>
      </c>
      <c r="R9" s="155">
        <v>0</v>
      </c>
      <c r="S9" s="158">
        <v>0</v>
      </c>
      <c r="T9" s="155">
        <v>0</v>
      </c>
      <c r="U9" s="157">
        <v>0</v>
      </c>
      <c r="V9" t="e">
        <f>VLOOKUP(A9,'Projetos ciclo 2018-2022'!$I$8:$I$128,1,FALSE)</f>
        <v>#N/A</v>
      </c>
    </row>
    <row r="10" spans="1:22" x14ac:dyDescent="0.25">
      <c r="A10" s="149" t="s">
        <v>1194</v>
      </c>
      <c r="B10" s="150" t="s">
        <v>1581</v>
      </c>
      <c r="C10" s="150" t="s">
        <v>59</v>
      </c>
      <c r="D10" s="151">
        <v>1408.5332552744051</v>
      </c>
      <c r="E10" s="152">
        <v>1408.5332552744051</v>
      </c>
      <c r="F10" s="151">
        <v>0</v>
      </c>
      <c r="G10" s="152">
        <v>0</v>
      </c>
      <c r="H10" s="151">
        <v>0</v>
      </c>
      <c r="I10" s="152">
        <v>0</v>
      </c>
      <c r="J10" s="151">
        <v>0</v>
      </c>
      <c r="K10" s="152">
        <v>0</v>
      </c>
      <c r="L10" s="151">
        <v>0</v>
      </c>
      <c r="M10" s="152">
        <v>0</v>
      </c>
      <c r="N10" s="151">
        <v>0</v>
      </c>
      <c r="O10" s="152">
        <v>0</v>
      </c>
      <c r="P10" s="151">
        <v>0</v>
      </c>
      <c r="Q10" s="152">
        <v>0</v>
      </c>
      <c r="R10" s="151">
        <v>0</v>
      </c>
      <c r="S10" s="152">
        <v>0</v>
      </c>
      <c r="T10" s="151">
        <v>0</v>
      </c>
      <c r="U10" s="153">
        <v>0</v>
      </c>
      <c r="V10" t="e">
        <f>VLOOKUP(A10,'Projetos ciclo 2018-2022'!$I$8:$I$128,1,FALSE)</f>
        <v>#N/A</v>
      </c>
    </row>
    <row r="11" spans="1:22" x14ac:dyDescent="0.25">
      <c r="A11" s="21" t="s">
        <v>1196</v>
      </c>
      <c r="B11" s="154" t="s">
        <v>1197</v>
      </c>
      <c r="C11" s="154" t="s">
        <v>59</v>
      </c>
      <c r="D11" s="155">
        <v>0</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c r="V11" t="e">
        <f>VLOOKUP(A11,'Projetos ciclo 2018-2022'!$I$8:$I$128,1,FALSE)</f>
        <v>#N/A</v>
      </c>
    </row>
    <row r="12" spans="1:22" hidden="1" x14ac:dyDescent="0.25">
      <c r="A12" s="149" t="s">
        <v>1582</v>
      </c>
      <c r="B12" s="150" t="s">
        <v>1583</v>
      </c>
      <c r="C12" s="150" t="s">
        <v>1584</v>
      </c>
      <c r="D12" s="151">
        <v>21530.140476887114</v>
      </c>
      <c r="E12" s="152">
        <v>12089.140476887114</v>
      </c>
      <c r="F12" s="151">
        <v>2028</v>
      </c>
      <c r="G12" s="152">
        <v>2028</v>
      </c>
      <c r="H12" s="151">
        <v>633</v>
      </c>
      <c r="I12" s="152">
        <v>655.06703650951385</v>
      </c>
      <c r="J12" s="151">
        <v>0</v>
      </c>
      <c r="K12" s="152">
        <v>655.06703650951385</v>
      </c>
      <c r="L12" s="151">
        <v>1056.2577248653397</v>
      </c>
      <c r="M12" s="152">
        <v>1711.3247613748536</v>
      </c>
      <c r="N12" s="151">
        <v>1927</v>
      </c>
      <c r="O12" s="152">
        <v>1882</v>
      </c>
      <c r="P12" s="151">
        <v>1812</v>
      </c>
      <c r="Q12" s="152">
        <v>1792</v>
      </c>
      <c r="R12" s="151">
        <v>0</v>
      </c>
      <c r="S12" s="152">
        <v>0</v>
      </c>
      <c r="T12" s="151">
        <v>0</v>
      </c>
      <c r="U12" s="153">
        <v>0</v>
      </c>
      <c r="V12" t="e">
        <f>VLOOKUP(A12,'Projetos ciclo 2018-2022'!$I$8:$I$128,1,FALSE)</f>
        <v>#N/A</v>
      </c>
    </row>
    <row r="13" spans="1:22" x14ac:dyDescent="0.25">
      <c r="A13" s="21" t="s">
        <v>565</v>
      </c>
      <c r="B13" s="154" t="s">
        <v>1198</v>
      </c>
      <c r="C13" s="154" t="s">
        <v>59</v>
      </c>
      <c r="D13" s="155">
        <v>0</v>
      </c>
      <c r="E13" s="158">
        <v>0</v>
      </c>
      <c r="F13" s="155">
        <v>0</v>
      </c>
      <c r="G13" s="158">
        <v>0</v>
      </c>
      <c r="H13" s="155">
        <v>0</v>
      </c>
      <c r="I13" s="158">
        <v>0</v>
      </c>
      <c r="J13" s="155">
        <v>0</v>
      </c>
      <c r="K13" s="158">
        <v>0</v>
      </c>
      <c r="L13" s="155">
        <v>0</v>
      </c>
      <c r="M13" s="158">
        <v>0</v>
      </c>
      <c r="N13" s="155">
        <v>0</v>
      </c>
      <c r="O13" s="158">
        <v>0</v>
      </c>
      <c r="P13" s="155">
        <v>0</v>
      </c>
      <c r="Q13" s="158">
        <v>0</v>
      </c>
      <c r="R13" s="155">
        <v>0</v>
      </c>
      <c r="S13" s="158">
        <v>0</v>
      </c>
      <c r="T13" s="155">
        <v>0</v>
      </c>
      <c r="U13" s="157">
        <v>0</v>
      </c>
      <c r="V13" t="str">
        <f>VLOOKUP(A13,'Projetos ciclo 2018-2022'!$I$8:$I$128,1,FALSE)</f>
        <v>NA</v>
      </c>
    </row>
    <row r="14" spans="1:22" x14ac:dyDescent="0.25">
      <c r="A14" s="149" t="s">
        <v>1199</v>
      </c>
      <c r="B14" s="150" t="s">
        <v>1200</v>
      </c>
      <c r="C14" s="150" t="s">
        <v>59</v>
      </c>
      <c r="D14" s="151">
        <v>248.326267838478</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c r="V14" t="e">
        <f>VLOOKUP(A14,'Projetos ciclo 2018-2022'!$I$8:$I$128,1,FALSE)</f>
        <v>#N/A</v>
      </c>
    </row>
    <row r="15" spans="1:22" x14ac:dyDescent="0.25">
      <c r="A15" s="21" t="s">
        <v>1194</v>
      </c>
      <c r="B15" s="154" t="s">
        <v>1201</v>
      </c>
      <c r="C15" s="154" t="s">
        <v>59</v>
      </c>
      <c r="D15" s="155">
        <v>0</v>
      </c>
      <c r="E15" s="158">
        <v>0</v>
      </c>
      <c r="F15" s="155">
        <v>0</v>
      </c>
      <c r="G15" s="158">
        <v>0</v>
      </c>
      <c r="H15" s="155">
        <v>0</v>
      </c>
      <c r="I15" s="158">
        <v>0</v>
      </c>
      <c r="J15" s="155">
        <v>0</v>
      </c>
      <c r="K15" s="158">
        <v>0</v>
      </c>
      <c r="L15" s="155">
        <v>0</v>
      </c>
      <c r="M15" s="158">
        <v>0</v>
      </c>
      <c r="N15" s="155">
        <v>0</v>
      </c>
      <c r="O15" s="158">
        <v>0</v>
      </c>
      <c r="P15" s="155">
        <v>0</v>
      </c>
      <c r="Q15" s="158">
        <v>0</v>
      </c>
      <c r="R15" s="155">
        <v>0</v>
      </c>
      <c r="S15" s="158">
        <v>0</v>
      </c>
      <c r="T15" s="155">
        <v>0</v>
      </c>
      <c r="U15" s="157">
        <v>0</v>
      </c>
      <c r="V15" t="e">
        <f>VLOOKUP(A15,'Projetos ciclo 2018-2022'!$I$8:$I$128,1,FALSE)</f>
        <v>#N/A</v>
      </c>
    </row>
    <row r="16" spans="1:22" x14ac:dyDescent="0.25">
      <c r="A16" s="149" t="s">
        <v>1196</v>
      </c>
      <c r="B16" s="150" t="s">
        <v>1197</v>
      </c>
      <c r="C16" s="150" t="s">
        <v>59</v>
      </c>
      <c r="D16" s="151">
        <v>0</v>
      </c>
      <c r="E16" s="152">
        <v>0</v>
      </c>
      <c r="F16" s="151">
        <v>0</v>
      </c>
      <c r="G16" s="152">
        <v>0</v>
      </c>
      <c r="H16" s="151">
        <v>0</v>
      </c>
      <c r="I16" s="152">
        <v>0</v>
      </c>
      <c r="J16" s="151">
        <v>0</v>
      </c>
      <c r="K16" s="152">
        <v>0</v>
      </c>
      <c r="L16" s="151">
        <v>0</v>
      </c>
      <c r="M16" s="152">
        <v>0</v>
      </c>
      <c r="N16" s="151">
        <v>0</v>
      </c>
      <c r="O16" s="152">
        <v>0</v>
      </c>
      <c r="P16" s="151">
        <v>0</v>
      </c>
      <c r="Q16" s="152">
        <v>0</v>
      </c>
      <c r="R16" s="151">
        <v>0</v>
      </c>
      <c r="S16" s="152">
        <v>0</v>
      </c>
      <c r="T16" s="151">
        <v>0</v>
      </c>
      <c r="U16" s="153">
        <v>0</v>
      </c>
      <c r="V16" t="e">
        <f>VLOOKUP(A16,'Projetos ciclo 2018-2022'!$I$8:$I$128,1,FALSE)</f>
        <v>#N/A</v>
      </c>
    </row>
    <row r="17" spans="1:22" x14ac:dyDescent="0.25">
      <c r="A17" s="21" t="s">
        <v>565</v>
      </c>
      <c r="B17" s="154" t="s">
        <v>1198</v>
      </c>
      <c r="C17" s="154" t="s">
        <v>59</v>
      </c>
      <c r="D17" s="155">
        <v>139</v>
      </c>
      <c r="E17" s="158">
        <v>0</v>
      </c>
      <c r="F17" s="155">
        <v>0</v>
      </c>
      <c r="G17" s="158">
        <v>0</v>
      </c>
      <c r="H17" s="155">
        <v>0</v>
      </c>
      <c r="I17" s="158">
        <v>0</v>
      </c>
      <c r="J17" s="155">
        <v>0</v>
      </c>
      <c r="K17" s="158">
        <v>0</v>
      </c>
      <c r="L17" s="155">
        <v>0</v>
      </c>
      <c r="M17" s="158">
        <v>0</v>
      </c>
      <c r="N17" s="155">
        <v>16</v>
      </c>
      <c r="O17" s="158">
        <v>30</v>
      </c>
      <c r="P17" s="155">
        <v>50</v>
      </c>
      <c r="Q17" s="158">
        <v>43</v>
      </c>
      <c r="R17" s="155">
        <v>0</v>
      </c>
      <c r="S17" s="158">
        <v>0</v>
      </c>
      <c r="T17" s="155">
        <v>0</v>
      </c>
      <c r="U17" s="157">
        <v>0</v>
      </c>
      <c r="V17" t="str">
        <f>VLOOKUP(A17,'Projetos ciclo 2018-2022'!$I$8:$I$128,1,FALSE)</f>
        <v>NA</v>
      </c>
    </row>
    <row r="18" spans="1:22" x14ac:dyDescent="0.25">
      <c r="A18" s="149" t="s">
        <v>1199</v>
      </c>
      <c r="B18" s="150" t="s">
        <v>1200</v>
      </c>
      <c r="C18" s="150" t="s">
        <v>59</v>
      </c>
      <c r="D18" s="151">
        <v>0</v>
      </c>
      <c r="E18" s="152">
        <v>0</v>
      </c>
      <c r="F18" s="151">
        <v>0</v>
      </c>
      <c r="G18" s="152">
        <v>0</v>
      </c>
      <c r="H18" s="151">
        <v>0</v>
      </c>
      <c r="I18" s="152">
        <v>0</v>
      </c>
      <c r="J18" s="151">
        <v>0</v>
      </c>
      <c r="K18" s="152">
        <v>0</v>
      </c>
      <c r="L18" s="151">
        <v>0</v>
      </c>
      <c r="M18" s="152">
        <v>0</v>
      </c>
      <c r="N18" s="151">
        <v>0</v>
      </c>
      <c r="O18" s="152">
        <v>0</v>
      </c>
      <c r="P18" s="151">
        <v>0</v>
      </c>
      <c r="Q18" s="152">
        <v>0</v>
      </c>
      <c r="R18" s="151">
        <v>0</v>
      </c>
      <c r="S18" s="152">
        <v>0</v>
      </c>
      <c r="T18" s="151">
        <v>0</v>
      </c>
      <c r="U18" s="153">
        <v>0</v>
      </c>
      <c r="V18" t="e">
        <f>VLOOKUP(A18,'Projetos ciclo 2018-2022'!$I$8:$I$128,1,FALSE)</f>
        <v>#N/A</v>
      </c>
    </row>
    <row r="19" spans="1:22" x14ac:dyDescent="0.25">
      <c r="A19" s="21" t="s">
        <v>1202</v>
      </c>
      <c r="B19" s="154" t="s">
        <v>1203</v>
      </c>
      <c r="C19" s="154" t="s">
        <v>1204</v>
      </c>
      <c r="D19" s="155">
        <v>29</v>
      </c>
      <c r="E19" s="158">
        <v>0</v>
      </c>
      <c r="F19" s="155">
        <v>29</v>
      </c>
      <c r="G19" s="158">
        <v>0</v>
      </c>
      <c r="H19" s="155">
        <v>0</v>
      </c>
      <c r="I19" s="158">
        <v>0</v>
      </c>
      <c r="J19" s="155">
        <v>0</v>
      </c>
      <c r="K19" s="158">
        <v>0</v>
      </c>
      <c r="L19" s="155">
        <v>0</v>
      </c>
      <c r="M19" s="158">
        <v>0</v>
      </c>
      <c r="N19" s="155">
        <v>0</v>
      </c>
      <c r="O19" s="158">
        <v>0</v>
      </c>
      <c r="P19" s="155">
        <v>0</v>
      </c>
      <c r="Q19" s="158">
        <v>0</v>
      </c>
      <c r="R19" s="155">
        <v>0</v>
      </c>
      <c r="S19" s="158">
        <v>0</v>
      </c>
      <c r="T19" s="155">
        <v>0</v>
      </c>
      <c r="U19" s="157">
        <v>0</v>
      </c>
      <c r="V19" t="e">
        <f>VLOOKUP(A19,'Projetos ciclo 2018-2022'!$I$8:$I$128,1,FALSE)</f>
        <v>#N/A</v>
      </c>
    </row>
    <row r="20" spans="1:22" x14ac:dyDescent="0.25">
      <c r="A20" s="149" t="s">
        <v>1194</v>
      </c>
      <c r="B20" s="150" t="s">
        <v>1205</v>
      </c>
      <c r="C20" s="150" t="s">
        <v>59</v>
      </c>
      <c r="D20" s="151">
        <v>0</v>
      </c>
      <c r="E20" s="152">
        <v>0</v>
      </c>
      <c r="F20" s="151">
        <v>0</v>
      </c>
      <c r="G20" s="152">
        <v>0</v>
      </c>
      <c r="H20" s="151">
        <v>0</v>
      </c>
      <c r="I20" s="152">
        <v>0</v>
      </c>
      <c r="J20" s="151">
        <v>0</v>
      </c>
      <c r="K20" s="152">
        <v>0</v>
      </c>
      <c r="L20" s="151">
        <v>0</v>
      </c>
      <c r="M20" s="152">
        <v>0</v>
      </c>
      <c r="N20" s="151">
        <v>0</v>
      </c>
      <c r="O20" s="152">
        <v>0</v>
      </c>
      <c r="P20" s="151">
        <v>0</v>
      </c>
      <c r="Q20" s="152">
        <v>0</v>
      </c>
      <c r="R20" s="151">
        <v>0</v>
      </c>
      <c r="S20" s="152">
        <v>0</v>
      </c>
      <c r="T20" s="151">
        <v>0</v>
      </c>
      <c r="U20" s="153">
        <v>0</v>
      </c>
      <c r="V20" t="e">
        <f>VLOOKUP(A20,'Projetos ciclo 2018-2022'!$I$8:$I$128,1,FALSE)</f>
        <v>#N/A</v>
      </c>
    </row>
    <row r="21" spans="1:22" x14ac:dyDescent="0.25">
      <c r="A21" s="21" t="s">
        <v>1196</v>
      </c>
      <c r="B21" s="154" t="s">
        <v>1197</v>
      </c>
      <c r="C21" s="154" t="s">
        <v>59</v>
      </c>
      <c r="D21" s="155">
        <v>0</v>
      </c>
      <c r="E21" s="158">
        <v>0</v>
      </c>
      <c r="F21" s="155">
        <v>0</v>
      </c>
      <c r="G21" s="158">
        <v>0</v>
      </c>
      <c r="H21" s="155">
        <v>0</v>
      </c>
      <c r="I21" s="158">
        <v>0</v>
      </c>
      <c r="J21" s="155">
        <v>0</v>
      </c>
      <c r="K21" s="158">
        <v>0</v>
      </c>
      <c r="L21" s="155">
        <v>0</v>
      </c>
      <c r="M21" s="158">
        <v>0</v>
      </c>
      <c r="N21" s="155">
        <v>0</v>
      </c>
      <c r="O21" s="158">
        <v>0</v>
      </c>
      <c r="P21" s="155">
        <v>0</v>
      </c>
      <c r="Q21" s="158">
        <v>0</v>
      </c>
      <c r="R21" s="155">
        <v>0</v>
      </c>
      <c r="S21" s="158">
        <v>0</v>
      </c>
      <c r="T21" s="155">
        <v>0</v>
      </c>
      <c r="U21" s="157">
        <v>0</v>
      </c>
      <c r="V21" t="e">
        <f>VLOOKUP(A21,'Projetos ciclo 2018-2022'!$I$8:$I$128,1,FALSE)</f>
        <v>#N/A</v>
      </c>
    </row>
    <row r="22" spans="1:22" x14ac:dyDescent="0.25">
      <c r="A22" s="149" t="s">
        <v>565</v>
      </c>
      <c r="B22" s="150" t="s">
        <v>1198</v>
      </c>
      <c r="C22" s="150" t="s">
        <v>59</v>
      </c>
      <c r="D22" s="151">
        <v>896</v>
      </c>
      <c r="E22" s="152">
        <v>0</v>
      </c>
      <c r="F22" s="151">
        <v>0</v>
      </c>
      <c r="G22" s="152">
        <v>0</v>
      </c>
      <c r="H22" s="151">
        <v>0</v>
      </c>
      <c r="I22" s="152">
        <v>0</v>
      </c>
      <c r="J22" s="151">
        <v>0</v>
      </c>
      <c r="K22" s="152">
        <v>0</v>
      </c>
      <c r="L22" s="151">
        <v>0</v>
      </c>
      <c r="M22" s="152">
        <v>0</v>
      </c>
      <c r="N22" s="151">
        <v>351.5</v>
      </c>
      <c r="O22" s="152">
        <v>214.5</v>
      </c>
      <c r="P22" s="151">
        <v>51.5</v>
      </c>
      <c r="Q22" s="152">
        <v>278.5</v>
      </c>
      <c r="R22" s="151">
        <v>0</v>
      </c>
      <c r="S22" s="152">
        <v>0</v>
      </c>
      <c r="T22" s="151">
        <v>0</v>
      </c>
      <c r="U22" s="153">
        <v>0</v>
      </c>
      <c r="V22" t="str">
        <f>VLOOKUP(A22,'Projetos ciclo 2018-2022'!$I$8:$I$128,1,FALSE)</f>
        <v>NA</v>
      </c>
    </row>
    <row r="23" spans="1:22" x14ac:dyDescent="0.25">
      <c r="A23" s="21" t="s">
        <v>1199</v>
      </c>
      <c r="B23" s="154" t="s">
        <v>1200</v>
      </c>
      <c r="C23" s="154" t="s">
        <v>59</v>
      </c>
      <c r="D23" s="155">
        <v>0</v>
      </c>
      <c r="E23" s="158">
        <v>0</v>
      </c>
      <c r="F23" s="155">
        <v>0</v>
      </c>
      <c r="G23" s="158">
        <v>0</v>
      </c>
      <c r="H23" s="155">
        <v>0</v>
      </c>
      <c r="I23" s="158">
        <v>0</v>
      </c>
      <c r="J23" s="155">
        <v>0</v>
      </c>
      <c r="K23" s="158">
        <v>0</v>
      </c>
      <c r="L23" s="155">
        <v>0</v>
      </c>
      <c r="M23" s="158">
        <v>0</v>
      </c>
      <c r="N23" s="155">
        <v>0</v>
      </c>
      <c r="O23" s="158">
        <v>0</v>
      </c>
      <c r="P23" s="155">
        <v>0</v>
      </c>
      <c r="Q23" s="158">
        <v>0</v>
      </c>
      <c r="R23" s="155">
        <v>0</v>
      </c>
      <c r="S23" s="158">
        <v>0</v>
      </c>
      <c r="T23" s="155">
        <v>0</v>
      </c>
      <c r="U23" s="157">
        <v>0</v>
      </c>
      <c r="V23" t="e">
        <f>VLOOKUP(A23,'Projetos ciclo 2018-2022'!$I$8:$I$128,1,FALSE)</f>
        <v>#N/A</v>
      </c>
    </row>
    <row r="24" spans="1:22" x14ac:dyDescent="0.25">
      <c r="A24" s="149" t="s">
        <v>1468</v>
      </c>
      <c r="B24" s="150" t="s">
        <v>1469</v>
      </c>
      <c r="C24" s="150" t="s">
        <v>1470</v>
      </c>
      <c r="D24" s="151">
        <v>0</v>
      </c>
      <c r="E24" s="152">
        <v>0</v>
      </c>
      <c r="F24" s="151">
        <v>0</v>
      </c>
      <c r="G24" s="152">
        <v>59</v>
      </c>
      <c r="H24" s="151">
        <v>0</v>
      </c>
      <c r="I24" s="152">
        <v>0</v>
      </c>
      <c r="J24" s="151">
        <v>0</v>
      </c>
      <c r="K24" s="152">
        <v>0</v>
      </c>
      <c r="L24" s="151">
        <v>0</v>
      </c>
      <c r="M24" s="152">
        <v>0</v>
      </c>
      <c r="N24" s="151">
        <v>0</v>
      </c>
      <c r="O24" s="152">
        <v>0</v>
      </c>
      <c r="P24" s="151">
        <v>0</v>
      </c>
      <c r="Q24" s="152">
        <v>0</v>
      </c>
      <c r="R24" s="151">
        <v>0</v>
      </c>
      <c r="S24" s="152">
        <v>0</v>
      </c>
      <c r="T24" s="151">
        <v>0</v>
      </c>
      <c r="U24" s="153">
        <v>0</v>
      </c>
      <c r="V24" t="str">
        <f>VLOOKUP(A24,'Projetos ciclo 2018-2022'!$I$8:$I$128,1,FALSE)</f>
        <v>TI03218</v>
      </c>
    </row>
    <row r="25" spans="1:22" x14ac:dyDescent="0.25">
      <c r="A25" s="21" t="s">
        <v>1206</v>
      </c>
      <c r="B25" s="154" t="s">
        <v>1207</v>
      </c>
      <c r="C25" s="154" t="s">
        <v>1208</v>
      </c>
      <c r="D25" s="155">
        <v>59</v>
      </c>
      <c r="E25" s="158">
        <v>0</v>
      </c>
      <c r="F25" s="155">
        <v>59</v>
      </c>
      <c r="G25" s="158">
        <v>0</v>
      </c>
      <c r="H25" s="155">
        <v>0</v>
      </c>
      <c r="I25" s="158">
        <v>0</v>
      </c>
      <c r="J25" s="155">
        <v>0</v>
      </c>
      <c r="K25" s="158">
        <v>0</v>
      </c>
      <c r="L25" s="155">
        <v>0</v>
      </c>
      <c r="M25" s="158">
        <v>0</v>
      </c>
      <c r="N25" s="155">
        <v>0</v>
      </c>
      <c r="O25" s="158">
        <v>0</v>
      </c>
      <c r="P25" s="155">
        <v>0</v>
      </c>
      <c r="Q25" s="158">
        <v>0</v>
      </c>
      <c r="R25" s="155">
        <v>0</v>
      </c>
      <c r="S25" s="158">
        <v>0</v>
      </c>
      <c r="T25" s="155">
        <v>0</v>
      </c>
      <c r="U25" s="157">
        <v>0</v>
      </c>
      <c r="V25" t="e">
        <f>VLOOKUP(A25,'Projetos ciclo 2018-2022'!$I$8:$I$128,1,FALSE)</f>
        <v>#N/A</v>
      </c>
    </row>
    <row r="26" spans="1:22" x14ac:dyDescent="0.25">
      <c r="A26" s="149" t="s">
        <v>1194</v>
      </c>
      <c r="B26" s="150" t="s">
        <v>1209</v>
      </c>
      <c r="C26" s="150" t="s">
        <v>59</v>
      </c>
      <c r="D26" s="151">
        <v>0</v>
      </c>
      <c r="E26" s="152">
        <v>0</v>
      </c>
      <c r="F26" s="151">
        <v>0</v>
      </c>
      <c r="G26" s="152">
        <v>0</v>
      </c>
      <c r="H26" s="151">
        <v>0</v>
      </c>
      <c r="I26" s="152">
        <v>0</v>
      </c>
      <c r="J26" s="151">
        <v>0</v>
      </c>
      <c r="K26" s="152">
        <v>0</v>
      </c>
      <c r="L26" s="151">
        <v>0</v>
      </c>
      <c r="M26" s="152">
        <v>0</v>
      </c>
      <c r="N26" s="151">
        <v>0</v>
      </c>
      <c r="O26" s="152">
        <v>0</v>
      </c>
      <c r="P26" s="151">
        <v>0</v>
      </c>
      <c r="Q26" s="152">
        <v>0</v>
      </c>
      <c r="R26" s="151">
        <v>0</v>
      </c>
      <c r="S26" s="152">
        <v>0</v>
      </c>
      <c r="T26" s="151">
        <v>0</v>
      </c>
      <c r="U26" s="153">
        <v>0</v>
      </c>
      <c r="V26" t="e">
        <f>VLOOKUP(A26,'Projetos ciclo 2018-2022'!$I$8:$I$128,1,FALSE)</f>
        <v>#N/A</v>
      </c>
    </row>
    <row r="27" spans="1:22" x14ac:dyDescent="0.25">
      <c r="A27" s="21" t="s">
        <v>1196</v>
      </c>
      <c r="B27" s="154" t="s">
        <v>1197</v>
      </c>
      <c r="C27" s="154" t="s">
        <v>59</v>
      </c>
      <c r="D27" s="155">
        <v>0</v>
      </c>
      <c r="E27" s="158">
        <v>0</v>
      </c>
      <c r="F27" s="155">
        <v>0</v>
      </c>
      <c r="G27" s="158">
        <v>0</v>
      </c>
      <c r="H27" s="155">
        <v>0</v>
      </c>
      <c r="I27" s="158">
        <v>0</v>
      </c>
      <c r="J27" s="155">
        <v>0</v>
      </c>
      <c r="K27" s="158">
        <v>0</v>
      </c>
      <c r="L27" s="155">
        <v>0</v>
      </c>
      <c r="M27" s="158">
        <v>0</v>
      </c>
      <c r="N27" s="155">
        <v>0</v>
      </c>
      <c r="O27" s="158">
        <v>0</v>
      </c>
      <c r="P27" s="155">
        <v>0</v>
      </c>
      <c r="Q27" s="158">
        <v>0</v>
      </c>
      <c r="R27" s="155">
        <v>0</v>
      </c>
      <c r="S27" s="158">
        <v>0</v>
      </c>
      <c r="T27" s="155">
        <v>0</v>
      </c>
      <c r="U27" s="157">
        <v>0</v>
      </c>
      <c r="V27" t="e">
        <f>VLOOKUP(A27,'Projetos ciclo 2018-2022'!$I$8:$I$128,1,FALSE)</f>
        <v>#N/A</v>
      </c>
    </row>
    <row r="28" spans="1:22" x14ac:dyDescent="0.25">
      <c r="A28" s="149" t="s">
        <v>565</v>
      </c>
      <c r="B28" s="150" t="s">
        <v>1198</v>
      </c>
      <c r="C28" s="150" t="s">
        <v>59</v>
      </c>
      <c r="D28" s="151">
        <v>4234</v>
      </c>
      <c r="E28" s="152">
        <v>0</v>
      </c>
      <c r="F28" s="151">
        <v>0</v>
      </c>
      <c r="G28" s="152">
        <v>0</v>
      </c>
      <c r="H28" s="151">
        <v>0</v>
      </c>
      <c r="I28" s="152">
        <v>0</v>
      </c>
      <c r="J28" s="151">
        <v>0</v>
      </c>
      <c r="K28" s="152">
        <v>0</v>
      </c>
      <c r="L28" s="151">
        <v>0</v>
      </c>
      <c r="M28" s="152">
        <v>0</v>
      </c>
      <c r="N28" s="151">
        <v>1138</v>
      </c>
      <c r="O28" s="152">
        <v>1210</v>
      </c>
      <c r="P28" s="151">
        <v>1123</v>
      </c>
      <c r="Q28" s="152">
        <v>763</v>
      </c>
      <c r="R28" s="151">
        <v>0</v>
      </c>
      <c r="S28" s="152">
        <v>0</v>
      </c>
      <c r="T28" s="151">
        <v>0</v>
      </c>
      <c r="U28" s="153">
        <v>0</v>
      </c>
      <c r="V28" t="str">
        <f>VLOOKUP(A28,'Projetos ciclo 2018-2022'!$I$8:$I$128,1,FALSE)</f>
        <v>NA</v>
      </c>
    </row>
    <row r="29" spans="1:22" x14ac:dyDescent="0.25">
      <c r="A29" s="21" t="s">
        <v>1199</v>
      </c>
      <c r="B29" s="154" t="s">
        <v>1200</v>
      </c>
      <c r="C29" s="154" t="s">
        <v>59</v>
      </c>
      <c r="D29" s="155">
        <v>0</v>
      </c>
      <c r="E29" s="158">
        <v>0</v>
      </c>
      <c r="F29" s="155">
        <v>0</v>
      </c>
      <c r="G29" s="158">
        <v>0</v>
      </c>
      <c r="H29" s="155">
        <v>0</v>
      </c>
      <c r="I29" s="158">
        <v>0</v>
      </c>
      <c r="J29" s="155">
        <v>0</v>
      </c>
      <c r="K29" s="158">
        <v>0</v>
      </c>
      <c r="L29" s="155">
        <v>0</v>
      </c>
      <c r="M29" s="158">
        <v>0</v>
      </c>
      <c r="N29" s="155">
        <v>0</v>
      </c>
      <c r="O29" s="158">
        <v>0</v>
      </c>
      <c r="P29" s="155">
        <v>0</v>
      </c>
      <c r="Q29" s="158">
        <v>0</v>
      </c>
      <c r="R29" s="155">
        <v>0</v>
      </c>
      <c r="S29" s="158">
        <v>0</v>
      </c>
      <c r="T29" s="155">
        <v>0</v>
      </c>
      <c r="U29" s="157">
        <v>0</v>
      </c>
      <c r="V29" t="e">
        <f>VLOOKUP(A29,'Projetos ciclo 2018-2022'!$I$8:$I$128,1,FALSE)</f>
        <v>#N/A</v>
      </c>
    </row>
    <row r="30" spans="1:22" x14ac:dyDescent="0.25">
      <c r="A30" s="149" t="s">
        <v>1117</v>
      </c>
      <c r="B30" s="150" t="s">
        <v>1210</v>
      </c>
      <c r="C30" s="150" t="s">
        <v>1211</v>
      </c>
      <c r="D30" s="151">
        <v>0</v>
      </c>
      <c r="E30" s="152">
        <v>0</v>
      </c>
      <c r="F30" s="151">
        <v>0</v>
      </c>
      <c r="G30" s="152">
        <v>119</v>
      </c>
      <c r="H30" s="151">
        <v>0</v>
      </c>
      <c r="I30" s="152">
        <v>119.11103057861328</v>
      </c>
      <c r="J30" s="151">
        <v>0</v>
      </c>
      <c r="K30" s="152">
        <v>119.11103057861328</v>
      </c>
      <c r="L30" s="151">
        <v>0</v>
      </c>
      <c r="M30" s="152">
        <v>119.11103057861328</v>
      </c>
      <c r="N30" s="151">
        <v>0</v>
      </c>
      <c r="O30" s="152">
        <v>0</v>
      </c>
      <c r="P30" s="151">
        <v>0</v>
      </c>
      <c r="Q30" s="152">
        <v>0</v>
      </c>
      <c r="R30" s="151">
        <v>0</v>
      </c>
      <c r="S30" s="152">
        <v>0</v>
      </c>
      <c r="T30" s="151">
        <v>0</v>
      </c>
      <c r="U30" s="153">
        <v>0</v>
      </c>
      <c r="V30" t="str">
        <f>VLOOKUP(A30,'Projetos ciclo 2018-2022'!$I$8:$I$128,1,FALSE)</f>
        <v>TI00218</v>
      </c>
    </row>
    <row r="31" spans="1:22" x14ac:dyDescent="0.25">
      <c r="A31" s="21" t="s">
        <v>800</v>
      </c>
      <c r="B31" s="154" t="s">
        <v>403</v>
      </c>
      <c r="C31" s="154" t="s">
        <v>1212</v>
      </c>
      <c r="D31" s="155">
        <v>0</v>
      </c>
      <c r="E31" s="158">
        <v>0</v>
      </c>
      <c r="F31" s="155">
        <v>0</v>
      </c>
      <c r="G31" s="158">
        <v>490</v>
      </c>
      <c r="H31" s="155">
        <v>0</v>
      </c>
      <c r="I31" s="158">
        <v>48.300398826599121</v>
      </c>
      <c r="J31" s="155">
        <v>0</v>
      </c>
      <c r="K31" s="158">
        <v>48.300398826599121</v>
      </c>
      <c r="L31" s="155">
        <v>435.47285461425781</v>
      </c>
      <c r="M31" s="158">
        <v>483.77325344085693</v>
      </c>
      <c r="N31" s="155">
        <v>0</v>
      </c>
      <c r="O31" s="158">
        <v>0</v>
      </c>
      <c r="P31" s="155">
        <v>0</v>
      </c>
      <c r="Q31" s="158">
        <v>0</v>
      </c>
      <c r="R31" s="155">
        <v>0</v>
      </c>
      <c r="S31" s="158">
        <v>0</v>
      </c>
      <c r="T31" s="155">
        <v>0</v>
      </c>
      <c r="U31" s="157">
        <v>0</v>
      </c>
      <c r="V31" t="str">
        <f>VLOOKUP(A31,'Projetos ciclo 2018-2022'!$I$8:$I$128,1,FALSE)</f>
        <v>TI02216</v>
      </c>
    </row>
    <row r="32" spans="1:22" x14ac:dyDescent="0.25">
      <c r="A32" s="149" t="s">
        <v>1213</v>
      </c>
      <c r="B32" s="150" t="s">
        <v>1210</v>
      </c>
      <c r="C32" s="150" t="s">
        <v>1214</v>
      </c>
      <c r="D32" s="151">
        <v>0</v>
      </c>
      <c r="E32" s="152">
        <v>0</v>
      </c>
      <c r="F32" s="151">
        <v>0</v>
      </c>
      <c r="G32" s="152">
        <v>115</v>
      </c>
      <c r="H32" s="151">
        <v>0</v>
      </c>
      <c r="I32" s="152">
        <v>0</v>
      </c>
      <c r="J32" s="151">
        <v>0</v>
      </c>
      <c r="K32" s="152">
        <v>0</v>
      </c>
      <c r="L32" s="151">
        <v>115.19999694824219</v>
      </c>
      <c r="M32" s="152">
        <v>115.19999694824219</v>
      </c>
      <c r="N32" s="151">
        <v>0</v>
      </c>
      <c r="O32" s="152">
        <v>0</v>
      </c>
      <c r="P32" s="151">
        <v>0</v>
      </c>
      <c r="Q32" s="152">
        <v>0</v>
      </c>
      <c r="R32" s="151">
        <v>0</v>
      </c>
      <c r="S32" s="152">
        <v>0</v>
      </c>
      <c r="T32" s="151">
        <v>0</v>
      </c>
      <c r="U32" s="153">
        <v>0</v>
      </c>
      <c r="V32" t="str">
        <f>VLOOKUP(A32,'Projetos ciclo 2018-2022'!$I$8:$I$128,1,FALSE)</f>
        <v>TI03018</v>
      </c>
    </row>
    <row r="33" spans="1:22" x14ac:dyDescent="0.25">
      <c r="A33" s="21" t="s">
        <v>1215</v>
      </c>
      <c r="B33" s="154" t="s">
        <v>1216</v>
      </c>
      <c r="C33" s="154" t="s">
        <v>1217</v>
      </c>
      <c r="D33" s="155">
        <v>1886</v>
      </c>
      <c r="E33" s="158">
        <v>0</v>
      </c>
      <c r="F33" s="155">
        <v>1886</v>
      </c>
      <c r="G33" s="158">
        <v>0</v>
      </c>
      <c r="H33" s="155">
        <v>217</v>
      </c>
      <c r="I33" s="158">
        <v>0</v>
      </c>
      <c r="J33" s="155">
        <v>0</v>
      </c>
      <c r="K33" s="158">
        <v>0</v>
      </c>
      <c r="L33" s="155">
        <v>0</v>
      </c>
      <c r="M33" s="158">
        <v>0</v>
      </c>
      <c r="N33" s="155">
        <v>0</v>
      </c>
      <c r="O33" s="158">
        <v>0</v>
      </c>
      <c r="P33" s="155">
        <v>0</v>
      </c>
      <c r="Q33" s="158">
        <v>0</v>
      </c>
      <c r="R33" s="155">
        <v>0</v>
      </c>
      <c r="S33" s="158">
        <v>0</v>
      </c>
      <c r="T33" s="155">
        <v>0</v>
      </c>
      <c r="U33" s="157">
        <v>0</v>
      </c>
      <c r="V33" t="e">
        <f>VLOOKUP(A33,'Projetos ciclo 2018-2022'!$I$8:$I$128,1,FALSE)</f>
        <v>#N/A</v>
      </c>
    </row>
    <row r="34" spans="1:22" x14ac:dyDescent="0.25">
      <c r="A34" s="149" t="s">
        <v>1471</v>
      </c>
      <c r="B34" s="150" t="s">
        <v>1472</v>
      </c>
      <c r="C34" s="150" t="s">
        <v>1473</v>
      </c>
      <c r="D34" s="151">
        <v>0</v>
      </c>
      <c r="E34" s="152">
        <v>0</v>
      </c>
      <c r="F34" s="151">
        <v>0</v>
      </c>
      <c r="G34" s="152">
        <v>27</v>
      </c>
      <c r="H34" s="151">
        <v>0</v>
      </c>
      <c r="I34" s="152">
        <v>0</v>
      </c>
      <c r="J34" s="151">
        <v>0</v>
      </c>
      <c r="K34" s="152">
        <v>0</v>
      </c>
      <c r="L34" s="151">
        <v>27.339330673217773</v>
      </c>
      <c r="M34" s="152">
        <v>27.339330673217773</v>
      </c>
      <c r="N34" s="151">
        <v>0</v>
      </c>
      <c r="O34" s="152">
        <v>0</v>
      </c>
      <c r="P34" s="151">
        <v>0</v>
      </c>
      <c r="Q34" s="152">
        <v>0</v>
      </c>
      <c r="R34" s="151">
        <v>0</v>
      </c>
      <c r="S34" s="152">
        <v>0</v>
      </c>
      <c r="T34" s="151">
        <v>0</v>
      </c>
      <c r="U34" s="153">
        <v>0</v>
      </c>
      <c r="V34" t="str">
        <f>VLOOKUP(A34,'Projetos ciclo 2018-2022'!$I$8:$I$128,1,FALSE)</f>
        <v>TI04818</v>
      </c>
    </row>
    <row r="35" spans="1:22" x14ac:dyDescent="0.25">
      <c r="A35" s="21" t="s">
        <v>1474</v>
      </c>
      <c r="B35" s="154" t="s">
        <v>1475</v>
      </c>
      <c r="C35" s="154" t="s">
        <v>1476</v>
      </c>
      <c r="D35" s="155">
        <v>0</v>
      </c>
      <c r="E35" s="158">
        <v>0</v>
      </c>
      <c r="F35" s="155">
        <v>0</v>
      </c>
      <c r="G35" s="158">
        <v>32</v>
      </c>
      <c r="H35" s="155">
        <v>0</v>
      </c>
      <c r="I35" s="158">
        <v>0</v>
      </c>
      <c r="J35" s="155">
        <v>0</v>
      </c>
      <c r="K35" s="158">
        <v>0</v>
      </c>
      <c r="L35" s="155">
        <v>32.383308410644531</v>
      </c>
      <c r="M35" s="158">
        <v>32.383308410644531</v>
      </c>
      <c r="N35" s="155">
        <v>0</v>
      </c>
      <c r="O35" s="158">
        <v>0</v>
      </c>
      <c r="P35" s="155">
        <v>0</v>
      </c>
      <c r="Q35" s="158">
        <v>0</v>
      </c>
      <c r="R35" s="155">
        <v>0</v>
      </c>
      <c r="S35" s="158">
        <v>0</v>
      </c>
      <c r="T35" s="155">
        <v>0</v>
      </c>
      <c r="U35" s="157">
        <v>0</v>
      </c>
      <c r="V35" t="str">
        <f>VLOOKUP(A35,'Projetos ciclo 2018-2022'!$I$8:$I$128,1,FALSE)</f>
        <v>TI04918</v>
      </c>
    </row>
    <row r="36" spans="1:22" x14ac:dyDescent="0.25">
      <c r="A36" s="149" t="s">
        <v>1194</v>
      </c>
      <c r="B36" s="150" t="s">
        <v>1218</v>
      </c>
      <c r="C36" s="150" t="s">
        <v>59</v>
      </c>
      <c r="D36" s="151">
        <v>0</v>
      </c>
      <c r="E36" s="152">
        <v>0</v>
      </c>
      <c r="F36" s="151">
        <v>0</v>
      </c>
      <c r="G36" s="152">
        <v>0</v>
      </c>
      <c r="H36" s="151">
        <v>0</v>
      </c>
      <c r="I36" s="152">
        <v>0</v>
      </c>
      <c r="J36" s="151">
        <v>0</v>
      </c>
      <c r="K36" s="152">
        <v>0</v>
      </c>
      <c r="L36" s="151">
        <v>0</v>
      </c>
      <c r="M36" s="152">
        <v>0</v>
      </c>
      <c r="N36" s="151">
        <v>0</v>
      </c>
      <c r="O36" s="152">
        <v>0</v>
      </c>
      <c r="P36" s="151">
        <v>0</v>
      </c>
      <c r="Q36" s="152">
        <v>0</v>
      </c>
      <c r="R36" s="151">
        <v>0</v>
      </c>
      <c r="S36" s="152">
        <v>0</v>
      </c>
      <c r="T36" s="151">
        <v>0</v>
      </c>
      <c r="U36" s="153">
        <v>0</v>
      </c>
      <c r="V36" t="e">
        <f>VLOOKUP(A36,'Projetos ciclo 2018-2022'!$I$8:$I$128,1,FALSE)</f>
        <v>#N/A</v>
      </c>
    </row>
    <row r="37" spans="1:22" x14ac:dyDescent="0.25">
      <c r="A37" s="21" t="s">
        <v>1196</v>
      </c>
      <c r="B37" s="154" t="s">
        <v>1197</v>
      </c>
      <c r="C37" s="154" t="s">
        <v>59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c r="V37" t="e">
        <f>VLOOKUP(A37,'Projetos ciclo 2018-2022'!$I$8:$I$128,1,FALSE)</f>
        <v>#N/A</v>
      </c>
    </row>
    <row r="38" spans="1:22" x14ac:dyDescent="0.25">
      <c r="A38" s="149" t="s">
        <v>1447</v>
      </c>
      <c r="B38" s="150" t="s">
        <v>1448</v>
      </c>
      <c r="C38" s="150" t="s">
        <v>1449</v>
      </c>
      <c r="D38" s="151">
        <v>103</v>
      </c>
      <c r="E38" s="152">
        <v>0</v>
      </c>
      <c r="F38" s="151">
        <v>103</v>
      </c>
      <c r="G38" s="152">
        <v>0</v>
      </c>
      <c r="H38" s="151">
        <v>0</v>
      </c>
      <c r="I38" s="152">
        <v>0</v>
      </c>
      <c r="J38" s="151">
        <v>0</v>
      </c>
      <c r="K38" s="152">
        <v>0</v>
      </c>
      <c r="L38" s="151">
        <v>0</v>
      </c>
      <c r="M38" s="152">
        <v>0</v>
      </c>
      <c r="N38" s="151">
        <v>0</v>
      </c>
      <c r="O38" s="152">
        <v>0</v>
      </c>
      <c r="P38" s="151">
        <v>0</v>
      </c>
      <c r="Q38" s="152">
        <v>0</v>
      </c>
      <c r="R38" s="151">
        <v>0</v>
      </c>
      <c r="S38" s="152">
        <v>0</v>
      </c>
      <c r="T38" s="151">
        <v>0</v>
      </c>
      <c r="U38" s="153">
        <v>0</v>
      </c>
      <c r="V38" t="e">
        <f>VLOOKUP(A38,'Projetos ciclo 2018-2022'!$I$8:$I$128,1,FALSE)</f>
        <v>#N/A</v>
      </c>
    </row>
    <row r="39" spans="1:22" x14ac:dyDescent="0.25">
      <c r="A39" s="21" t="s">
        <v>565</v>
      </c>
      <c r="B39" s="154" t="s">
        <v>1198</v>
      </c>
      <c r="C39" s="154" t="s">
        <v>59</v>
      </c>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c r="V39" t="str">
        <f>VLOOKUP(A39,'Projetos ciclo 2018-2022'!$I$8:$I$128,1,FALSE)</f>
        <v>NA</v>
      </c>
    </row>
    <row r="40" spans="1:22" x14ac:dyDescent="0.25">
      <c r="A40" s="149" t="s">
        <v>1199</v>
      </c>
      <c r="B40" s="150" t="s">
        <v>1200</v>
      </c>
      <c r="C40" s="150" t="s">
        <v>59</v>
      </c>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c r="V40" t="e">
        <f>VLOOKUP(A40,'Projetos ciclo 2018-2022'!$I$8:$I$128,1,FALSE)</f>
        <v>#N/A</v>
      </c>
    </row>
    <row r="41" spans="1:22" x14ac:dyDescent="0.25">
      <c r="A41" s="21" t="s">
        <v>1194</v>
      </c>
      <c r="B41" s="154" t="s">
        <v>1219</v>
      </c>
      <c r="C41" s="154" t="s">
        <v>59</v>
      </c>
      <c r="D41" s="155">
        <v>0</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c r="V41" t="e">
        <f>VLOOKUP(A41,'Projetos ciclo 2018-2022'!$I$8:$I$128,1,FALSE)</f>
        <v>#N/A</v>
      </c>
    </row>
    <row r="42" spans="1:22" x14ac:dyDescent="0.25">
      <c r="A42" s="149" t="s">
        <v>1196</v>
      </c>
      <c r="B42" s="150" t="s">
        <v>1197</v>
      </c>
      <c r="C42" s="150" t="s">
        <v>59</v>
      </c>
      <c r="D42" s="151">
        <v>0</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c r="V42" t="e">
        <f>VLOOKUP(A42,'Projetos ciclo 2018-2022'!$I$8:$I$128,1,FALSE)</f>
        <v>#N/A</v>
      </c>
    </row>
    <row r="43" spans="1:22" x14ac:dyDescent="0.25">
      <c r="A43" s="21" t="s">
        <v>1450</v>
      </c>
      <c r="B43" s="154" t="s">
        <v>1451</v>
      </c>
      <c r="C43" s="154" t="s">
        <v>1452</v>
      </c>
      <c r="D43" s="155">
        <v>518</v>
      </c>
      <c r="E43" s="158">
        <v>0</v>
      </c>
      <c r="F43" s="155">
        <v>518</v>
      </c>
      <c r="G43" s="158">
        <v>0</v>
      </c>
      <c r="H43" s="155">
        <v>10</v>
      </c>
      <c r="I43" s="158">
        <v>0</v>
      </c>
      <c r="J43" s="155">
        <v>0</v>
      </c>
      <c r="K43" s="158">
        <v>0</v>
      </c>
      <c r="L43" s="155">
        <v>0</v>
      </c>
      <c r="M43" s="158">
        <v>0</v>
      </c>
      <c r="N43" s="155">
        <v>0</v>
      </c>
      <c r="O43" s="158">
        <v>0</v>
      </c>
      <c r="P43" s="155">
        <v>0</v>
      </c>
      <c r="Q43" s="158">
        <v>0</v>
      </c>
      <c r="R43" s="155">
        <v>0</v>
      </c>
      <c r="S43" s="158">
        <v>0</v>
      </c>
      <c r="T43" s="155">
        <v>0</v>
      </c>
      <c r="U43" s="157">
        <v>0</v>
      </c>
      <c r="V43" t="e">
        <f>VLOOKUP(A43,'Projetos ciclo 2018-2022'!$I$8:$I$128,1,FALSE)</f>
        <v>#N/A</v>
      </c>
    </row>
    <row r="44" spans="1:22" x14ac:dyDescent="0.25">
      <c r="A44" s="149" t="s">
        <v>1223</v>
      </c>
      <c r="B44" s="150" t="s">
        <v>1224</v>
      </c>
      <c r="C44" s="150" t="s">
        <v>1225</v>
      </c>
      <c r="D44" s="151">
        <v>0</v>
      </c>
      <c r="E44" s="152">
        <v>0</v>
      </c>
      <c r="F44" s="151">
        <v>0</v>
      </c>
      <c r="G44" s="152">
        <v>171</v>
      </c>
      <c r="H44" s="151">
        <v>0</v>
      </c>
      <c r="I44" s="152">
        <v>0</v>
      </c>
      <c r="J44" s="151">
        <v>0</v>
      </c>
      <c r="K44" s="152">
        <v>0</v>
      </c>
      <c r="L44" s="151">
        <v>77.594230175018311</v>
      </c>
      <c r="M44" s="152">
        <v>77.594230175018311</v>
      </c>
      <c r="N44" s="151">
        <v>0</v>
      </c>
      <c r="O44" s="152">
        <v>0</v>
      </c>
      <c r="P44" s="151">
        <v>0</v>
      </c>
      <c r="Q44" s="152">
        <v>0</v>
      </c>
      <c r="R44" s="151">
        <v>0</v>
      </c>
      <c r="S44" s="152">
        <v>0</v>
      </c>
      <c r="T44" s="151">
        <v>0</v>
      </c>
      <c r="U44" s="153">
        <v>0</v>
      </c>
      <c r="V44" t="str">
        <f>VLOOKUP(A44,'Projetos ciclo 2018-2022'!$I$8:$I$128,1,FALSE)</f>
        <v>MG00318</v>
      </c>
    </row>
    <row r="45" spans="1:22" x14ac:dyDescent="0.25">
      <c r="A45" s="21" t="s">
        <v>565</v>
      </c>
      <c r="B45" s="154" t="s">
        <v>1229</v>
      </c>
      <c r="C45" s="154" t="s">
        <v>59</v>
      </c>
      <c r="D45" s="155">
        <v>1783</v>
      </c>
      <c r="E45" s="158">
        <v>0</v>
      </c>
      <c r="F45" s="155">
        <v>0</v>
      </c>
      <c r="G45" s="158">
        <v>0</v>
      </c>
      <c r="H45" s="155">
        <v>0</v>
      </c>
      <c r="I45" s="158">
        <v>0</v>
      </c>
      <c r="J45" s="155">
        <v>0</v>
      </c>
      <c r="K45" s="158">
        <v>0</v>
      </c>
      <c r="L45" s="155">
        <v>0</v>
      </c>
      <c r="M45" s="158">
        <v>0</v>
      </c>
      <c r="N45" s="155">
        <v>486</v>
      </c>
      <c r="O45" s="158">
        <v>602</v>
      </c>
      <c r="P45" s="155">
        <v>498</v>
      </c>
      <c r="Q45" s="158">
        <v>197</v>
      </c>
      <c r="R45" s="155">
        <v>0</v>
      </c>
      <c r="S45" s="158">
        <v>0</v>
      </c>
      <c r="T45" s="155">
        <v>0</v>
      </c>
      <c r="U45" s="157">
        <v>0</v>
      </c>
      <c r="V45" t="str">
        <f>VLOOKUP(A45,'Projetos ciclo 2018-2022'!$I$8:$I$128,1,FALSE)</f>
        <v>NA</v>
      </c>
    </row>
    <row r="46" spans="1:22" x14ac:dyDescent="0.25">
      <c r="A46" s="149" t="s">
        <v>1230</v>
      </c>
      <c r="B46" s="150" t="s">
        <v>1231</v>
      </c>
      <c r="C46" s="150" t="s">
        <v>1232</v>
      </c>
      <c r="D46" s="151">
        <v>0</v>
      </c>
      <c r="E46" s="152">
        <v>0</v>
      </c>
      <c r="F46" s="151">
        <v>0</v>
      </c>
      <c r="G46" s="152">
        <v>74</v>
      </c>
      <c r="H46" s="151">
        <v>0</v>
      </c>
      <c r="I46" s="152">
        <v>0</v>
      </c>
      <c r="J46" s="151">
        <v>0</v>
      </c>
      <c r="K46" s="152">
        <v>0</v>
      </c>
      <c r="L46" s="151">
        <v>30.149999618530273</v>
      </c>
      <c r="M46" s="152">
        <v>30.149999618530273</v>
      </c>
      <c r="N46" s="151">
        <v>0</v>
      </c>
      <c r="O46" s="152">
        <v>0</v>
      </c>
      <c r="P46" s="151">
        <v>0</v>
      </c>
      <c r="Q46" s="152">
        <v>0</v>
      </c>
      <c r="R46" s="151">
        <v>0</v>
      </c>
      <c r="S46" s="152">
        <v>0</v>
      </c>
      <c r="T46" s="151">
        <v>0</v>
      </c>
      <c r="U46" s="153">
        <v>0</v>
      </c>
      <c r="V46" t="str">
        <f>VLOOKUP(A46,'Projetos ciclo 2018-2022'!$I$8:$I$128,1,FALSE)</f>
        <v>PO00117</v>
      </c>
    </row>
    <row r="47" spans="1:22" x14ac:dyDescent="0.25">
      <c r="A47" s="21" t="s">
        <v>1233</v>
      </c>
      <c r="B47" s="154" t="s">
        <v>1234</v>
      </c>
      <c r="C47" s="154" t="s">
        <v>1235</v>
      </c>
      <c r="D47" s="155">
        <v>0</v>
      </c>
      <c r="E47" s="158">
        <v>0</v>
      </c>
      <c r="F47" s="155">
        <v>0</v>
      </c>
      <c r="G47" s="158">
        <v>270</v>
      </c>
      <c r="H47" s="155">
        <v>0</v>
      </c>
      <c r="I47" s="158">
        <v>9.8500003814697266</v>
      </c>
      <c r="J47" s="155">
        <v>0</v>
      </c>
      <c r="K47" s="158">
        <v>9.8500003814697266</v>
      </c>
      <c r="L47" s="155">
        <v>158.32196044921875</v>
      </c>
      <c r="M47" s="158">
        <v>168.17196083068848</v>
      </c>
      <c r="N47" s="155">
        <v>0</v>
      </c>
      <c r="O47" s="158">
        <v>0</v>
      </c>
      <c r="P47" s="155">
        <v>0</v>
      </c>
      <c r="Q47" s="158">
        <v>0</v>
      </c>
      <c r="R47" s="155">
        <v>0</v>
      </c>
      <c r="S47" s="158">
        <v>0</v>
      </c>
      <c r="T47" s="155">
        <v>0</v>
      </c>
      <c r="U47" s="157">
        <v>0</v>
      </c>
      <c r="V47" t="str">
        <f>VLOOKUP(A47,'Projetos ciclo 2018-2022'!$I$8:$I$128,1,FALSE)</f>
        <v>PO00118</v>
      </c>
    </row>
    <row r="48" spans="1:22" x14ac:dyDescent="0.25">
      <c r="A48" s="149" t="s">
        <v>1199</v>
      </c>
      <c r="B48" s="150" t="s">
        <v>1200</v>
      </c>
      <c r="C48" s="150" t="s">
        <v>59</v>
      </c>
      <c r="D48" s="151">
        <v>0</v>
      </c>
      <c r="E48" s="152">
        <v>0</v>
      </c>
      <c r="F48" s="151">
        <v>0</v>
      </c>
      <c r="G48" s="152">
        <v>0</v>
      </c>
      <c r="H48" s="151">
        <v>0</v>
      </c>
      <c r="I48" s="152">
        <v>0</v>
      </c>
      <c r="J48" s="151">
        <v>0</v>
      </c>
      <c r="K48" s="152">
        <v>0</v>
      </c>
      <c r="L48" s="151">
        <v>0</v>
      </c>
      <c r="M48" s="152">
        <v>0</v>
      </c>
      <c r="N48" s="151">
        <v>0</v>
      </c>
      <c r="O48" s="152">
        <v>0</v>
      </c>
      <c r="P48" s="151">
        <v>0</v>
      </c>
      <c r="Q48" s="152">
        <v>0</v>
      </c>
      <c r="R48" s="151">
        <v>0</v>
      </c>
      <c r="S48" s="152">
        <v>0</v>
      </c>
      <c r="T48" s="151">
        <v>0</v>
      </c>
      <c r="U48" s="153">
        <v>0</v>
      </c>
      <c r="V48" t="e">
        <f>VLOOKUP(A48,'Projetos ciclo 2018-2022'!$I$8:$I$128,1,FALSE)</f>
        <v>#N/A</v>
      </c>
    </row>
    <row r="49" spans="1:22" x14ac:dyDescent="0.25">
      <c r="A49" s="21" t="s">
        <v>1194</v>
      </c>
      <c r="B49" s="154" t="s">
        <v>1195</v>
      </c>
      <c r="C49" s="154" t="s">
        <v>59</v>
      </c>
      <c r="D49" s="155">
        <v>0</v>
      </c>
      <c r="E49" s="158">
        <v>0</v>
      </c>
      <c r="F49" s="155">
        <v>0</v>
      </c>
      <c r="G49" s="158">
        <v>0</v>
      </c>
      <c r="H49" s="155">
        <v>0</v>
      </c>
      <c r="I49" s="158">
        <v>0</v>
      </c>
      <c r="J49" s="155">
        <v>0</v>
      </c>
      <c r="K49" s="158">
        <v>0</v>
      </c>
      <c r="L49" s="155">
        <v>0</v>
      </c>
      <c r="M49" s="158">
        <v>0</v>
      </c>
      <c r="N49" s="155">
        <v>0</v>
      </c>
      <c r="O49" s="158">
        <v>0</v>
      </c>
      <c r="P49" s="155">
        <v>0</v>
      </c>
      <c r="Q49" s="158">
        <v>0</v>
      </c>
      <c r="R49" s="155">
        <v>0</v>
      </c>
      <c r="S49" s="158">
        <v>0</v>
      </c>
      <c r="T49" s="155">
        <v>0</v>
      </c>
      <c r="U49" s="157">
        <v>0</v>
      </c>
      <c r="V49" t="e">
        <f>VLOOKUP(A49,'Projetos ciclo 2018-2022'!$I$8:$I$128,1,FALSE)</f>
        <v>#N/A</v>
      </c>
    </row>
    <row r="50" spans="1:22" x14ac:dyDescent="0.25">
      <c r="A50" s="149" t="s">
        <v>1196</v>
      </c>
      <c r="B50" s="150" t="s">
        <v>1197</v>
      </c>
      <c r="C50" s="150" t="s">
        <v>59</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c r="V50" t="e">
        <f>VLOOKUP(A50,'Projetos ciclo 2018-2022'!$I$8:$I$128,1,FALSE)</f>
        <v>#N/A</v>
      </c>
    </row>
    <row r="51" spans="1:22" x14ac:dyDescent="0.25">
      <c r="A51" s="21" t="s">
        <v>1453</v>
      </c>
      <c r="B51" s="154" t="s">
        <v>1454</v>
      </c>
      <c r="C51" s="154" t="s">
        <v>1455</v>
      </c>
      <c r="D51" s="155">
        <v>0</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c r="V51" t="e">
        <f>VLOOKUP(A51,'Projetos ciclo 2018-2022'!$I$8:$I$128,1,FALSE)</f>
        <v>#N/A</v>
      </c>
    </row>
    <row r="52" spans="1:22" x14ac:dyDescent="0.25">
      <c r="A52" s="149" t="s">
        <v>565</v>
      </c>
      <c r="B52" s="150" t="s">
        <v>1198</v>
      </c>
      <c r="C52" s="150" t="s">
        <v>59</v>
      </c>
      <c r="D52" s="151">
        <v>1911</v>
      </c>
      <c r="E52" s="152">
        <v>0</v>
      </c>
      <c r="F52" s="151">
        <v>0</v>
      </c>
      <c r="G52" s="152">
        <v>0</v>
      </c>
      <c r="H52" s="151">
        <v>0</v>
      </c>
      <c r="I52" s="152">
        <v>0</v>
      </c>
      <c r="J52" s="151">
        <v>0</v>
      </c>
      <c r="K52" s="152">
        <v>0</v>
      </c>
      <c r="L52" s="151">
        <v>0</v>
      </c>
      <c r="M52" s="152">
        <v>0</v>
      </c>
      <c r="N52" s="151">
        <v>430</v>
      </c>
      <c r="O52" s="152">
        <v>204</v>
      </c>
      <c r="P52" s="151">
        <v>1251</v>
      </c>
      <c r="Q52" s="152">
        <v>26</v>
      </c>
      <c r="R52" s="151">
        <v>0</v>
      </c>
      <c r="S52" s="152">
        <v>0</v>
      </c>
      <c r="T52" s="151">
        <v>0</v>
      </c>
      <c r="U52" s="153">
        <v>0</v>
      </c>
      <c r="V52" t="str">
        <f>VLOOKUP(A52,'Projetos ciclo 2018-2022'!$I$8:$I$128,1,FALSE)</f>
        <v>NA</v>
      </c>
    </row>
    <row r="53" spans="1:22" x14ac:dyDescent="0.25">
      <c r="A53" s="21" t="s">
        <v>1199</v>
      </c>
      <c r="B53" s="154" t="s">
        <v>1200</v>
      </c>
      <c r="C53" s="154" t="s">
        <v>59</v>
      </c>
      <c r="D53" s="155">
        <v>0</v>
      </c>
      <c r="E53" s="158">
        <v>0</v>
      </c>
      <c r="F53" s="155">
        <v>0</v>
      </c>
      <c r="G53" s="158">
        <v>0</v>
      </c>
      <c r="H53" s="155">
        <v>0</v>
      </c>
      <c r="I53" s="158">
        <v>0</v>
      </c>
      <c r="J53" s="155">
        <v>0</v>
      </c>
      <c r="K53" s="158">
        <v>0</v>
      </c>
      <c r="L53" s="155">
        <v>0</v>
      </c>
      <c r="M53" s="158">
        <v>0</v>
      </c>
      <c r="N53" s="155">
        <v>0</v>
      </c>
      <c r="O53" s="158">
        <v>0</v>
      </c>
      <c r="P53" s="155">
        <v>0</v>
      </c>
      <c r="Q53" s="158">
        <v>0</v>
      </c>
      <c r="R53" s="155">
        <v>0</v>
      </c>
      <c r="S53" s="158">
        <v>0</v>
      </c>
      <c r="T53" s="155">
        <v>0</v>
      </c>
      <c r="U53" s="157">
        <v>0</v>
      </c>
      <c r="V53" t="e">
        <f>VLOOKUP(A53,'Projetos ciclo 2018-2022'!$I$8:$I$128,1,FALSE)</f>
        <v>#N/A</v>
      </c>
    </row>
    <row r="54" spans="1:22" x14ac:dyDescent="0.25">
      <c r="A54" s="149" t="s">
        <v>1236</v>
      </c>
      <c r="B54" s="150" t="s">
        <v>1237</v>
      </c>
      <c r="C54" s="150" t="s">
        <v>1238</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c r="V54" t="e">
        <f>VLOOKUP(A54,'Projetos ciclo 2018-2022'!$I$8:$I$128,1,FALSE)</f>
        <v>#N/A</v>
      </c>
    </row>
    <row r="55" spans="1:22" x14ac:dyDescent="0.25">
      <c r="A55" s="21" t="s">
        <v>1239</v>
      </c>
      <c r="B55" s="154" t="s">
        <v>1240</v>
      </c>
      <c r="C55" s="154" t="s">
        <v>1241</v>
      </c>
      <c r="D55" s="155">
        <v>0</v>
      </c>
      <c r="E55" s="158">
        <v>0</v>
      </c>
      <c r="F55" s="155">
        <v>0</v>
      </c>
      <c r="G55" s="158">
        <v>0</v>
      </c>
      <c r="H55" s="155">
        <v>0</v>
      </c>
      <c r="I55" s="158">
        <v>0</v>
      </c>
      <c r="J55" s="155">
        <v>0</v>
      </c>
      <c r="K55" s="158">
        <v>0</v>
      </c>
      <c r="L55" s="155">
        <v>0</v>
      </c>
      <c r="M55" s="158">
        <v>0</v>
      </c>
      <c r="N55" s="155">
        <v>0</v>
      </c>
      <c r="O55" s="158">
        <v>0</v>
      </c>
      <c r="P55" s="155">
        <v>0</v>
      </c>
      <c r="Q55" s="158">
        <v>0</v>
      </c>
      <c r="R55" s="155">
        <v>0</v>
      </c>
      <c r="S55" s="158">
        <v>0</v>
      </c>
      <c r="T55" s="155">
        <v>0</v>
      </c>
      <c r="U55" s="157">
        <v>0</v>
      </c>
      <c r="V55" t="e">
        <f>VLOOKUP(A55,'Projetos ciclo 2018-2022'!$I$8:$I$128,1,FALSE)</f>
        <v>#N/A</v>
      </c>
    </row>
    <row r="56" spans="1:22" x14ac:dyDescent="0.25">
      <c r="A56" s="149" t="s">
        <v>1194</v>
      </c>
      <c r="B56" s="150" t="s">
        <v>1201</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c r="V56" t="e">
        <f>VLOOKUP(A56,'Projetos ciclo 2018-2022'!$I$8:$I$128,1,FALSE)</f>
        <v>#N/A</v>
      </c>
    </row>
    <row r="57" spans="1:22" x14ac:dyDescent="0.25">
      <c r="A57" s="21" t="s">
        <v>1196</v>
      </c>
      <c r="B57" s="154" t="s">
        <v>1197</v>
      </c>
      <c r="C57" s="154" t="s">
        <v>59</v>
      </c>
      <c r="D57" s="155">
        <v>0</v>
      </c>
      <c r="E57" s="158">
        <v>0</v>
      </c>
      <c r="F57" s="155">
        <v>0</v>
      </c>
      <c r="G57" s="158">
        <v>0</v>
      </c>
      <c r="H57" s="155">
        <v>0</v>
      </c>
      <c r="I57" s="158">
        <v>0</v>
      </c>
      <c r="J57" s="155">
        <v>0</v>
      </c>
      <c r="K57" s="158">
        <v>0</v>
      </c>
      <c r="L57" s="155">
        <v>0</v>
      </c>
      <c r="M57" s="158">
        <v>0</v>
      </c>
      <c r="N57" s="155">
        <v>0</v>
      </c>
      <c r="O57" s="158">
        <v>0</v>
      </c>
      <c r="P57" s="155">
        <v>0</v>
      </c>
      <c r="Q57" s="158">
        <v>0</v>
      </c>
      <c r="R57" s="155">
        <v>0</v>
      </c>
      <c r="S57" s="158">
        <v>0</v>
      </c>
      <c r="T57" s="155">
        <v>0</v>
      </c>
      <c r="U57" s="157">
        <v>0</v>
      </c>
      <c r="V57" t="e">
        <f>VLOOKUP(A57,'Projetos ciclo 2018-2022'!$I$8:$I$128,1,FALSE)</f>
        <v>#N/A</v>
      </c>
    </row>
    <row r="58" spans="1:22" x14ac:dyDescent="0.25">
      <c r="A58" s="149" t="s">
        <v>565</v>
      </c>
      <c r="B58" s="150" t="s">
        <v>1198</v>
      </c>
      <c r="C58" s="150" t="s">
        <v>59</v>
      </c>
      <c r="D58" s="151">
        <v>297</v>
      </c>
      <c r="E58" s="152">
        <v>0</v>
      </c>
      <c r="F58" s="151">
        <v>0</v>
      </c>
      <c r="G58" s="152">
        <v>0</v>
      </c>
      <c r="H58" s="151">
        <v>0</v>
      </c>
      <c r="I58" s="152">
        <v>0</v>
      </c>
      <c r="J58" s="151">
        <v>0</v>
      </c>
      <c r="K58" s="152">
        <v>0</v>
      </c>
      <c r="L58" s="151">
        <v>0</v>
      </c>
      <c r="M58" s="152">
        <v>0</v>
      </c>
      <c r="N58" s="151">
        <v>46</v>
      </c>
      <c r="O58" s="152">
        <v>83</v>
      </c>
      <c r="P58" s="151">
        <v>90</v>
      </c>
      <c r="Q58" s="152">
        <v>78</v>
      </c>
      <c r="R58" s="151">
        <v>0</v>
      </c>
      <c r="S58" s="152">
        <v>0</v>
      </c>
      <c r="T58" s="151">
        <v>0</v>
      </c>
      <c r="U58" s="153">
        <v>0</v>
      </c>
      <c r="V58" t="str">
        <f>VLOOKUP(A58,'Projetos ciclo 2018-2022'!$I$8:$I$128,1,FALSE)</f>
        <v>NA</v>
      </c>
    </row>
    <row r="59" spans="1:22" x14ac:dyDescent="0.25">
      <c r="A59" s="21" t="s">
        <v>1199</v>
      </c>
      <c r="B59" s="154" t="s">
        <v>1200</v>
      </c>
      <c r="C59" s="154" t="s">
        <v>59</v>
      </c>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c r="V59" t="e">
        <f>VLOOKUP(A59,'Projetos ciclo 2018-2022'!$I$8:$I$128,1,FALSE)</f>
        <v>#N/A</v>
      </c>
    </row>
    <row r="60" spans="1:22" x14ac:dyDescent="0.25">
      <c r="A60" s="149" t="s">
        <v>1242</v>
      </c>
      <c r="B60" s="150" t="s">
        <v>1243</v>
      </c>
      <c r="C60" s="150" t="s">
        <v>1244</v>
      </c>
      <c r="D60" s="151">
        <v>142</v>
      </c>
      <c r="E60" s="152">
        <v>0</v>
      </c>
      <c r="F60" s="151">
        <v>142</v>
      </c>
      <c r="G60" s="152">
        <v>0</v>
      </c>
      <c r="H60" s="151">
        <v>0</v>
      </c>
      <c r="I60" s="152">
        <v>0</v>
      </c>
      <c r="J60" s="151">
        <v>0</v>
      </c>
      <c r="K60" s="152">
        <v>0</v>
      </c>
      <c r="L60" s="151">
        <v>0</v>
      </c>
      <c r="M60" s="152">
        <v>0</v>
      </c>
      <c r="N60" s="151">
        <v>0</v>
      </c>
      <c r="O60" s="152">
        <v>0</v>
      </c>
      <c r="P60" s="151">
        <v>0</v>
      </c>
      <c r="Q60" s="152">
        <v>0</v>
      </c>
      <c r="R60" s="151">
        <v>0</v>
      </c>
      <c r="S60" s="152">
        <v>0</v>
      </c>
      <c r="T60" s="151">
        <v>0</v>
      </c>
      <c r="U60" s="153">
        <v>0</v>
      </c>
      <c r="V60" t="e">
        <f>VLOOKUP(A60,'Projetos ciclo 2018-2022'!$I$8:$I$128,1,FALSE)</f>
        <v>#N/A</v>
      </c>
    </row>
    <row r="61" spans="1:22" x14ac:dyDescent="0.25">
      <c r="A61" s="21" t="s">
        <v>1194</v>
      </c>
      <c r="B61" s="154" t="s">
        <v>1245</v>
      </c>
      <c r="C61" s="154" t="s">
        <v>59</v>
      </c>
      <c r="D61" s="155">
        <v>0</v>
      </c>
      <c r="E61" s="158">
        <v>0</v>
      </c>
      <c r="F61" s="155">
        <v>0</v>
      </c>
      <c r="G61" s="158">
        <v>0</v>
      </c>
      <c r="H61" s="155">
        <v>0</v>
      </c>
      <c r="I61" s="158">
        <v>0</v>
      </c>
      <c r="J61" s="155">
        <v>0</v>
      </c>
      <c r="K61" s="158">
        <v>0</v>
      </c>
      <c r="L61" s="155">
        <v>0</v>
      </c>
      <c r="M61" s="158">
        <v>0</v>
      </c>
      <c r="N61" s="155">
        <v>0</v>
      </c>
      <c r="O61" s="158">
        <v>0</v>
      </c>
      <c r="P61" s="155">
        <v>0</v>
      </c>
      <c r="Q61" s="158">
        <v>0</v>
      </c>
      <c r="R61" s="155">
        <v>0</v>
      </c>
      <c r="S61" s="158">
        <v>0</v>
      </c>
      <c r="T61" s="155">
        <v>0</v>
      </c>
      <c r="U61" s="157">
        <v>0</v>
      </c>
      <c r="V61" t="e">
        <f>VLOOKUP(A61,'Projetos ciclo 2018-2022'!$I$8:$I$128,1,FALSE)</f>
        <v>#N/A</v>
      </c>
    </row>
    <row r="62" spans="1:22" x14ac:dyDescent="0.25">
      <c r="A62" s="149" t="s">
        <v>1196</v>
      </c>
      <c r="B62" s="150" t="s">
        <v>1197</v>
      </c>
      <c r="C62" s="150" t="s">
        <v>59</v>
      </c>
      <c r="D62" s="151">
        <v>0</v>
      </c>
      <c r="E62" s="152">
        <v>0</v>
      </c>
      <c r="F62" s="151">
        <v>0</v>
      </c>
      <c r="G62" s="152">
        <v>0</v>
      </c>
      <c r="H62" s="151">
        <v>0</v>
      </c>
      <c r="I62" s="152">
        <v>0</v>
      </c>
      <c r="J62" s="151">
        <v>0</v>
      </c>
      <c r="K62" s="152">
        <v>0</v>
      </c>
      <c r="L62" s="151">
        <v>0</v>
      </c>
      <c r="M62" s="152">
        <v>0</v>
      </c>
      <c r="N62" s="151">
        <v>0</v>
      </c>
      <c r="O62" s="152">
        <v>0</v>
      </c>
      <c r="P62" s="151">
        <v>0</v>
      </c>
      <c r="Q62" s="152">
        <v>0</v>
      </c>
      <c r="R62" s="151">
        <v>0</v>
      </c>
      <c r="S62" s="152">
        <v>0</v>
      </c>
      <c r="T62" s="151">
        <v>0</v>
      </c>
      <c r="U62" s="153">
        <v>0</v>
      </c>
      <c r="V62" t="e">
        <f>VLOOKUP(A62,'Projetos ciclo 2018-2022'!$I$8:$I$128,1,FALSE)</f>
        <v>#N/A</v>
      </c>
    </row>
    <row r="63" spans="1:22" x14ac:dyDescent="0.25">
      <c r="A63" s="21" t="s">
        <v>565</v>
      </c>
      <c r="B63" s="154" t="s">
        <v>1198</v>
      </c>
      <c r="C63" s="154" t="s">
        <v>59</v>
      </c>
      <c r="D63" s="155">
        <v>529</v>
      </c>
      <c r="E63" s="158">
        <v>0</v>
      </c>
      <c r="F63" s="155">
        <v>0</v>
      </c>
      <c r="G63" s="158">
        <v>0</v>
      </c>
      <c r="H63" s="155">
        <v>0</v>
      </c>
      <c r="I63" s="158">
        <v>0</v>
      </c>
      <c r="J63" s="155">
        <v>0</v>
      </c>
      <c r="K63" s="158">
        <v>0</v>
      </c>
      <c r="L63" s="155">
        <v>0</v>
      </c>
      <c r="M63" s="158">
        <v>0</v>
      </c>
      <c r="N63" s="155">
        <v>55</v>
      </c>
      <c r="O63" s="158">
        <v>209</v>
      </c>
      <c r="P63" s="155">
        <v>55</v>
      </c>
      <c r="Q63" s="158">
        <v>210</v>
      </c>
      <c r="R63" s="155">
        <v>0</v>
      </c>
      <c r="S63" s="158">
        <v>0</v>
      </c>
      <c r="T63" s="155">
        <v>0</v>
      </c>
      <c r="U63" s="157">
        <v>0</v>
      </c>
      <c r="V63" t="str">
        <f>VLOOKUP(A63,'Projetos ciclo 2018-2022'!$I$8:$I$128,1,FALSE)</f>
        <v>NA</v>
      </c>
    </row>
    <row r="64" spans="1:22" x14ac:dyDescent="0.25">
      <c r="A64" s="149" t="s">
        <v>1199</v>
      </c>
      <c r="B64" s="150" t="s">
        <v>1200</v>
      </c>
      <c r="C64" s="150" t="s">
        <v>59</v>
      </c>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c r="V64" t="e">
        <f>VLOOKUP(A64,'Projetos ciclo 2018-2022'!$I$8:$I$128,1,FALSE)</f>
        <v>#N/A</v>
      </c>
    </row>
    <row r="65" spans="1:22" x14ac:dyDescent="0.25">
      <c r="A65" s="21" t="s">
        <v>1246</v>
      </c>
      <c r="B65" s="154" t="s">
        <v>1247</v>
      </c>
      <c r="C65" s="154" t="s">
        <v>1248</v>
      </c>
      <c r="D65" s="155">
        <v>415</v>
      </c>
      <c r="E65" s="158">
        <v>0</v>
      </c>
      <c r="F65" s="155">
        <v>415</v>
      </c>
      <c r="G65" s="158">
        <v>0</v>
      </c>
      <c r="H65" s="155">
        <v>0</v>
      </c>
      <c r="I65" s="158">
        <v>0</v>
      </c>
      <c r="J65" s="155">
        <v>0</v>
      </c>
      <c r="K65" s="158">
        <v>0</v>
      </c>
      <c r="L65" s="155">
        <v>0</v>
      </c>
      <c r="M65" s="158">
        <v>0</v>
      </c>
      <c r="N65" s="155">
        <v>0</v>
      </c>
      <c r="O65" s="158">
        <v>0</v>
      </c>
      <c r="P65" s="155">
        <v>0</v>
      </c>
      <c r="Q65" s="158">
        <v>0</v>
      </c>
      <c r="R65" s="155">
        <v>0</v>
      </c>
      <c r="S65" s="158">
        <v>0</v>
      </c>
      <c r="T65" s="155">
        <v>0</v>
      </c>
      <c r="U65" s="157">
        <v>0</v>
      </c>
      <c r="V65" t="e">
        <f>VLOOKUP(A65,'Projetos ciclo 2018-2022'!$I$8:$I$128,1,FALSE)</f>
        <v>#N/A</v>
      </c>
    </row>
    <row r="66" spans="1:22" x14ac:dyDescent="0.25">
      <c r="A66" s="149" t="s">
        <v>1477</v>
      </c>
      <c r="B66" s="150" t="s">
        <v>1463</v>
      </c>
      <c r="C66" s="150" t="s">
        <v>1478</v>
      </c>
      <c r="D66" s="151">
        <v>0</v>
      </c>
      <c r="E66" s="152">
        <v>0</v>
      </c>
      <c r="F66" s="151">
        <v>0</v>
      </c>
      <c r="G66" s="152">
        <v>415</v>
      </c>
      <c r="H66" s="151">
        <v>0</v>
      </c>
      <c r="I66" s="152">
        <v>0</v>
      </c>
      <c r="J66" s="151">
        <v>0</v>
      </c>
      <c r="K66" s="152">
        <v>0</v>
      </c>
      <c r="L66" s="151">
        <v>382</v>
      </c>
      <c r="M66" s="152">
        <v>382</v>
      </c>
      <c r="N66" s="151">
        <v>0</v>
      </c>
      <c r="O66" s="152">
        <v>0</v>
      </c>
      <c r="P66" s="151">
        <v>0</v>
      </c>
      <c r="Q66" s="152">
        <v>0</v>
      </c>
      <c r="R66" s="151">
        <v>0</v>
      </c>
      <c r="S66" s="152">
        <v>0</v>
      </c>
      <c r="T66" s="151">
        <v>0</v>
      </c>
      <c r="U66" s="153">
        <v>0</v>
      </c>
      <c r="V66" t="str">
        <f>VLOOKUP(A66,'Projetos ciclo 2018-2022'!$I$8:$I$128,1,FALSE)</f>
        <v>TI04418</v>
      </c>
    </row>
    <row r="67" spans="1:22" x14ac:dyDescent="0.25">
      <c r="A67" s="21" t="s">
        <v>1194</v>
      </c>
      <c r="B67" s="154" t="s">
        <v>1209</v>
      </c>
      <c r="C67" s="154" t="s">
        <v>59</v>
      </c>
      <c r="D67" s="155">
        <v>0</v>
      </c>
      <c r="E67" s="158">
        <v>0</v>
      </c>
      <c r="F67" s="155">
        <v>0</v>
      </c>
      <c r="G67" s="158">
        <v>0</v>
      </c>
      <c r="H67" s="155">
        <v>0</v>
      </c>
      <c r="I67" s="158">
        <v>0</v>
      </c>
      <c r="J67" s="155">
        <v>0</v>
      </c>
      <c r="K67" s="158">
        <v>0</v>
      </c>
      <c r="L67" s="155">
        <v>0</v>
      </c>
      <c r="M67" s="158">
        <v>0</v>
      </c>
      <c r="N67" s="155">
        <v>0</v>
      </c>
      <c r="O67" s="158">
        <v>0</v>
      </c>
      <c r="P67" s="155">
        <v>0</v>
      </c>
      <c r="Q67" s="158">
        <v>0</v>
      </c>
      <c r="R67" s="155">
        <v>0</v>
      </c>
      <c r="S67" s="158">
        <v>0</v>
      </c>
      <c r="T67" s="155">
        <v>0</v>
      </c>
      <c r="U67" s="157">
        <v>0</v>
      </c>
      <c r="V67" t="e">
        <f>VLOOKUP(A67,'Projetos ciclo 2018-2022'!$I$8:$I$128,1,FALSE)</f>
        <v>#N/A</v>
      </c>
    </row>
    <row r="68" spans="1:22" x14ac:dyDescent="0.25">
      <c r="A68" s="149" t="s">
        <v>1196</v>
      </c>
      <c r="B68" s="150" t="s">
        <v>1197</v>
      </c>
      <c r="C68" s="150" t="s">
        <v>59</v>
      </c>
      <c r="D68" s="151">
        <v>0</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c r="V68" t="e">
        <f>VLOOKUP(A68,'Projetos ciclo 2018-2022'!$I$8:$I$128,1,FALSE)</f>
        <v>#N/A</v>
      </c>
    </row>
    <row r="69" spans="1:22" x14ac:dyDescent="0.25">
      <c r="A69" s="21" t="s">
        <v>565</v>
      </c>
      <c r="B69" s="154" t="s">
        <v>1198</v>
      </c>
      <c r="C69" s="154" t="s">
        <v>59</v>
      </c>
      <c r="D69" s="155">
        <v>514</v>
      </c>
      <c r="E69" s="158">
        <v>0</v>
      </c>
      <c r="F69" s="155">
        <v>0</v>
      </c>
      <c r="G69" s="158">
        <v>0</v>
      </c>
      <c r="H69" s="155">
        <v>0</v>
      </c>
      <c r="I69" s="158">
        <v>0</v>
      </c>
      <c r="J69" s="155">
        <v>0</v>
      </c>
      <c r="K69" s="158">
        <v>0</v>
      </c>
      <c r="L69" s="155">
        <v>0</v>
      </c>
      <c r="M69" s="158">
        <v>0</v>
      </c>
      <c r="N69" s="155">
        <v>128.5</v>
      </c>
      <c r="O69" s="158">
        <v>128.5</v>
      </c>
      <c r="P69" s="155">
        <v>128.5</v>
      </c>
      <c r="Q69" s="158">
        <v>128.5</v>
      </c>
      <c r="R69" s="155">
        <v>0</v>
      </c>
      <c r="S69" s="158">
        <v>0</v>
      </c>
      <c r="T69" s="155">
        <v>0</v>
      </c>
      <c r="U69" s="157">
        <v>0</v>
      </c>
      <c r="V69" t="str">
        <f>VLOOKUP(A69,'Projetos ciclo 2018-2022'!$I$8:$I$128,1,FALSE)</f>
        <v>NA</v>
      </c>
    </row>
    <row r="70" spans="1:22" x14ac:dyDescent="0.25">
      <c r="A70" s="149" t="s">
        <v>1199</v>
      </c>
      <c r="B70" s="150" t="s">
        <v>1200</v>
      </c>
      <c r="C70" s="150" t="s">
        <v>59</v>
      </c>
      <c r="D70" s="151">
        <v>0</v>
      </c>
      <c r="E70" s="152">
        <v>0</v>
      </c>
      <c r="F70" s="151">
        <v>0</v>
      </c>
      <c r="G70" s="152">
        <v>0</v>
      </c>
      <c r="H70" s="151">
        <v>0</v>
      </c>
      <c r="I70" s="152">
        <v>0</v>
      </c>
      <c r="J70" s="151">
        <v>0</v>
      </c>
      <c r="K70" s="152">
        <v>0</v>
      </c>
      <c r="L70" s="151">
        <v>0</v>
      </c>
      <c r="M70" s="152">
        <v>0</v>
      </c>
      <c r="N70" s="151">
        <v>0</v>
      </c>
      <c r="O70" s="152">
        <v>0</v>
      </c>
      <c r="P70" s="151">
        <v>0</v>
      </c>
      <c r="Q70" s="152">
        <v>0</v>
      </c>
      <c r="R70" s="151">
        <v>0</v>
      </c>
      <c r="S70" s="152">
        <v>0</v>
      </c>
      <c r="T70" s="151">
        <v>0</v>
      </c>
      <c r="U70" s="153">
        <v>0</v>
      </c>
      <c r="V70" t="e">
        <f>VLOOKUP(A70,'Projetos ciclo 2018-2022'!$I$8:$I$128,1,FALSE)</f>
        <v>#N/A</v>
      </c>
    </row>
    <row r="71" spans="1:22" x14ac:dyDescent="0.25">
      <c r="A71" s="21" t="s">
        <v>1249</v>
      </c>
      <c r="B71" s="154" t="s">
        <v>1250</v>
      </c>
      <c r="C71" s="154" t="s">
        <v>1251</v>
      </c>
      <c r="D71" s="155">
        <v>129</v>
      </c>
      <c r="E71" s="158">
        <v>0</v>
      </c>
      <c r="F71" s="155">
        <v>129</v>
      </c>
      <c r="G71" s="158">
        <v>0</v>
      </c>
      <c r="H71" s="155">
        <v>0</v>
      </c>
      <c r="I71" s="158">
        <v>0</v>
      </c>
      <c r="J71" s="155">
        <v>0</v>
      </c>
      <c r="K71" s="158">
        <v>0</v>
      </c>
      <c r="L71" s="155">
        <v>0</v>
      </c>
      <c r="M71" s="158">
        <v>0</v>
      </c>
      <c r="N71" s="155">
        <v>0</v>
      </c>
      <c r="O71" s="158">
        <v>0</v>
      </c>
      <c r="P71" s="155">
        <v>0</v>
      </c>
      <c r="Q71" s="158">
        <v>0</v>
      </c>
      <c r="R71" s="155">
        <v>0</v>
      </c>
      <c r="S71" s="158">
        <v>0</v>
      </c>
      <c r="T71" s="155">
        <v>0</v>
      </c>
      <c r="U71" s="157">
        <v>0</v>
      </c>
      <c r="V71" t="e">
        <f>VLOOKUP(A71,'Projetos ciclo 2018-2022'!$I$8:$I$128,1,FALSE)</f>
        <v>#N/A</v>
      </c>
    </row>
    <row r="72" spans="1:22" x14ac:dyDescent="0.25">
      <c r="A72" s="149" t="s">
        <v>1194</v>
      </c>
      <c r="B72" s="150" t="s">
        <v>1218</v>
      </c>
      <c r="C72" s="150" t="s">
        <v>59</v>
      </c>
      <c r="D72" s="151">
        <v>0</v>
      </c>
      <c r="E72" s="152">
        <v>0</v>
      </c>
      <c r="F72" s="151">
        <v>0</v>
      </c>
      <c r="G72" s="152">
        <v>0</v>
      </c>
      <c r="H72" s="151">
        <v>0</v>
      </c>
      <c r="I72" s="152">
        <v>0</v>
      </c>
      <c r="J72" s="151">
        <v>0</v>
      </c>
      <c r="K72" s="152">
        <v>0</v>
      </c>
      <c r="L72" s="151">
        <v>0</v>
      </c>
      <c r="M72" s="152">
        <v>0</v>
      </c>
      <c r="N72" s="151">
        <v>0</v>
      </c>
      <c r="O72" s="152">
        <v>0</v>
      </c>
      <c r="P72" s="151">
        <v>0</v>
      </c>
      <c r="Q72" s="152">
        <v>0</v>
      </c>
      <c r="R72" s="151">
        <v>0</v>
      </c>
      <c r="S72" s="152">
        <v>0</v>
      </c>
      <c r="T72" s="151">
        <v>0</v>
      </c>
      <c r="U72" s="153">
        <v>0</v>
      </c>
      <c r="V72" t="e">
        <f>VLOOKUP(A72,'Projetos ciclo 2018-2022'!$I$8:$I$128,1,FALSE)</f>
        <v>#N/A</v>
      </c>
    </row>
    <row r="73" spans="1:22" x14ac:dyDescent="0.25">
      <c r="A73" s="21" t="s">
        <v>1196</v>
      </c>
      <c r="B73" s="154" t="s">
        <v>1197</v>
      </c>
      <c r="C73" s="154" t="s">
        <v>59</v>
      </c>
      <c r="D73" s="155">
        <v>0</v>
      </c>
      <c r="E73" s="158">
        <v>0</v>
      </c>
      <c r="F73" s="155">
        <v>0</v>
      </c>
      <c r="G73" s="158">
        <v>0</v>
      </c>
      <c r="H73" s="155">
        <v>0</v>
      </c>
      <c r="I73" s="158">
        <v>0</v>
      </c>
      <c r="J73" s="155">
        <v>0</v>
      </c>
      <c r="K73" s="158">
        <v>0</v>
      </c>
      <c r="L73" s="155">
        <v>0</v>
      </c>
      <c r="M73" s="158">
        <v>0</v>
      </c>
      <c r="N73" s="155">
        <v>0</v>
      </c>
      <c r="O73" s="158">
        <v>0</v>
      </c>
      <c r="P73" s="155">
        <v>0</v>
      </c>
      <c r="Q73" s="158">
        <v>0</v>
      </c>
      <c r="R73" s="155">
        <v>0</v>
      </c>
      <c r="S73" s="158">
        <v>0</v>
      </c>
      <c r="T73" s="155">
        <v>0</v>
      </c>
      <c r="U73" s="157">
        <v>0</v>
      </c>
      <c r="V73" t="e">
        <f>VLOOKUP(A73,'Projetos ciclo 2018-2022'!$I$8:$I$128,1,FALSE)</f>
        <v>#N/A</v>
      </c>
    </row>
    <row r="74" spans="1:22" x14ac:dyDescent="0.25">
      <c r="A74" s="149" t="s">
        <v>1456</v>
      </c>
      <c r="B74" s="150" t="s">
        <v>1457</v>
      </c>
      <c r="C74" s="150" t="s">
        <v>1458</v>
      </c>
      <c r="D74" s="151">
        <v>3676</v>
      </c>
      <c r="E74" s="152">
        <v>0</v>
      </c>
      <c r="F74" s="151">
        <v>1618</v>
      </c>
      <c r="G74" s="152">
        <v>0</v>
      </c>
      <c r="H74" s="151">
        <v>0</v>
      </c>
      <c r="I74" s="152">
        <v>0</v>
      </c>
      <c r="J74" s="151">
        <v>0</v>
      </c>
      <c r="K74" s="152">
        <v>0</v>
      </c>
      <c r="L74" s="151">
        <v>0</v>
      </c>
      <c r="M74" s="152">
        <v>0</v>
      </c>
      <c r="N74" s="151">
        <v>0</v>
      </c>
      <c r="O74" s="152">
        <v>1050</v>
      </c>
      <c r="P74" s="151">
        <v>1008</v>
      </c>
      <c r="Q74" s="152">
        <v>0</v>
      </c>
      <c r="R74" s="151">
        <v>0</v>
      </c>
      <c r="S74" s="152">
        <v>0</v>
      </c>
      <c r="T74" s="151">
        <v>0</v>
      </c>
      <c r="U74" s="153">
        <v>0</v>
      </c>
      <c r="V74" t="e">
        <f>VLOOKUP(A74,'Projetos ciclo 2018-2022'!$I$8:$I$128,1,FALSE)</f>
        <v>#N/A</v>
      </c>
    </row>
    <row r="75" spans="1:22" x14ac:dyDescent="0.25">
      <c r="A75" s="21" t="s">
        <v>1514</v>
      </c>
      <c r="B75" s="154" t="s">
        <v>1515</v>
      </c>
      <c r="C75" s="154" t="s">
        <v>1516</v>
      </c>
      <c r="D75" s="155">
        <v>0</v>
      </c>
      <c r="E75" s="158">
        <v>0</v>
      </c>
      <c r="F75" s="155">
        <v>0</v>
      </c>
      <c r="G75" s="158">
        <v>1513</v>
      </c>
      <c r="H75" s="155">
        <v>0</v>
      </c>
      <c r="I75" s="158">
        <v>0</v>
      </c>
      <c r="J75" s="155">
        <v>0</v>
      </c>
      <c r="K75" s="158">
        <v>0</v>
      </c>
      <c r="L75" s="155">
        <v>0</v>
      </c>
      <c r="M75" s="158">
        <v>0</v>
      </c>
      <c r="N75" s="155">
        <v>0</v>
      </c>
      <c r="O75" s="158">
        <v>0</v>
      </c>
      <c r="P75" s="155">
        <v>0</v>
      </c>
      <c r="Q75" s="158">
        <v>0</v>
      </c>
      <c r="R75" s="155">
        <v>0</v>
      </c>
      <c r="S75" s="158">
        <v>0</v>
      </c>
      <c r="T75" s="155">
        <v>0</v>
      </c>
      <c r="U75" s="157">
        <v>0</v>
      </c>
      <c r="V75" t="str">
        <f>VLOOKUP(A75,'Projetos ciclo 2018-2022'!$I$8:$I$128,1,FALSE)</f>
        <v>MT00218</v>
      </c>
    </row>
    <row r="76" spans="1:22" x14ac:dyDescent="0.25">
      <c r="A76" s="149" t="s">
        <v>565</v>
      </c>
      <c r="B76" s="150" t="s">
        <v>1198</v>
      </c>
      <c r="C76" s="150" t="s">
        <v>59</v>
      </c>
      <c r="D76" s="151">
        <v>0</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c r="V76" t="str">
        <f>VLOOKUP(A76,'Projetos ciclo 2018-2022'!$I$8:$I$128,1,FALSE)</f>
        <v>NA</v>
      </c>
    </row>
    <row r="77" spans="1:22" x14ac:dyDescent="0.25">
      <c r="A77" s="21" t="s">
        <v>1199</v>
      </c>
      <c r="B77" s="154" t="s">
        <v>1200</v>
      </c>
      <c r="C77" s="154" t="s">
        <v>59</v>
      </c>
      <c r="D77" s="155">
        <v>9.9999999999909106E-2</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c r="V77" t="e">
        <f>VLOOKUP(A77,'Projetos ciclo 2018-2022'!$I$8:$I$128,1,FALSE)</f>
        <v>#N/A</v>
      </c>
    </row>
    <row r="78" spans="1:22" x14ac:dyDescent="0.25">
      <c r="A78" s="149" t="s">
        <v>1194</v>
      </c>
      <c r="B78" s="150" t="s">
        <v>1252</v>
      </c>
      <c r="C78" s="150" t="s">
        <v>59</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c r="V78" t="e">
        <f>VLOOKUP(A78,'Projetos ciclo 2018-2022'!$I$8:$I$128,1,FALSE)</f>
        <v>#N/A</v>
      </c>
    </row>
    <row r="79" spans="1:22" x14ac:dyDescent="0.25">
      <c r="A79" s="21" t="s">
        <v>1196</v>
      </c>
      <c r="B79" s="154" t="s">
        <v>1197</v>
      </c>
      <c r="C79" s="154" t="s">
        <v>59</v>
      </c>
      <c r="D79" s="155">
        <v>0</v>
      </c>
      <c r="E79" s="158">
        <v>0</v>
      </c>
      <c r="F79" s="155">
        <v>0</v>
      </c>
      <c r="G79" s="158">
        <v>0</v>
      </c>
      <c r="H79" s="155">
        <v>0</v>
      </c>
      <c r="I79" s="158">
        <v>0</v>
      </c>
      <c r="J79" s="155">
        <v>0</v>
      </c>
      <c r="K79" s="158">
        <v>0</v>
      </c>
      <c r="L79" s="155">
        <v>0</v>
      </c>
      <c r="M79" s="158">
        <v>0</v>
      </c>
      <c r="N79" s="155">
        <v>0</v>
      </c>
      <c r="O79" s="158">
        <v>0</v>
      </c>
      <c r="P79" s="155">
        <v>0</v>
      </c>
      <c r="Q79" s="158">
        <v>0</v>
      </c>
      <c r="R79" s="155">
        <v>0</v>
      </c>
      <c r="S79" s="158">
        <v>0</v>
      </c>
      <c r="T79" s="155">
        <v>0</v>
      </c>
      <c r="U79" s="157">
        <v>0</v>
      </c>
      <c r="V79" t="e">
        <f>VLOOKUP(A79,'Projetos ciclo 2018-2022'!$I$8:$I$128,1,FALSE)</f>
        <v>#N/A</v>
      </c>
    </row>
    <row r="80" spans="1:22" x14ac:dyDescent="0.25">
      <c r="A80" s="149" t="s">
        <v>1459</v>
      </c>
      <c r="B80" s="150" t="s">
        <v>1460</v>
      </c>
      <c r="C80" s="150" t="s">
        <v>1461</v>
      </c>
      <c r="D80" s="151">
        <v>1815</v>
      </c>
      <c r="E80" s="152">
        <v>0</v>
      </c>
      <c r="F80" s="151">
        <v>1815</v>
      </c>
      <c r="G80" s="152">
        <v>0</v>
      </c>
      <c r="H80" s="151">
        <v>15</v>
      </c>
      <c r="I80" s="152">
        <v>0</v>
      </c>
      <c r="J80" s="151">
        <v>0</v>
      </c>
      <c r="K80" s="152">
        <v>0</v>
      </c>
      <c r="L80" s="151">
        <v>0</v>
      </c>
      <c r="M80" s="152">
        <v>0</v>
      </c>
      <c r="N80" s="151">
        <v>0</v>
      </c>
      <c r="O80" s="152">
        <v>0</v>
      </c>
      <c r="P80" s="151">
        <v>0</v>
      </c>
      <c r="Q80" s="152">
        <v>0</v>
      </c>
      <c r="R80" s="151">
        <v>0</v>
      </c>
      <c r="S80" s="152">
        <v>0</v>
      </c>
      <c r="T80" s="151">
        <v>0</v>
      </c>
      <c r="U80" s="153">
        <v>0</v>
      </c>
      <c r="V80" t="e">
        <f>VLOOKUP(A80,'Projetos ciclo 2018-2022'!$I$8:$I$128,1,FALSE)</f>
        <v>#N/A</v>
      </c>
    </row>
    <row r="81" spans="1:22" x14ac:dyDescent="0.25">
      <c r="A81" s="21" t="s">
        <v>1253</v>
      </c>
      <c r="B81" s="154" t="s">
        <v>1254</v>
      </c>
      <c r="C81" s="154" t="s">
        <v>1255</v>
      </c>
      <c r="D81" s="155">
        <v>0</v>
      </c>
      <c r="E81" s="158">
        <v>0</v>
      </c>
      <c r="F81" s="155">
        <v>0</v>
      </c>
      <c r="G81" s="158">
        <v>5</v>
      </c>
      <c r="H81" s="155">
        <v>0</v>
      </c>
      <c r="I81" s="158">
        <v>4.3380299806594849</v>
      </c>
      <c r="J81" s="155">
        <v>0</v>
      </c>
      <c r="K81" s="158">
        <v>4.3380299806594849</v>
      </c>
      <c r="L81" s="155">
        <v>0</v>
      </c>
      <c r="M81" s="158">
        <v>4.3380299806594849</v>
      </c>
      <c r="N81" s="155">
        <v>0</v>
      </c>
      <c r="O81" s="158">
        <v>0</v>
      </c>
      <c r="P81" s="155">
        <v>0</v>
      </c>
      <c r="Q81" s="158">
        <v>0</v>
      </c>
      <c r="R81" s="155">
        <v>0</v>
      </c>
      <c r="S81" s="158">
        <v>0</v>
      </c>
      <c r="T81" s="155">
        <v>0</v>
      </c>
      <c r="U81" s="157">
        <v>0</v>
      </c>
      <c r="V81" t="str">
        <f>VLOOKUP(A81,'Projetos ciclo 2018-2022'!$I$8:$I$128,1,FALSE)</f>
        <v>MT00516</v>
      </c>
    </row>
    <row r="82" spans="1:22" x14ac:dyDescent="0.25">
      <c r="A82" s="149" t="s">
        <v>1256</v>
      </c>
      <c r="B82" s="150" t="s">
        <v>1257</v>
      </c>
      <c r="C82" s="150" t="s">
        <v>1258</v>
      </c>
      <c r="D82" s="151">
        <v>0</v>
      </c>
      <c r="E82" s="152">
        <v>0</v>
      </c>
      <c r="F82" s="151">
        <v>0</v>
      </c>
      <c r="G82" s="152">
        <v>1088</v>
      </c>
      <c r="H82" s="151">
        <v>0</v>
      </c>
      <c r="I82" s="152">
        <v>14.520000457763672</v>
      </c>
      <c r="J82" s="151">
        <v>0</v>
      </c>
      <c r="K82" s="152">
        <v>14.520000457763672</v>
      </c>
      <c r="L82" s="151">
        <v>149.60000228881836</v>
      </c>
      <c r="M82" s="152">
        <v>164.12000274658203</v>
      </c>
      <c r="N82" s="151">
        <v>0</v>
      </c>
      <c r="O82" s="152">
        <v>0</v>
      </c>
      <c r="P82" s="151">
        <v>0</v>
      </c>
      <c r="Q82" s="152">
        <v>0</v>
      </c>
      <c r="R82" s="151">
        <v>0</v>
      </c>
      <c r="S82" s="152">
        <v>0</v>
      </c>
      <c r="T82" s="151">
        <v>0</v>
      </c>
      <c r="U82" s="153">
        <v>0</v>
      </c>
      <c r="V82" t="str">
        <f>VLOOKUP(A82,'Projetos ciclo 2018-2022'!$I$8:$I$128,1,FALSE)</f>
        <v>MT01017</v>
      </c>
    </row>
    <row r="83" spans="1:22" x14ac:dyDescent="0.25">
      <c r="A83" s="21" t="s">
        <v>565</v>
      </c>
      <c r="B83" s="154" t="s">
        <v>1259</v>
      </c>
      <c r="C83" s="154" t="s">
        <v>59</v>
      </c>
      <c r="D83" s="155">
        <v>4823</v>
      </c>
      <c r="E83" s="158">
        <v>0</v>
      </c>
      <c r="F83" s="155">
        <v>0</v>
      </c>
      <c r="G83" s="158">
        <v>0</v>
      </c>
      <c r="H83" s="155">
        <v>0</v>
      </c>
      <c r="I83" s="158">
        <v>0</v>
      </c>
      <c r="J83" s="155">
        <v>0</v>
      </c>
      <c r="K83" s="158">
        <v>0</v>
      </c>
      <c r="L83" s="155">
        <v>0</v>
      </c>
      <c r="M83" s="158">
        <v>0</v>
      </c>
      <c r="N83" s="155">
        <v>1496</v>
      </c>
      <c r="O83" s="158">
        <v>777</v>
      </c>
      <c r="P83" s="155">
        <v>2550</v>
      </c>
      <c r="Q83" s="158">
        <v>0</v>
      </c>
      <c r="R83" s="155">
        <v>0</v>
      </c>
      <c r="S83" s="158">
        <v>0</v>
      </c>
      <c r="T83" s="155">
        <v>0</v>
      </c>
      <c r="U83" s="157">
        <v>0</v>
      </c>
      <c r="V83" t="str">
        <f>VLOOKUP(A83,'Projetos ciclo 2018-2022'!$I$8:$I$128,1,FALSE)</f>
        <v>NA</v>
      </c>
    </row>
    <row r="84" spans="1:22" x14ac:dyDescent="0.25">
      <c r="A84" s="149" t="s">
        <v>1260</v>
      </c>
      <c r="B84" s="150" t="s">
        <v>1261</v>
      </c>
      <c r="C84" s="150" t="s">
        <v>1262</v>
      </c>
      <c r="D84" s="151">
        <v>0</v>
      </c>
      <c r="E84" s="152">
        <v>0</v>
      </c>
      <c r="F84" s="151">
        <v>0</v>
      </c>
      <c r="G84" s="152">
        <v>715</v>
      </c>
      <c r="H84" s="151">
        <v>0</v>
      </c>
      <c r="I84" s="152">
        <v>35</v>
      </c>
      <c r="J84" s="151">
        <v>0</v>
      </c>
      <c r="K84" s="152">
        <v>35</v>
      </c>
      <c r="L84" s="151">
        <v>615.38199663162231</v>
      </c>
      <c r="M84" s="152">
        <v>650.38199663162231</v>
      </c>
      <c r="N84" s="151">
        <v>0</v>
      </c>
      <c r="O84" s="152">
        <v>0</v>
      </c>
      <c r="P84" s="151">
        <v>0</v>
      </c>
      <c r="Q84" s="152">
        <v>0</v>
      </c>
      <c r="R84" s="151">
        <v>0</v>
      </c>
      <c r="S84" s="152">
        <v>0</v>
      </c>
      <c r="T84" s="151">
        <v>0</v>
      </c>
      <c r="U84" s="153">
        <v>0</v>
      </c>
      <c r="V84" t="str">
        <f>VLOOKUP(A84,'Projetos ciclo 2018-2022'!$I$8:$I$128,1,FALSE)</f>
        <v>PO00417</v>
      </c>
    </row>
    <row r="85" spans="1:22" x14ac:dyDescent="0.25">
      <c r="A85" s="21" t="s">
        <v>1199</v>
      </c>
      <c r="B85" s="154" t="s">
        <v>1200</v>
      </c>
      <c r="C85" s="154" t="s">
        <v>59</v>
      </c>
      <c r="D85" s="155">
        <v>9.9920072216264089E-16</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c r="V85" t="e">
        <f>VLOOKUP(A85,'Projetos ciclo 2018-2022'!$I$8:$I$128,1,FALSE)</f>
        <v>#N/A</v>
      </c>
    </row>
    <row r="86" spans="1:22" x14ac:dyDescent="0.25">
      <c r="A86" s="149" t="s">
        <v>1263</v>
      </c>
      <c r="B86" s="150" t="s">
        <v>1264</v>
      </c>
      <c r="C86" s="150" t="s">
        <v>1265</v>
      </c>
      <c r="D86" s="151">
        <v>0</v>
      </c>
      <c r="E86" s="152">
        <v>0</v>
      </c>
      <c r="F86" s="151">
        <v>0</v>
      </c>
      <c r="G86" s="152">
        <v>0</v>
      </c>
      <c r="H86" s="151">
        <v>0</v>
      </c>
      <c r="I86" s="152">
        <v>0</v>
      </c>
      <c r="J86" s="151">
        <v>0</v>
      </c>
      <c r="K86" s="152">
        <v>0</v>
      </c>
      <c r="L86" s="151">
        <v>0</v>
      </c>
      <c r="M86" s="152">
        <v>0</v>
      </c>
      <c r="N86" s="151">
        <v>0</v>
      </c>
      <c r="O86" s="152">
        <v>0</v>
      </c>
      <c r="P86" s="151">
        <v>0</v>
      </c>
      <c r="Q86" s="152">
        <v>0</v>
      </c>
      <c r="R86" s="151">
        <v>0</v>
      </c>
      <c r="S86" s="152">
        <v>0</v>
      </c>
      <c r="T86" s="151">
        <v>0</v>
      </c>
      <c r="U86" s="153">
        <v>0</v>
      </c>
      <c r="V86" t="e">
        <f>VLOOKUP(A86,'Projetos ciclo 2018-2022'!$I$8:$I$128,1,FALSE)</f>
        <v>#N/A</v>
      </c>
    </row>
    <row r="87" spans="1:22" x14ac:dyDescent="0.25">
      <c r="A87" s="21" t="s">
        <v>1266</v>
      </c>
      <c r="B87" s="154" t="s">
        <v>1267</v>
      </c>
      <c r="C87" s="154" t="s">
        <v>1268</v>
      </c>
      <c r="D87" s="155">
        <v>0</v>
      </c>
      <c r="E87" s="158">
        <v>0</v>
      </c>
      <c r="F87" s="155">
        <v>0</v>
      </c>
      <c r="G87" s="158">
        <v>0</v>
      </c>
      <c r="H87" s="155">
        <v>0</v>
      </c>
      <c r="I87" s="158">
        <v>0</v>
      </c>
      <c r="J87" s="155">
        <v>0</v>
      </c>
      <c r="K87" s="158">
        <v>0</v>
      </c>
      <c r="L87" s="155">
        <v>0</v>
      </c>
      <c r="M87" s="158">
        <v>0</v>
      </c>
      <c r="N87" s="155">
        <v>0</v>
      </c>
      <c r="O87" s="158">
        <v>0</v>
      </c>
      <c r="P87" s="155">
        <v>0</v>
      </c>
      <c r="Q87" s="158">
        <v>0</v>
      </c>
      <c r="R87" s="155">
        <v>0</v>
      </c>
      <c r="S87" s="158">
        <v>0</v>
      </c>
      <c r="T87" s="155">
        <v>0</v>
      </c>
      <c r="U87" s="157">
        <v>0</v>
      </c>
      <c r="V87" t="e">
        <f>VLOOKUP(A87,'Projetos ciclo 2018-2022'!$I$8:$I$128,1,FALSE)</f>
        <v>#N/A</v>
      </c>
    </row>
    <row r="88" spans="1:22" x14ac:dyDescent="0.25">
      <c r="A88" s="149" t="s">
        <v>1269</v>
      </c>
      <c r="B88" s="150" t="s">
        <v>1270</v>
      </c>
      <c r="C88" s="150" t="s">
        <v>1271</v>
      </c>
      <c r="D88" s="151">
        <v>0</v>
      </c>
      <c r="E88" s="152">
        <v>0</v>
      </c>
      <c r="F88" s="151">
        <v>0</v>
      </c>
      <c r="G88" s="152">
        <v>0</v>
      </c>
      <c r="H88" s="151">
        <v>0</v>
      </c>
      <c r="I88" s="152">
        <v>0</v>
      </c>
      <c r="J88" s="151">
        <v>0</v>
      </c>
      <c r="K88" s="152">
        <v>0</v>
      </c>
      <c r="L88" s="151">
        <v>0</v>
      </c>
      <c r="M88" s="152">
        <v>0</v>
      </c>
      <c r="N88" s="151">
        <v>0</v>
      </c>
      <c r="O88" s="152">
        <v>0</v>
      </c>
      <c r="P88" s="151">
        <v>0</v>
      </c>
      <c r="Q88" s="152">
        <v>0</v>
      </c>
      <c r="R88" s="151">
        <v>0</v>
      </c>
      <c r="S88" s="152">
        <v>0</v>
      </c>
      <c r="T88" s="151">
        <v>0</v>
      </c>
      <c r="U88" s="153">
        <v>0</v>
      </c>
      <c r="V88" t="e">
        <f>VLOOKUP(A88,'Projetos ciclo 2018-2022'!$I$8:$I$128,1,FALSE)</f>
        <v>#N/A</v>
      </c>
    </row>
    <row r="89" spans="1:22" x14ac:dyDescent="0.25">
      <c r="A89" s="21" t="s">
        <v>1272</v>
      </c>
      <c r="B89" s="154" t="s">
        <v>1273</v>
      </c>
      <c r="C89" s="154" t="s">
        <v>1274</v>
      </c>
      <c r="D89" s="155">
        <v>0</v>
      </c>
      <c r="E89" s="158">
        <v>0</v>
      </c>
      <c r="F89" s="155">
        <v>0</v>
      </c>
      <c r="G89" s="158">
        <v>0</v>
      </c>
      <c r="H89" s="155">
        <v>0</v>
      </c>
      <c r="I89" s="158">
        <v>0</v>
      </c>
      <c r="J89" s="155">
        <v>0</v>
      </c>
      <c r="K89" s="158">
        <v>0</v>
      </c>
      <c r="L89" s="155">
        <v>0</v>
      </c>
      <c r="M89" s="158">
        <v>0</v>
      </c>
      <c r="N89" s="155">
        <v>0</v>
      </c>
      <c r="O89" s="158">
        <v>0</v>
      </c>
      <c r="P89" s="155">
        <v>0</v>
      </c>
      <c r="Q89" s="158">
        <v>0</v>
      </c>
      <c r="R89" s="155">
        <v>0</v>
      </c>
      <c r="S89" s="158">
        <v>0</v>
      </c>
      <c r="T89" s="155">
        <v>0</v>
      </c>
      <c r="U89" s="157">
        <v>0</v>
      </c>
      <c r="V89" t="e">
        <f>VLOOKUP(A89,'Projetos ciclo 2018-2022'!$I$8:$I$128,1,FALSE)</f>
        <v>#N/A</v>
      </c>
    </row>
    <row r="90" spans="1:22" x14ac:dyDescent="0.25">
      <c r="A90" s="149" t="s">
        <v>1275</v>
      </c>
      <c r="B90" s="150" t="s">
        <v>1276</v>
      </c>
      <c r="C90" s="150" t="s">
        <v>1277</v>
      </c>
      <c r="D90" s="151">
        <v>0</v>
      </c>
      <c r="E90" s="152">
        <v>0</v>
      </c>
      <c r="F90" s="151">
        <v>0</v>
      </c>
      <c r="G90" s="152">
        <v>0</v>
      </c>
      <c r="H90" s="151">
        <v>0</v>
      </c>
      <c r="I90" s="152">
        <v>0</v>
      </c>
      <c r="J90" s="151">
        <v>0</v>
      </c>
      <c r="K90" s="152">
        <v>0</v>
      </c>
      <c r="L90" s="151">
        <v>0</v>
      </c>
      <c r="M90" s="152">
        <v>0</v>
      </c>
      <c r="N90" s="151">
        <v>0</v>
      </c>
      <c r="O90" s="152">
        <v>0</v>
      </c>
      <c r="P90" s="151">
        <v>0</v>
      </c>
      <c r="Q90" s="152">
        <v>0</v>
      </c>
      <c r="R90" s="151">
        <v>0</v>
      </c>
      <c r="S90" s="152">
        <v>0</v>
      </c>
      <c r="T90" s="151">
        <v>0</v>
      </c>
      <c r="U90" s="153">
        <v>0</v>
      </c>
      <c r="V90" t="e">
        <f>VLOOKUP(A90,'Projetos ciclo 2018-2022'!$I$8:$I$128,1,FALSE)</f>
        <v>#N/A</v>
      </c>
    </row>
    <row r="91" spans="1:22" x14ac:dyDescent="0.25">
      <c r="A91" s="21" t="s">
        <v>1278</v>
      </c>
      <c r="B91" s="154" t="s">
        <v>1279</v>
      </c>
      <c r="C91" s="154" t="s">
        <v>1280</v>
      </c>
      <c r="D91" s="155">
        <v>0</v>
      </c>
      <c r="E91" s="158">
        <v>0</v>
      </c>
      <c r="F91" s="155">
        <v>0</v>
      </c>
      <c r="G91" s="158">
        <v>0</v>
      </c>
      <c r="H91" s="155">
        <v>0</v>
      </c>
      <c r="I91" s="158">
        <v>0</v>
      </c>
      <c r="J91" s="155">
        <v>0</v>
      </c>
      <c r="K91" s="158">
        <v>0</v>
      </c>
      <c r="L91" s="155">
        <v>0</v>
      </c>
      <c r="M91" s="158">
        <v>0</v>
      </c>
      <c r="N91" s="155">
        <v>0</v>
      </c>
      <c r="O91" s="158">
        <v>0</v>
      </c>
      <c r="P91" s="155">
        <v>0</v>
      </c>
      <c r="Q91" s="158">
        <v>0</v>
      </c>
      <c r="R91" s="155">
        <v>0</v>
      </c>
      <c r="S91" s="158">
        <v>0</v>
      </c>
      <c r="T91" s="155">
        <v>0</v>
      </c>
      <c r="U91" s="157">
        <v>0</v>
      </c>
      <c r="V91" t="e">
        <f>VLOOKUP(A91,'Projetos ciclo 2018-2022'!$I$8:$I$128,1,FALSE)</f>
        <v>#N/A</v>
      </c>
    </row>
    <row r="92" spans="1:22" x14ac:dyDescent="0.25">
      <c r="A92" s="149" t="s">
        <v>1281</v>
      </c>
      <c r="B92" s="150" t="s">
        <v>1282</v>
      </c>
      <c r="C92" s="150" t="s">
        <v>1283</v>
      </c>
      <c r="D92" s="151">
        <v>0</v>
      </c>
      <c r="E92" s="152">
        <v>0</v>
      </c>
      <c r="F92" s="151">
        <v>0</v>
      </c>
      <c r="G92" s="152">
        <v>0</v>
      </c>
      <c r="H92" s="151">
        <v>0</v>
      </c>
      <c r="I92" s="152">
        <v>0</v>
      </c>
      <c r="J92" s="151">
        <v>0</v>
      </c>
      <c r="K92" s="152">
        <v>0</v>
      </c>
      <c r="L92" s="151">
        <v>0</v>
      </c>
      <c r="M92" s="152">
        <v>0</v>
      </c>
      <c r="N92" s="151">
        <v>0</v>
      </c>
      <c r="O92" s="152">
        <v>0</v>
      </c>
      <c r="P92" s="151">
        <v>0</v>
      </c>
      <c r="Q92" s="152">
        <v>0</v>
      </c>
      <c r="R92" s="151">
        <v>0</v>
      </c>
      <c r="S92" s="152">
        <v>0</v>
      </c>
      <c r="T92" s="151">
        <v>0</v>
      </c>
      <c r="U92" s="153">
        <v>0</v>
      </c>
      <c r="V92" t="e">
        <f>VLOOKUP(A92,'Projetos ciclo 2018-2022'!$I$8:$I$128,1,FALSE)</f>
        <v>#N/A</v>
      </c>
    </row>
    <row r="93" spans="1:22" x14ac:dyDescent="0.25">
      <c r="A93" s="21" t="s">
        <v>1284</v>
      </c>
      <c r="B93" s="154" t="s">
        <v>1285</v>
      </c>
      <c r="C93" s="154" t="s">
        <v>1286</v>
      </c>
      <c r="D93" s="155">
        <v>0</v>
      </c>
      <c r="E93" s="158">
        <v>0</v>
      </c>
      <c r="F93" s="155">
        <v>0</v>
      </c>
      <c r="G93" s="158">
        <v>0</v>
      </c>
      <c r="H93" s="155">
        <v>0</v>
      </c>
      <c r="I93" s="158">
        <v>0</v>
      </c>
      <c r="J93" s="155">
        <v>0</v>
      </c>
      <c r="K93" s="158">
        <v>0</v>
      </c>
      <c r="L93" s="155">
        <v>0</v>
      </c>
      <c r="M93" s="158">
        <v>0</v>
      </c>
      <c r="N93" s="155">
        <v>0</v>
      </c>
      <c r="O93" s="158">
        <v>0</v>
      </c>
      <c r="P93" s="155">
        <v>0</v>
      </c>
      <c r="Q93" s="158">
        <v>0</v>
      </c>
      <c r="R93" s="155">
        <v>0</v>
      </c>
      <c r="S93" s="158">
        <v>0</v>
      </c>
      <c r="T93" s="155">
        <v>0</v>
      </c>
      <c r="U93" s="157">
        <v>0</v>
      </c>
      <c r="V93" t="e">
        <f>VLOOKUP(A93,'Projetos ciclo 2018-2022'!$I$8:$I$128,1,FALSE)</f>
        <v>#N/A</v>
      </c>
    </row>
    <row r="94" spans="1:22" x14ac:dyDescent="0.25">
      <c r="A94" s="149" t="s">
        <v>1194</v>
      </c>
      <c r="B94" s="150" t="s">
        <v>1287</v>
      </c>
      <c r="C94" s="150" t="s">
        <v>59</v>
      </c>
      <c r="D94" s="151">
        <v>0</v>
      </c>
      <c r="E94" s="152">
        <v>0</v>
      </c>
      <c r="F94" s="151">
        <v>0</v>
      </c>
      <c r="G94" s="152">
        <v>0</v>
      </c>
      <c r="H94" s="151">
        <v>0</v>
      </c>
      <c r="I94" s="152">
        <v>0</v>
      </c>
      <c r="J94" s="151">
        <v>0</v>
      </c>
      <c r="K94" s="152">
        <v>0</v>
      </c>
      <c r="L94" s="151">
        <v>0</v>
      </c>
      <c r="M94" s="152">
        <v>0</v>
      </c>
      <c r="N94" s="151">
        <v>0</v>
      </c>
      <c r="O94" s="152">
        <v>0</v>
      </c>
      <c r="P94" s="151">
        <v>0</v>
      </c>
      <c r="Q94" s="152">
        <v>0</v>
      </c>
      <c r="R94" s="151">
        <v>0</v>
      </c>
      <c r="S94" s="152">
        <v>0</v>
      </c>
      <c r="T94" s="151">
        <v>0</v>
      </c>
      <c r="U94" s="153">
        <v>0</v>
      </c>
      <c r="V94" t="e">
        <f>VLOOKUP(A94,'Projetos ciclo 2018-2022'!$I$8:$I$128,1,FALSE)</f>
        <v>#N/A</v>
      </c>
    </row>
    <row r="95" spans="1:22" x14ac:dyDescent="0.25">
      <c r="A95" s="21" t="s">
        <v>1288</v>
      </c>
      <c r="B95" s="154" t="s">
        <v>1289</v>
      </c>
      <c r="C95" s="154" t="s">
        <v>1290</v>
      </c>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c r="V95" t="e">
        <f>VLOOKUP(A95,'Projetos ciclo 2018-2022'!$I$8:$I$128,1,FALSE)</f>
        <v>#N/A</v>
      </c>
    </row>
    <row r="96" spans="1:22" x14ac:dyDescent="0.25">
      <c r="A96" s="149" t="s">
        <v>1291</v>
      </c>
      <c r="B96" s="150" t="s">
        <v>1292</v>
      </c>
      <c r="C96" s="150" t="s">
        <v>1293</v>
      </c>
      <c r="D96" s="151">
        <v>0</v>
      </c>
      <c r="E96" s="152">
        <v>0</v>
      </c>
      <c r="F96" s="151">
        <v>0</v>
      </c>
      <c r="G96" s="152">
        <v>13</v>
      </c>
      <c r="H96" s="151">
        <v>0</v>
      </c>
      <c r="I96" s="152">
        <v>11.104649901390076</v>
      </c>
      <c r="J96" s="151">
        <v>0</v>
      </c>
      <c r="K96" s="152">
        <v>11.104649901390076</v>
      </c>
      <c r="L96" s="151">
        <v>0</v>
      </c>
      <c r="M96" s="152">
        <v>11.104649901390076</v>
      </c>
      <c r="N96" s="151">
        <v>0</v>
      </c>
      <c r="O96" s="152">
        <v>0</v>
      </c>
      <c r="P96" s="151">
        <v>0</v>
      </c>
      <c r="Q96" s="152">
        <v>0</v>
      </c>
      <c r="R96" s="151">
        <v>0</v>
      </c>
      <c r="S96" s="152">
        <v>0</v>
      </c>
      <c r="T96" s="151">
        <v>0</v>
      </c>
      <c r="U96" s="153">
        <v>0</v>
      </c>
      <c r="V96" t="str">
        <f>VLOOKUP(A96,'Projetos ciclo 2018-2022'!$I$8:$I$128,1,FALSE)</f>
        <v>CD00315</v>
      </c>
    </row>
    <row r="97" spans="1:22" x14ac:dyDescent="0.25">
      <c r="A97" s="21" t="s">
        <v>1196</v>
      </c>
      <c r="B97" s="154" t="s">
        <v>1197</v>
      </c>
      <c r="C97" s="154" t="s">
        <v>59</v>
      </c>
      <c r="D97" s="155">
        <v>0</v>
      </c>
      <c r="E97" s="158">
        <v>0</v>
      </c>
      <c r="F97" s="155">
        <v>0</v>
      </c>
      <c r="G97" s="158">
        <v>0</v>
      </c>
      <c r="H97" s="155">
        <v>0</v>
      </c>
      <c r="I97" s="158">
        <v>0</v>
      </c>
      <c r="J97" s="155">
        <v>0</v>
      </c>
      <c r="K97" s="158">
        <v>0</v>
      </c>
      <c r="L97" s="155">
        <v>0</v>
      </c>
      <c r="M97" s="158">
        <v>0</v>
      </c>
      <c r="N97" s="155">
        <v>0</v>
      </c>
      <c r="O97" s="158">
        <v>0</v>
      </c>
      <c r="P97" s="155">
        <v>0</v>
      </c>
      <c r="Q97" s="158">
        <v>0</v>
      </c>
      <c r="R97" s="155">
        <v>0</v>
      </c>
      <c r="S97" s="158">
        <v>0</v>
      </c>
      <c r="T97" s="155">
        <v>0</v>
      </c>
      <c r="U97" s="157">
        <v>0</v>
      </c>
      <c r="V97" t="e">
        <f>VLOOKUP(A97,'Projetos ciclo 2018-2022'!$I$8:$I$128,1,FALSE)</f>
        <v>#N/A</v>
      </c>
    </row>
    <row r="98" spans="1:22" x14ac:dyDescent="0.25">
      <c r="A98" s="149" t="s">
        <v>1294</v>
      </c>
      <c r="B98" s="150" t="s">
        <v>1295</v>
      </c>
      <c r="C98" s="150" t="s">
        <v>1296</v>
      </c>
      <c r="D98" s="151">
        <v>2417</v>
      </c>
      <c r="E98" s="152">
        <v>0</v>
      </c>
      <c r="F98" s="151">
        <v>2417</v>
      </c>
      <c r="G98" s="152">
        <v>0</v>
      </c>
      <c r="H98" s="151">
        <v>13</v>
      </c>
      <c r="I98" s="152">
        <v>0</v>
      </c>
      <c r="J98" s="151">
        <v>0</v>
      </c>
      <c r="K98" s="152">
        <v>0</v>
      </c>
      <c r="L98" s="151">
        <v>0</v>
      </c>
      <c r="M98" s="152">
        <v>0</v>
      </c>
      <c r="N98" s="151">
        <v>0</v>
      </c>
      <c r="O98" s="152">
        <v>0</v>
      </c>
      <c r="P98" s="151">
        <v>0</v>
      </c>
      <c r="Q98" s="152">
        <v>0</v>
      </c>
      <c r="R98" s="151">
        <v>0</v>
      </c>
      <c r="S98" s="152">
        <v>0</v>
      </c>
      <c r="T98" s="151">
        <v>0</v>
      </c>
      <c r="U98" s="153">
        <v>0</v>
      </c>
      <c r="V98" t="e">
        <f>VLOOKUP(A98,'Projetos ciclo 2018-2022'!$I$8:$I$128,1,FALSE)</f>
        <v>#N/A</v>
      </c>
    </row>
    <row r="99" spans="1:22" x14ac:dyDescent="0.25">
      <c r="A99" s="21" t="s">
        <v>565</v>
      </c>
      <c r="B99" s="154" t="s">
        <v>1198</v>
      </c>
      <c r="C99" s="154" t="s">
        <v>59</v>
      </c>
      <c r="D99" s="155">
        <v>11667</v>
      </c>
      <c r="E99" s="158">
        <v>0</v>
      </c>
      <c r="F99" s="155">
        <v>0</v>
      </c>
      <c r="G99" s="158">
        <v>0</v>
      </c>
      <c r="H99" s="155">
        <v>0</v>
      </c>
      <c r="I99" s="158">
        <v>0</v>
      </c>
      <c r="J99" s="155">
        <v>0</v>
      </c>
      <c r="K99" s="158">
        <v>0</v>
      </c>
      <c r="L99" s="155">
        <v>0</v>
      </c>
      <c r="M99" s="158">
        <v>0</v>
      </c>
      <c r="N99" s="155">
        <v>2235</v>
      </c>
      <c r="O99" s="158">
        <v>3005</v>
      </c>
      <c r="P99" s="155">
        <v>3898</v>
      </c>
      <c r="Q99" s="158">
        <v>2529</v>
      </c>
      <c r="R99" s="155">
        <v>0</v>
      </c>
      <c r="S99" s="158">
        <v>0</v>
      </c>
      <c r="T99" s="155">
        <v>0</v>
      </c>
      <c r="U99" s="157">
        <v>0</v>
      </c>
      <c r="V99" t="str">
        <f>VLOOKUP(A99,'Projetos ciclo 2018-2022'!$I$8:$I$128,1,FALSE)</f>
        <v>NA</v>
      </c>
    </row>
    <row r="100" spans="1:22" x14ac:dyDescent="0.25">
      <c r="A100" s="149" t="s">
        <v>1199</v>
      </c>
      <c r="B100" s="150" t="s">
        <v>1200</v>
      </c>
      <c r="C100" s="150" t="s">
        <v>59</v>
      </c>
      <c r="D100" s="151">
        <v>0</v>
      </c>
      <c r="E100" s="152">
        <v>0</v>
      </c>
      <c r="F100" s="151">
        <v>0</v>
      </c>
      <c r="G100" s="152">
        <v>0</v>
      </c>
      <c r="H100" s="151">
        <v>0</v>
      </c>
      <c r="I100" s="152">
        <v>0</v>
      </c>
      <c r="J100" s="151">
        <v>0</v>
      </c>
      <c r="K100" s="152">
        <v>0</v>
      </c>
      <c r="L100" s="151">
        <v>0</v>
      </c>
      <c r="M100" s="152">
        <v>0</v>
      </c>
      <c r="N100" s="151">
        <v>0</v>
      </c>
      <c r="O100" s="152">
        <v>0</v>
      </c>
      <c r="P100" s="151">
        <v>0</v>
      </c>
      <c r="Q100" s="152">
        <v>0</v>
      </c>
      <c r="R100" s="151">
        <v>0</v>
      </c>
      <c r="S100" s="152">
        <v>0</v>
      </c>
      <c r="T100" s="151">
        <v>0</v>
      </c>
      <c r="U100" s="153">
        <v>0</v>
      </c>
      <c r="V100" t="e">
        <f>VLOOKUP(A100,'Projetos ciclo 2018-2022'!$I$8:$I$128,1,FALSE)</f>
        <v>#N/A</v>
      </c>
    </row>
    <row r="101" spans="1:22" x14ac:dyDescent="0.25">
      <c r="A101" s="21" t="s">
        <v>1194</v>
      </c>
      <c r="B101" s="154" t="s">
        <v>1195</v>
      </c>
      <c r="C101" s="154" t="s">
        <v>59</v>
      </c>
      <c r="D101" s="155">
        <v>0</v>
      </c>
      <c r="E101" s="158">
        <v>0</v>
      </c>
      <c r="F101" s="155">
        <v>0</v>
      </c>
      <c r="G101" s="158">
        <v>0</v>
      </c>
      <c r="H101" s="155">
        <v>0</v>
      </c>
      <c r="I101" s="158">
        <v>0</v>
      </c>
      <c r="J101" s="155">
        <v>0</v>
      </c>
      <c r="K101" s="158">
        <v>0</v>
      </c>
      <c r="L101" s="155">
        <v>0</v>
      </c>
      <c r="M101" s="158">
        <v>0</v>
      </c>
      <c r="N101" s="155">
        <v>0</v>
      </c>
      <c r="O101" s="158">
        <v>0</v>
      </c>
      <c r="P101" s="155">
        <v>0</v>
      </c>
      <c r="Q101" s="158">
        <v>0</v>
      </c>
      <c r="R101" s="155">
        <v>0</v>
      </c>
      <c r="S101" s="158">
        <v>0</v>
      </c>
      <c r="T101" s="155">
        <v>0</v>
      </c>
      <c r="U101" s="157">
        <v>0</v>
      </c>
      <c r="V101" t="e">
        <f>VLOOKUP(A101,'Projetos ciclo 2018-2022'!$I$8:$I$128,1,FALSE)</f>
        <v>#N/A</v>
      </c>
    </row>
    <row r="102" spans="1:22" x14ac:dyDescent="0.25">
      <c r="A102" s="149" t="s">
        <v>1297</v>
      </c>
      <c r="B102" s="150" t="s">
        <v>1298</v>
      </c>
      <c r="C102" s="150" t="s">
        <v>1299</v>
      </c>
      <c r="D102" s="151">
        <v>0</v>
      </c>
      <c r="E102" s="152">
        <v>0</v>
      </c>
      <c r="F102" s="151">
        <v>0</v>
      </c>
      <c r="G102" s="152">
        <v>0</v>
      </c>
      <c r="H102" s="151">
        <v>0</v>
      </c>
      <c r="I102" s="152">
        <v>0</v>
      </c>
      <c r="J102" s="151">
        <v>0</v>
      </c>
      <c r="K102" s="152">
        <v>0</v>
      </c>
      <c r="L102" s="151">
        <v>0</v>
      </c>
      <c r="M102" s="152">
        <v>0</v>
      </c>
      <c r="N102" s="151">
        <v>0</v>
      </c>
      <c r="O102" s="152">
        <v>0</v>
      </c>
      <c r="P102" s="151">
        <v>0</v>
      </c>
      <c r="Q102" s="152">
        <v>0</v>
      </c>
      <c r="R102" s="151">
        <v>0</v>
      </c>
      <c r="S102" s="152">
        <v>0</v>
      </c>
      <c r="T102" s="151">
        <v>0</v>
      </c>
      <c r="U102" s="153">
        <v>0</v>
      </c>
      <c r="V102" t="e">
        <f>VLOOKUP(A102,'Projetos ciclo 2018-2022'!$I$8:$I$128,1,FALSE)</f>
        <v>#N/A</v>
      </c>
    </row>
    <row r="103" spans="1:22" x14ac:dyDescent="0.25">
      <c r="A103" s="21" t="s">
        <v>1157</v>
      </c>
      <c r="B103" s="154" t="s">
        <v>1300</v>
      </c>
      <c r="C103" s="154" t="s">
        <v>1158</v>
      </c>
      <c r="D103" s="155">
        <v>0</v>
      </c>
      <c r="E103" s="158">
        <v>0</v>
      </c>
      <c r="F103" s="155">
        <v>0</v>
      </c>
      <c r="G103" s="158">
        <v>56</v>
      </c>
      <c r="H103" s="155">
        <v>0</v>
      </c>
      <c r="I103" s="158">
        <v>54.296999216079712</v>
      </c>
      <c r="J103" s="155">
        <v>0</v>
      </c>
      <c r="K103" s="158">
        <v>54.296999216079712</v>
      </c>
      <c r="L103" s="155">
        <v>0</v>
      </c>
      <c r="M103" s="158">
        <v>54.296999216079712</v>
      </c>
      <c r="N103" s="155">
        <v>0</v>
      </c>
      <c r="O103" s="158">
        <v>0</v>
      </c>
      <c r="P103" s="155">
        <v>0</v>
      </c>
      <c r="Q103" s="158">
        <v>0</v>
      </c>
      <c r="R103" s="155">
        <v>0</v>
      </c>
      <c r="S103" s="158">
        <v>0</v>
      </c>
      <c r="T103" s="155">
        <v>0</v>
      </c>
      <c r="U103" s="157">
        <v>0</v>
      </c>
      <c r="V103" t="e">
        <f>VLOOKUP(A103,'Projetos ciclo 2018-2022'!$I$8:$I$128,1,FALSE)</f>
        <v>#N/A</v>
      </c>
    </row>
    <row r="104" spans="1:22" x14ac:dyDescent="0.25">
      <c r="A104" s="149" t="s">
        <v>1196</v>
      </c>
      <c r="B104" s="150" t="s">
        <v>1197</v>
      </c>
      <c r="C104" s="150" t="s">
        <v>59</v>
      </c>
      <c r="D104" s="151">
        <v>0</v>
      </c>
      <c r="E104" s="152">
        <v>0</v>
      </c>
      <c r="F104" s="151">
        <v>0</v>
      </c>
      <c r="G104" s="152">
        <v>0</v>
      </c>
      <c r="H104" s="151">
        <v>0</v>
      </c>
      <c r="I104" s="152">
        <v>0</v>
      </c>
      <c r="J104" s="151">
        <v>0</v>
      </c>
      <c r="K104" s="152">
        <v>0</v>
      </c>
      <c r="L104" s="151">
        <v>0</v>
      </c>
      <c r="M104" s="152">
        <v>0</v>
      </c>
      <c r="N104" s="151">
        <v>0</v>
      </c>
      <c r="O104" s="152">
        <v>0</v>
      </c>
      <c r="P104" s="151">
        <v>0</v>
      </c>
      <c r="Q104" s="152">
        <v>0</v>
      </c>
      <c r="R104" s="151">
        <v>0</v>
      </c>
      <c r="S104" s="152">
        <v>0</v>
      </c>
      <c r="T104" s="151">
        <v>0</v>
      </c>
      <c r="U104" s="153">
        <v>0</v>
      </c>
      <c r="V104" t="e">
        <f>VLOOKUP(A104,'Projetos ciclo 2018-2022'!$I$8:$I$128,1,FALSE)</f>
        <v>#N/A</v>
      </c>
    </row>
    <row r="105" spans="1:22" x14ac:dyDescent="0.25">
      <c r="A105" s="21" t="s">
        <v>1161</v>
      </c>
      <c r="B105" s="154" t="s">
        <v>1301</v>
      </c>
      <c r="C105" s="154" t="s">
        <v>1302</v>
      </c>
      <c r="D105" s="155">
        <v>0</v>
      </c>
      <c r="E105" s="158">
        <v>0</v>
      </c>
      <c r="F105" s="155">
        <v>0</v>
      </c>
      <c r="G105" s="158">
        <v>2</v>
      </c>
      <c r="H105" s="155">
        <v>0</v>
      </c>
      <c r="I105" s="158">
        <v>1.7749999761581421</v>
      </c>
      <c r="J105" s="155">
        <v>0</v>
      </c>
      <c r="K105" s="158">
        <v>1.7749999761581421</v>
      </c>
      <c r="L105" s="155">
        <v>0</v>
      </c>
      <c r="M105" s="158">
        <v>1.7749999761581421</v>
      </c>
      <c r="N105" s="155">
        <v>0</v>
      </c>
      <c r="O105" s="158">
        <v>0</v>
      </c>
      <c r="P105" s="155">
        <v>0</v>
      </c>
      <c r="Q105" s="158">
        <v>0</v>
      </c>
      <c r="R105" s="155">
        <v>0</v>
      </c>
      <c r="S105" s="158">
        <v>0</v>
      </c>
      <c r="T105" s="155">
        <v>0</v>
      </c>
      <c r="U105" s="157">
        <v>0</v>
      </c>
      <c r="V105" t="e">
        <f>VLOOKUP(A105,'Projetos ciclo 2018-2022'!$I$8:$I$128,1,FALSE)</f>
        <v>#N/A</v>
      </c>
    </row>
    <row r="106" spans="1:22" x14ac:dyDescent="0.25">
      <c r="A106" s="149" t="s">
        <v>1303</v>
      </c>
      <c r="B106" s="150" t="s">
        <v>1304</v>
      </c>
      <c r="C106" s="150" t="s">
        <v>1517</v>
      </c>
      <c r="D106" s="151">
        <v>6469</v>
      </c>
      <c r="E106" s="152">
        <v>0</v>
      </c>
      <c r="F106" s="151">
        <v>6259</v>
      </c>
      <c r="G106" s="152">
        <v>0</v>
      </c>
      <c r="H106" s="151">
        <v>56</v>
      </c>
      <c r="I106" s="152">
        <v>0</v>
      </c>
      <c r="J106" s="151">
        <v>0</v>
      </c>
      <c r="K106" s="152">
        <v>0</v>
      </c>
      <c r="L106" s="151">
        <v>0</v>
      </c>
      <c r="M106" s="152">
        <v>0</v>
      </c>
      <c r="N106" s="151">
        <v>210</v>
      </c>
      <c r="O106" s="152">
        <v>0</v>
      </c>
      <c r="P106" s="151">
        <v>0</v>
      </c>
      <c r="Q106" s="152">
        <v>0</v>
      </c>
      <c r="R106" s="151">
        <v>0</v>
      </c>
      <c r="S106" s="152">
        <v>0</v>
      </c>
      <c r="T106" s="151">
        <v>0</v>
      </c>
      <c r="U106" s="153">
        <v>0</v>
      </c>
      <c r="V106" t="e">
        <f>VLOOKUP(A106,'Projetos ciclo 2018-2022'!$I$8:$I$128,1,FALSE)</f>
        <v>#N/A</v>
      </c>
    </row>
    <row r="107" spans="1:22" x14ac:dyDescent="0.25">
      <c r="A107" s="21" t="s">
        <v>565</v>
      </c>
      <c r="B107" s="154" t="s">
        <v>1198</v>
      </c>
      <c r="C107" s="154" t="s">
        <v>59</v>
      </c>
      <c r="D107" s="155">
        <v>33982</v>
      </c>
      <c r="E107" s="158">
        <v>0</v>
      </c>
      <c r="F107" s="155">
        <v>0</v>
      </c>
      <c r="G107" s="158">
        <v>0</v>
      </c>
      <c r="H107" s="155">
        <v>0</v>
      </c>
      <c r="I107" s="158">
        <v>0</v>
      </c>
      <c r="J107" s="155">
        <v>0</v>
      </c>
      <c r="K107" s="158">
        <v>0</v>
      </c>
      <c r="L107" s="155">
        <v>0</v>
      </c>
      <c r="M107" s="158">
        <v>0</v>
      </c>
      <c r="N107" s="155">
        <v>8493</v>
      </c>
      <c r="O107" s="158">
        <v>9836</v>
      </c>
      <c r="P107" s="155">
        <v>9596</v>
      </c>
      <c r="Q107" s="158">
        <v>6057</v>
      </c>
      <c r="R107" s="155">
        <v>0</v>
      </c>
      <c r="S107" s="158">
        <v>0</v>
      </c>
      <c r="T107" s="155">
        <v>0</v>
      </c>
      <c r="U107" s="157">
        <v>0</v>
      </c>
      <c r="V107" t="str">
        <f>VLOOKUP(A107,'Projetos ciclo 2018-2022'!$I$8:$I$128,1,FALSE)</f>
        <v>NA</v>
      </c>
    </row>
    <row r="108" spans="1:22" x14ac:dyDescent="0.25">
      <c r="A108" s="149" t="s">
        <v>1518</v>
      </c>
      <c r="B108" s="150" t="s">
        <v>1519</v>
      </c>
      <c r="C108" s="150" t="s">
        <v>1520</v>
      </c>
      <c r="D108" s="151">
        <v>0</v>
      </c>
      <c r="E108" s="152">
        <v>0</v>
      </c>
      <c r="F108" s="151">
        <v>0</v>
      </c>
      <c r="G108" s="152">
        <v>743</v>
      </c>
      <c r="H108" s="151">
        <v>0</v>
      </c>
      <c r="I108" s="152">
        <v>0</v>
      </c>
      <c r="J108" s="151">
        <v>0</v>
      </c>
      <c r="K108" s="152">
        <v>0</v>
      </c>
      <c r="L108" s="151">
        <v>0</v>
      </c>
      <c r="M108" s="152">
        <v>0</v>
      </c>
      <c r="N108" s="151">
        <v>0</v>
      </c>
      <c r="O108" s="152">
        <v>0</v>
      </c>
      <c r="P108" s="151">
        <v>0</v>
      </c>
      <c r="Q108" s="152">
        <v>0</v>
      </c>
      <c r="R108" s="151">
        <v>0</v>
      </c>
      <c r="S108" s="152">
        <v>0</v>
      </c>
      <c r="T108" s="151">
        <v>0</v>
      </c>
      <c r="U108" s="153">
        <v>0</v>
      </c>
      <c r="V108" t="str">
        <f>VLOOKUP(A108,'Projetos ciclo 2018-2022'!$I$8:$I$128,1,FALSE)</f>
        <v>RH00118</v>
      </c>
    </row>
    <row r="109" spans="1:22" x14ac:dyDescent="0.25">
      <c r="A109" s="21" t="s">
        <v>1153</v>
      </c>
      <c r="B109" s="154" t="s">
        <v>472</v>
      </c>
      <c r="C109" s="154" t="s">
        <v>1306</v>
      </c>
      <c r="D109" s="155">
        <v>0</v>
      </c>
      <c r="E109" s="158">
        <v>0</v>
      </c>
      <c r="F109" s="155">
        <v>0</v>
      </c>
      <c r="G109" s="158">
        <v>250</v>
      </c>
      <c r="H109" s="155">
        <v>0</v>
      </c>
      <c r="I109" s="158">
        <v>0</v>
      </c>
      <c r="J109" s="155">
        <v>0</v>
      </c>
      <c r="K109" s="158">
        <v>0</v>
      </c>
      <c r="L109" s="155">
        <v>51.18402099609375</v>
      </c>
      <c r="M109" s="158">
        <v>51.18402099609375</v>
      </c>
      <c r="N109" s="155">
        <v>0</v>
      </c>
      <c r="O109" s="158">
        <v>0</v>
      </c>
      <c r="P109" s="155">
        <v>0</v>
      </c>
      <c r="Q109" s="158">
        <v>0</v>
      </c>
      <c r="R109" s="155">
        <v>0</v>
      </c>
      <c r="S109" s="158">
        <v>0</v>
      </c>
      <c r="T109" s="155">
        <v>0</v>
      </c>
      <c r="U109" s="157">
        <v>0</v>
      </c>
      <c r="V109" t="e">
        <f>VLOOKUP(A109,'Projetos ciclo 2018-2022'!$I$8:$I$128,1,FALSE)</f>
        <v>#N/A</v>
      </c>
    </row>
    <row r="110" spans="1:22" x14ac:dyDescent="0.25">
      <c r="A110" s="149" t="s">
        <v>1152</v>
      </c>
      <c r="B110" s="150" t="s">
        <v>1585</v>
      </c>
      <c r="C110" s="150" t="s">
        <v>1486</v>
      </c>
      <c r="D110" s="151">
        <v>0</v>
      </c>
      <c r="E110" s="152">
        <v>0</v>
      </c>
      <c r="F110" s="151">
        <v>0</v>
      </c>
      <c r="G110" s="152">
        <v>30</v>
      </c>
      <c r="H110" s="151">
        <v>0</v>
      </c>
      <c r="I110" s="152">
        <v>0</v>
      </c>
      <c r="J110" s="151">
        <v>0</v>
      </c>
      <c r="K110" s="152">
        <v>0</v>
      </c>
      <c r="L110" s="151">
        <v>0</v>
      </c>
      <c r="M110" s="152">
        <v>0</v>
      </c>
      <c r="N110" s="151">
        <v>0</v>
      </c>
      <c r="O110" s="152">
        <v>0</v>
      </c>
      <c r="P110" s="151">
        <v>0</v>
      </c>
      <c r="Q110" s="152">
        <v>0</v>
      </c>
      <c r="R110" s="151">
        <v>0</v>
      </c>
      <c r="S110" s="152">
        <v>0</v>
      </c>
      <c r="T110" s="151">
        <v>0</v>
      </c>
      <c r="U110" s="153">
        <v>0</v>
      </c>
      <c r="V110" t="e">
        <f>VLOOKUP(A110,'Projetos ciclo 2018-2022'!$I$8:$I$128,1,FALSE)</f>
        <v>#N/A</v>
      </c>
    </row>
    <row r="111" spans="1:22" x14ac:dyDescent="0.25">
      <c r="A111" s="21" t="s">
        <v>1534</v>
      </c>
      <c r="B111" s="154" t="s">
        <v>1586</v>
      </c>
      <c r="C111" s="154" t="s">
        <v>1535</v>
      </c>
      <c r="D111" s="155">
        <v>0</v>
      </c>
      <c r="E111" s="158">
        <v>0</v>
      </c>
      <c r="F111" s="155">
        <v>0</v>
      </c>
      <c r="G111" s="158">
        <v>143</v>
      </c>
      <c r="H111" s="155">
        <v>0</v>
      </c>
      <c r="I111" s="158">
        <v>0</v>
      </c>
      <c r="J111" s="155">
        <v>0</v>
      </c>
      <c r="K111" s="158">
        <v>0</v>
      </c>
      <c r="L111" s="155">
        <v>83.373321533203125</v>
      </c>
      <c r="M111" s="158">
        <v>83.373321533203125</v>
      </c>
      <c r="N111" s="155">
        <v>0</v>
      </c>
      <c r="O111" s="158">
        <v>0</v>
      </c>
      <c r="P111" s="155">
        <v>0</v>
      </c>
      <c r="Q111" s="158">
        <v>0</v>
      </c>
      <c r="R111" s="155">
        <v>0</v>
      </c>
      <c r="S111" s="158">
        <v>0</v>
      </c>
      <c r="T111" s="155">
        <v>0</v>
      </c>
      <c r="U111" s="157">
        <v>0</v>
      </c>
      <c r="V111" t="e">
        <f>VLOOKUP(A111,'Projetos ciclo 2018-2022'!$I$8:$I$128,1,FALSE)</f>
        <v>#N/A</v>
      </c>
    </row>
    <row r="112" spans="1:22" x14ac:dyDescent="0.25">
      <c r="A112" s="149" t="s">
        <v>1199</v>
      </c>
      <c r="B112" s="150" t="s">
        <v>1200</v>
      </c>
      <c r="C112" s="150" t="s">
        <v>59</v>
      </c>
      <c r="D112" s="151">
        <v>0.5</v>
      </c>
      <c r="E112" s="152">
        <v>0</v>
      </c>
      <c r="F112" s="151">
        <v>0</v>
      </c>
      <c r="G112" s="152">
        <v>0</v>
      </c>
      <c r="H112" s="151">
        <v>0</v>
      </c>
      <c r="I112" s="152">
        <v>0</v>
      </c>
      <c r="J112" s="151">
        <v>0</v>
      </c>
      <c r="K112" s="152">
        <v>0</v>
      </c>
      <c r="L112" s="151">
        <v>0</v>
      </c>
      <c r="M112" s="152">
        <v>0</v>
      </c>
      <c r="N112" s="151">
        <v>0</v>
      </c>
      <c r="O112" s="152">
        <v>0</v>
      </c>
      <c r="P112" s="151">
        <v>0</v>
      </c>
      <c r="Q112" s="152">
        <v>0</v>
      </c>
      <c r="R112" s="151">
        <v>0</v>
      </c>
      <c r="S112" s="152">
        <v>0</v>
      </c>
      <c r="T112" s="151">
        <v>0</v>
      </c>
      <c r="U112" s="153">
        <v>0</v>
      </c>
      <c r="V112" t="e">
        <f>VLOOKUP(A112,'Projetos ciclo 2018-2022'!$I$8:$I$128,1,FALSE)</f>
        <v>#N/A</v>
      </c>
    </row>
    <row r="113" spans="1:22" x14ac:dyDescent="0.25">
      <c r="A113" s="21" t="s">
        <v>1538</v>
      </c>
      <c r="B113" s="154" t="s">
        <v>1549</v>
      </c>
      <c r="C113" s="154" t="s">
        <v>1539</v>
      </c>
      <c r="D113" s="155">
        <v>0</v>
      </c>
      <c r="E113" s="158">
        <v>0</v>
      </c>
      <c r="F113" s="155">
        <v>0</v>
      </c>
      <c r="G113" s="158">
        <v>20</v>
      </c>
      <c r="H113" s="155">
        <v>0</v>
      </c>
      <c r="I113" s="158">
        <v>0</v>
      </c>
      <c r="J113" s="155">
        <v>0</v>
      </c>
      <c r="K113" s="158">
        <v>0</v>
      </c>
      <c r="L113" s="155">
        <v>13.62999963760376</v>
      </c>
      <c r="M113" s="158">
        <v>13.62999963760376</v>
      </c>
      <c r="N113" s="155">
        <v>0</v>
      </c>
      <c r="O113" s="158">
        <v>0</v>
      </c>
      <c r="P113" s="155">
        <v>0</v>
      </c>
      <c r="Q113" s="158">
        <v>0</v>
      </c>
      <c r="R113" s="155">
        <v>0</v>
      </c>
      <c r="S113" s="158">
        <v>0</v>
      </c>
      <c r="T113" s="155">
        <v>0</v>
      </c>
      <c r="U113" s="157">
        <v>0</v>
      </c>
      <c r="V113" t="e">
        <f>VLOOKUP(A113,'Projetos ciclo 2018-2022'!$I$8:$I$128,1,FALSE)</f>
        <v>#N/A</v>
      </c>
    </row>
    <row r="114" spans="1:22" x14ac:dyDescent="0.25">
      <c r="A114" s="149" t="s">
        <v>1194</v>
      </c>
      <c r="B114" s="150" t="s">
        <v>1307</v>
      </c>
      <c r="C114" s="150" t="s">
        <v>59</v>
      </c>
      <c r="D114" s="151">
        <v>0</v>
      </c>
      <c r="E114" s="152">
        <v>0</v>
      </c>
      <c r="F114" s="151">
        <v>0</v>
      </c>
      <c r="G114" s="152">
        <v>0</v>
      </c>
      <c r="H114" s="151">
        <v>0</v>
      </c>
      <c r="I114" s="152">
        <v>0</v>
      </c>
      <c r="J114" s="151">
        <v>0</v>
      </c>
      <c r="K114" s="152">
        <v>0</v>
      </c>
      <c r="L114" s="151">
        <v>0</v>
      </c>
      <c r="M114" s="152">
        <v>0</v>
      </c>
      <c r="N114" s="151">
        <v>0</v>
      </c>
      <c r="O114" s="152">
        <v>0</v>
      </c>
      <c r="P114" s="151">
        <v>0</v>
      </c>
      <c r="Q114" s="152">
        <v>0</v>
      </c>
      <c r="R114" s="151">
        <v>0</v>
      </c>
      <c r="S114" s="152">
        <v>0</v>
      </c>
      <c r="T114" s="151">
        <v>0</v>
      </c>
      <c r="U114" s="153">
        <v>0</v>
      </c>
      <c r="V114" t="e">
        <f>VLOOKUP(A114,'Projetos ciclo 2018-2022'!$I$8:$I$128,1,FALSE)</f>
        <v>#N/A</v>
      </c>
    </row>
    <row r="115" spans="1:22" x14ac:dyDescent="0.25">
      <c r="A115" s="21" t="s">
        <v>1196</v>
      </c>
      <c r="B115" s="154" t="s">
        <v>1197</v>
      </c>
      <c r="C115" s="154" t="s">
        <v>59</v>
      </c>
      <c r="D115" s="155">
        <v>0</v>
      </c>
      <c r="E115" s="158">
        <v>0</v>
      </c>
      <c r="F115" s="155">
        <v>0</v>
      </c>
      <c r="G115" s="158">
        <v>0</v>
      </c>
      <c r="H115" s="155">
        <v>0</v>
      </c>
      <c r="I115" s="158">
        <v>0</v>
      </c>
      <c r="J115" s="155">
        <v>0</v>
      </c>
      <c r="K115" s="158">
        <v>0</v>
      </c>
      <c r="L115" s="155">
        <v>0</v>
      </c>
      <c r="M115" s="158">
        <v>0</v>
      </c>
      <c r="N115" s="155">
        <v>0</v>
      </c>
      <c r="O115" s="158">
        <v>0</v>
      </c>
      <c r="P115" s="155">
        <v>0</v>
      </c>
      <c r="Q115" s="158">
        <v>0</v>
      </c>
      <c r="R115" s="155">
        <v>0</v>
      </c>
      <c r="S115" s="158">
        <v>0</v>
      </c>
      <c r="T115" s="155">
        <v>0</v>
      </c>
      <c r="U115" s="157">
        <v>0</v>
      </c>
      <c r="V115" t="e">
        <f>VLOOKUP(A115,'Projetos ciclo 2018-2022'!$I$8:$I$128,1,FALSE)</f>
        <v>#N/A</v>
      </c>
    </row>
    <row r="116" spans="1:22" x14ac:dyDescent="0.25">
      <c r="A116" s="149" t="s">
        <v>565</v>
      </c>
      <c r="B116" s="150" t="s">
        <v>1198</v>
      </c>
      <c r="C116" s="150" t="s">
        <v>59</v>
      </c>
      <c r="D116" s="151">
        <v>0</v>
      </c>
      <c r="E116" s="152">
        <v>0</v>
      </c>
      <c r="F116" s="151">
        <v>0</v>
      </c>
      <c r="G116" s="152">
        <v>0</v>
      </c>
      <c r="H116" s="151">
        <v>0</v>
      </c>
      <c r="I116" s="152">
        <v>0</v>
      </c>
      <c r="J116" s="151">
        <v>0</v>
      </c>
      <c r="K116" s="152">
        <v>0</v>
      </c>
      <c r="L116" s="151">
        <v>0</v>
      </c>
      <c r="M116" s="152">
        <v>0</v>
      </c>
      <c r="N116" s="151">
        <v>0</v>
      </c>
      <c r="O116" s="152">
        <v>0</v>
      </c>
      <c r="P116" s="151">
        <v>0</v>
      </c>
      <c r="Q116" s="152">
        <v>0</v>
      </c>
      <c r="R116" s="151">
        <v>0</v>
      </c>
      <c r="S116" s="152">
        <v>0</v>
      </c>
      <c r="T116" s="151">
        <v>0</v>
      </c>
      <c r="U116" s="153">
        <v>0</v>
      </c>
      <c r="V116" t="str">
        <f>VLOOKUP(A116,'Projetos ciclo 2018-2022'!$I$8:$I$128,1,FALSE)</f>
        <v>NA</v>
      </c>
    </row>
    <row r="117" spans="1:22" x14ac:dyDescent="0.25">
      <c r="A117" s="21" t="s">
        <v>1199</v>
      </c>
      <c r="B117" s="154" t="s">
        <v>1200</v>
      </c>
      <c r="C117" s="154" t="s">
        <v>59</v>
      </c>
      <c r="D117" s="155">
        <v>-1</v>
      </c>
      <c r="E117" s="158">
        <v>0</v>
      </c>
      <c r="F117" s="155">
        <v>0</v>
      </c>
      <c r="G117" s="158">
        <v>0</v>
      </c>
      <c r="H117" s="155">
        <v>0</v>
      </c>
      <c r="I117" s="158">
        <v>0</v>
      </c>
      <c r="J117" s="155">
        <v>0</v>
      </c>
      <c r="K117" s="158">
        <v>0</v>
      </c>
      <c r="L117" s="155">
        <v>0</v>
      </c>
      <c r="M117" s="158">
        <v>0</v>
      </c>
      <c r="N117" s="155">
        <v>0</v>
      </c>
      <c r="O117" s="158">
        <v>0</v>
      </c>
      <c r="P117" s="155">
        <v>0</v>
      </c>
      <c r="Q117" s="158">
        <v>0</v>
      </c>
      <c r="R117" s="155">
        <v>0</v>
      </c>
      <c r="S117" s="158">
        <v>0</v>
      </c>
      <c r="T117" s="155">
        <v>0</v>
      </c>
      <c r="U117" s="157">
        <v>0</v>
      </c>
      <c r="V117" t="e">
        <f>VLOOKUP(A117,'Projetos ciclo 2018-2022'!$I$8:$I$128,1,FALSE)</f>
        <v>#N/A</v>
      </c>
    </row>
    <row r="118" spans="1:22" x14ac:dyDescent="0.25">
      <c r="A118" s="149" t="s">
        <v>1308</v>
      </c>
      <c r="B118" s="150" t="s">
        <v>1309</v>
      </c>
      <c r="C118" s="150" t="s">
        <v>1310</v>
      </c>
      <c r="D118" s="151">
        <v>34563</v>
      </c>
      <c r="E118" s="152">
        <v>0</v>
      </c>
      <c r="F118" s="151">
        <v>4112</v>
      </c>
      <c r="G118" s="152">
        <v>0</v>
      </c>
      <c r="H118" s="151">
        <v>0</v>
      </c>
      <c r="I118" s="152">
        <v>0</v>
      </c>
      <c r="J118" s="151">
        <v>0</v>
      </c>
      <c r="K118" s="152">
        <v>0</v>
      </c>
      <c r="L118" s="151">
        <v>0</v>
      </c>
      <c r="M118" s="152">
        <v>0</v>
      </c>
      <c r="N118" s="151">
        <v>5203</v>
      </c>
      <c r="O118" s="152">
        <v>8313</v>
      </c>
      <c r="P118" s="151">
        <v>9847</v>
      </c>
      <c r="Q118" s="152">
        <v>7088</v>
      </c>
      <c r="R118" s="151">
        <v>0</v>
      </c>
      <c r="S118" s="152">
        <v>0</v>
      </c>
      <c r="T118" s="151">
        <v>0</v>
      </c>
      <c r="U118" s="153">
        <v>0</v>
      </c>
      <c r="V118" t="e">
        <f>VLOOKUP(A118,'Projetos ciclo 2018-2022'!$I$8:$I$128,1,FALSE)</f>
        <v>#N/A</v>
      </c>
    </row>
    <row r="119" spans="1:22" x14ac:dyDescent="0.25">
      <c r="A119" s="21" t="s">
        <v>1192</v>
      </c>
      <c r="B119" s="154" t="s">
        <v>1311</v>
      </c>
      <c r="C119" s="154" t="s">
        <v>1193</v>
      </c>
      <c r="D119" s="155">
        <v>0</v>
      </c>
      <c r="E119" s="158">
        <v>0</v>
      </c>
      <c r="F119" s="155">
        <v>0</v>
      </c>
      <c r="G119" s="158">
        <v>367</v>
      </c>
      <c r="H119" s="155">
        <v>0</v>
      </c>
      <c r="I119" s="158">
        <v>0</v>
      </c>
      <c r="J119" s="155">
        <v>0</v>
      </c>
      <c r="K119" s="158">
        <v>0</v>
      </c>
      <c r="L119" s="155">
        <v>356.9999942779541</v>
      </c>
      <c r="M119" s="158">
        <v>356.9999942779541</v>
      </c>
      <c r="N119" s="155">
        <v>0</v>
      </c>
      <c r="O119" s="158">
        <v>0</v>
      </c>
      <c r="P119" s="155">
        <v>0</v>
      </c>
      <c r="Q119" s="158">
        <v>0</v>
      </c>
      <c r="R119" s="155">
        <v>0</v>
      </c>
      <c r="S119" s="158">
        <v>0</v>
      </c>
      <c r="T119" s="155">
        <v>0</v>
      </c>
      <c r="U119" s="157">
        <v>0</v>
      </c>
      <c r="V119" t="e">
        <f>VLOOKUP(A119,'Projetos ciclo 2018-2022'!$I$8:$I$128,1,FALSE)</f>
        <v>#N/A</v>
      </c>
    </row>
    <row r="120" spans="1:22" x14ac:dyDescent="0.25">
      <c r="A120" s="149" t="s">
        <v>1312</v>
      </c>
      <c r="B120" s="150" t="s">
        <v>1313</v>
      </c>
      <c r="C120" s="150" t="s">
        <v>1314</v>
      </c>
      <c r="D120" s="151">
        <v>0</v>
      </c>
      <c r="E120" s="152">
        <v>0</v>
      </c>
      <c r="F120" s="151">
        <v>0</v>
      </c>
      <c r="G120" s="152">
        <v>108</v>
      </c>
      <c r="H120" s="151">
        <v>0</v>
      </c>
      <c r="I120" s="152">
        <v>0</v>
      </c>
      <c r="J120" s="151">
        <v>0</v>
      </c>
      <c r="K120" s="152">
        <v>0</v>
      </c>
      <c r="L120" s="151">
        <v>22.19502067565918</v>
      </c>
      <c r="M120" s="152">
        <v>22.19502067565918</v>
      </c>
      <c r="N120" s="151">
        <v>0</v>
      </c>
      <c r="O120" s="152">
        <v>0</v>
      </c>
      <c r="P120" s="151">
        <v>0</v>
      </c>
      <c r="Q120" s="152">
        <v>0</v>
      </c>
      <c r="R120" s="151">
        <v>0</v>
      </c>
      <c r="S120" s="152">
        <v>0</v>
      </c>
      <c r="T120" s="151">
        <v>0</v>
      </c>
      <c r="U120" s="153">
        <v>0</v>
      </c>
      <c r="V120" t="e">
        <f>VLOOKUP(A120,'Projetos ciclo 2018-2022'!$I$8:$I$128,1,FALSE)</f>
        <v>#N/A</v>
      </c>
    </row>
    <row r="121" spans="1:22" x14ac:dyDescent="0.25">
      <c r="A121" s="21" t="s">
        <v>1521</v>
      </c>
      <c r="B121" s="154" t="s">
        <v>1000</v>
      </c>
      <c r="C121" s="154" t="s">
        <v>1522</v>
      </c>
      <c r="D121" s="155">
        <v>0</v>
      </c>
      <c r="E121" s="158">
        <v>0</v>
      </c>
      <c r="F121" s="155">
        <v>0</v>
      </c>
      <c r="G121" s="158">
        <v>200</v>
      </c>
      <c r="H121" s="155">
        <v>0</v>
      </c>
      <c r="I121" s="158">
        <v>0</v>
      </c>
      <c r="J121" s="155">
        <v>0</v>
      </c>
      <c r="K121" s="158">
        <v>0</v>
      </c>
      <c r="L121" s="155">
        <v>0</v>
      </c>
      <c r="M121" s="158">
        <v>0</v>
      </c>
      <c r="N121" s="155">
        <v>0</v>
      </c>
      <c r="O121" s="158">
        <v>0</v>
      </c>
      <c r="P121" s="155">
        <v>0</v>
      </c>
      <c r="Q121" s="158">
        <v>0</v>
      </c>
      <c r="R121" s="155">
        <v>0</v>
      </c>
      <c r="S121" s="158">
        <v>0</v>
      </c>
      <c r="T121" s="155">
        <v>0</v>
      </c>
      <c r="U121" s="157">
        <v>0</v>
      </c>
      <c r="V121" t="e">
        <f>VLOOKUP(A121,'Projetos ciclo 2018-2022'!$I$8:$I$128,1,FALSE)</f>
        <v>#N/A</v>
      </c>
    </row>
    <row r="122" spans="1:22" x14ac:dyDescent="0.25">
      <c r="A122" s="149" t="s">
        <v>1194</v>
      </c>
      <c r="B122" s="150" t="s">
        <v>1315</v>
      </c>
      <c r="C122" s="150" t="s">
        <v>59</v>
      </c>
      <c r="D122" s="151">
        <v>0</v>
      </c>
      <c r="E122" s="152">
        <v>0</v>
      </c>
      <c r="F122" s="151">
        <v>0</v>
      </c>
      <c r="G122" s="152">
        <v>0</v>
      </c>
      <c r="H122" s="151">
        <v>0</v>
      </c>
      <c r="I122" s="152">
        <v>0</v>
      </c>
      <c r="J122" s="151">
        <v>0</v>
      </c>
      <c r="K122" s="152">
        <v>0</v>
      </c>
      <c r="L122" s="151">
        <v>0</v>
      </c>
      <c r="M122" s="152">
        <v>0</v>
      </c>
      <c r="N122" s="151">
        <v>0</v>
      </c>
      <c r="O122" s="152">
        <v>0</v>
      </c>
      <c r="P122" s="151">
        <v>0</v>
      </c>
      <c r="Q122" s="152">
        <v>0</v>
      </c>
      <c r="R122" s="151">
        <v>0</v>
      </c>
      <c r="S122" s="152">
        <v>0</v>
      </c>
      <c r="T122" s="151">
        <v>0</v>
      </c>
      <c r="U122" s="153">
        <v>0</v>
      </c>
      <c r="V122" t="e">
        <f>VLOOKUP(A122,'Projetos ciclo 2018-2022'!$I$8:$I$128,1,FALSE)</f>
        <v>#N/A</v>
      </c>
    </row>
    <row r="123" spans="1:22" x14ac:dyDescent="0.25">
      <c r="A123" s="21" t="s">
        <v>1196</v>
      </c>
      <c r="B123" s="154" t="s">
        <v>1197</v>
      </c>
      <c r="C123" s="154" t="s">
        <v>59</v>
      </c>
      <c r="D123" s="155">
        <v>0</v>
      </c>
      <c r="E123" s="158">
        <v>0</v>
      </c>
      <c r="F123" s="155">
        <v>0</v>
      </c>
      <c r="G123" s="158">
        <v>0</v>
      </c>
      <c r="H123" s="155">
        <v>0</v>
      </c>
      <c r="I123" s="158">
        <v>0</v>
      </c>
      <c r="J123" s="155">
        <v>0</v>
      </c>
      <c r="K123" s="158">
        <v>0</v>
      </c>
      <c r="L123" s="155">
        <v>0</v>
      </c>
      <c r="M123" s="158">
        <v>0</v>
      </c>
      <c r="N123" s="155">
        <v>0</v>
      </c>
      <c r="O123" s="158">
        <v>0</v>
      </c>
      <c r="P123" s="155">
        <v>0</v>
      </c>
      <c r="Q123" s="158">
        <v>0</v>
      </c>
      <c r="R123" s="155">
        <v>0</v>
      </c>
      <c r="S123" s="158">
        <v>0</v>
      </c>
      <c r="T123" s="155">
        <v>0</v>
      </c>
      <c r="U123" s="157">
        <v>0</v>
      </c>
      <c r="V123" t="e">
        <f>VLOOKUP(A123,'Projetos ciclo 2018-2022'!$I$8:$I$128,1,FALSE)</f>
        <v>#N/A</v>
      </c>
    </row>
    <row r="124" spans="1:22" x14ac:dyDescent="0.25">
      <c r="A124" s="149" t="s">
        <v>565</v>
      </c>
      <c r="B124" s="150" t="s">
        <v>1316</v>
      </c>
      <c r="C124" s="150" t="s">
        <v>59</v>
      </c>
      <c r="D124" s="151">
        <v>0</v>
      </c>
      <c r="E124" s="152">
        <v>0</v>
      </c>
      <c r="F124" s="151">
        <v>0</v>
      </c>
      <c r="G124" s="152">
        <v>0</v>
      </c>
      <c r="H124" s="151">
        <v>0</v>
      </c>
      <c r="I124" s="152">
        <v>0</v>
      </c>
      <c r="J124" s="151">
        <v>0</v>
      </c>
      <c r="K124" s="152">
        <v>0</v>
      </c>
      <c r="L124" s="151">
        <v>0</v>
      </c>
      <c r="M124" s="152">
        <v>0</v>
      </c>
      <c r="N124" s="151">
        <v>0</v>
      </c>
      <c r="O124" s="152">
        <v>0</v>
      </c>
      <c r="P124" s="151">
        <v>0</v>
      </c>
      <c r="Q124" s="152">
        <v>0</v>
      </c>
      <c r="R124" s="151">
        <v>0</v>
      </c>
      <c r="S124" s="152">
        <v>0</v>
      </c>
      <c r="T124" s="151">
        <v>0</v>
      </c>
      <c r="U124" s="153">
        <v>0</v>
      </c>
      <c r="V124" t="str">
        <f>VLOOKUP(A124,'Projetos ciclo 2018-2022'!$I$8:$I$128,1,FALSE)</f>
        <v>NA</v>
      </c>
    </row>
    <row r="125" spans="1:22" x14ac:dyDescent="0.25">
      <c r="A125" s="21" t="s">
        <v>1199</v>
      </c>
      <c r="B125" s="154" t="s">
        <v>1200</v>
      </c>
      <c r="C125" s="154" t="s">
        <v>59</v>
      </c>
      <c r="D125" s="155">
        <v>0</v>
      </c>
      <c r="E125" s="158">
        <v>0</v>
      </c>
      <c r="F125" s="155">
        <v>0</v>
      </c>
      <c r="G125" s="158">
        <v>0</v>
      </c>
      <c r="H125" s="155">
        <v>0</v>
      </c>
      <c r="I125" s="158">
        <v>0</v>
      </c>
      <c r="J125" s="155">
        <v>0</v>
      </c>
      <c r="K125" s="158">
        <v>0</v>
      </c>
      <c r="L125" s="155">
        <v>0</v>
      </c>
      <c r="M125" s="158">
        <v>0</v>
      </c>
      <c r="N125" s="155">
        <v>0</v>
      </c>
      <c r="O125" s="158">
        <v>0</v>
      </c>
      <c r="P125" s="155">
        <v>0</v>
      </c>
      <c r="Q125" s="158">
        <v>0</v>
      </c>
      <c r="R125" s="155">
        <v>0</v>
      </c>
      <c r="S125" s="158">
        <v>0</v>
      </c>
      <c r="T125" s="155">
        <v>0</v>
      </c>
      <c r="U125" s="157">
        <v>0</v>
      </c>
      <c r="V125" t="e">
        <f>VLOOKUP(A125,'Projetos ciclo 2018-2022'!$I$8:$I$128,1,FALSE)</f>
        <v>#N/A</v>
      </c>
    </row>
    <row r="126" spans="1:22" x14ac:dyDescent="0.25">
      <c r="A126" s="149" t="s">
        <v>1317</v>
      </c>
      <c r="B126" s="150" t="s">
        <v>1318</v>
      </c>
      <c r="C126" s="150" t="s">
        <v>1319</v>
      </c>
      <c r="D126" s="151">
        <v>25864</v>
      </c>
      <c r="E126" s="152">
        <v>0</v>
      </c>
      <c r="F126" s="151">
        <v>4684</v>
      </c>
      <c r="G126" s="152">
        <v>0</v>
      </c>
      <c r="H126" s="151">
        <v>0</v>
      </c>
      <c r="I126" s="152">
        <v>0</v>
      </c>
      <c r="J126" s="151">
        <v>0</v>
      </c>
      <c r="K126" s="152">
        <v>0</v>
      </c>
      <c r="L126" s="151">
        <v>0</v>
      </c>
      <c r="M126" s="152">
        <v>0</v>
      </c>
      <c r="N126" s="151">
        <v>15470</v>
      </c>
      <c r="O126" s="152">
        <v>2660</v>
      </c>
      <c r="P126" s="151">
        <v>390</v>
      </c>
      <c r="Q126" s="152">
        <v>2660</v>
      </c>
      <c r="R126" s="151">
        <v>0</v>
      </c>
      <c r="S126" s="152">
        <v>0</v>
      </c>
      <c r="T126" s="151">
        <v>0</v>
      </c>
      <c r="U126" s="153">
        <v>0</v>
      </c>
      <c r="V126" t="e">
        <f>VLOOKUP(A126,'Projetos ciclo 2018-2022'!$I$8:$I$128,1,FALSE)</f>
        <v>#N/A</v>
      </c>
    </row>
    <row r="127" spans="1:22" x14ac:dyDescent="0.25">
      <c r="A127" s="21" t="s">
        <v>711</v>
      </c>
      <c r="B127" s="154" t="s">
        <v>1320</v>
      </c>
      <c r="C127" s="154" t="s">
        <v>1321</v>
      </c>
      <c r="D127" s="155">
        <v>0</v>
      </c>
      <c r="E127" s="158">
        <v>0</v>
      </c>
      <c r="F127" s="155">
        <v>0</v>
      </c>
      <c r="G127" s="158">
        <v>280</v>
      </c>
      <c r="H127" s="155">
        <v>0</v>
      </c>
      <c r="I127" s="158">
        <v>0</v>
      </c>
      <c r="J127" s="155">
        <v>0</v>
      </c>
      <c r="K127" s="158">
        <v>0</v>
      </c>
      <c r="L127" s="155">
        <v>0</v>
      </c>
      <c r="M127" s="158">
        <v>0</v>
      </c>
      <c r="N127" s="155">
        <v>0</v>
      </c>
      <c r="O127" s="158">
        <v>0</v>
      </c>
      <c r="P127" s="155">
        <v>0</v>
      </c>
      <c r="Q127" s="158">
        <v>0</v>
      </c>
      <c r="R127" s="155">
        <v>0</v>
      </c>
      <c r="S127" s="158">
        <v>0</v>
      </c>
      <c r="T127" s="155">
        <v>0</v>
      </c>
      <c r="U127" s="157">
        <v>0</v>
      </c>
      <c r="V127" t="e">
        <f>VLOOKUP(A127,'Projetos ciclo 2018-2022'!$I$8:$I$128,1,FALSE)</f>
        <v>#N/A</v>
      </c>
    </row>
    <row r="128" spans="1:22" x14ac:dyDescent="0.25">
      <c r="A128" s="149" t="s">
        <v>1462</v>
      </c>
      <c r="B128" s="150" t="s">
        <v>1463</v>
      </c>
      <c r="C128" s="150" t="s">
        <v>1464</v>
      </c>
      <c r="D128" s="151">
        <v>0</v>
      </c>
      <c r="E128" s="152">
        <v>0</v>
      </c>
      <c r="F128" s="151">
        <v>0</v>
      </c>
      <c r="G128" s="152">
        <v>4184</v>
      </c>
      <c r="H128" s="151">
        <v>0</v>
      </c>
      <c r="I128" s="152">
        <v>0</v>
      </c>
      <c r="J128" s="151">
        <v>0</v>
      </c>
      <c r="K128" s="152">
        <v>0</v>
      </c>
      <c r="L128" s="151">
        <v>4157.25</v>
      </c>
      <c r="M128" s="152">
        <v>4157.25</v>
      </c>
      <c r="N128" s="151">
        <v>0</v>
      </c>
      <c r="O128" s="152">
        <v>0</v>
      </c>
      <c r="P128" s="151">
        <v>0</v>
      </c>
      <c r="Q128" s="152">
        <v>0</v>
      </c>
      <c r="R128" s="151">
        <v>0</v>
      </c>
      <c r="S128" s="152">
        <v>0</v>
      </c>
      <c r="T128" s="151">
        <v>0</v>
      </c>
      <c r="U128" s="153">
        <v>0</v>
      </c>
      <c r="V128" t="e">
        <f>VLOOKUP(A128,'Projetos ciclo 2018-2022'!$I$8:$I$128,1,FALSE)</f>
        <v>#N/A</v>
      </c>
    </row>
    <row r="129" spans="1:22" x14ac:dyDescent="0.25">
      <c r="A129" s="21" t="s">
        <v>1523</v>
      </c>
      <c r="B129" s="154" t="s">
        <v>1524</v>
      </c>
      <c r="C129" s="154" t="s">
        <v>1525</v>
      </c>
      <c r="D129" s="155">
        <v>0</v>
      </c>
      <c r="E129" s="158">
        <v>0</v>
      </c>
      <c r="F129" s="155">
        <v>0</v>
      </c>
      <c r="G129" s="158">
        <v>55</v>
      </c>
      <c r="H129" s="155">
        <v>0</v>
      </c>
      <c r="I129" s="158">
        <v>16.69773006439209</v>
      </c>
      <c r="J129" s="155">
        <v>0</v>
      </c>
      <c r="K129" s="158">
        <v>16.69773006439209</v>
      </c>
      <c r="L129" s="155">
        <v>35.170589447021484</v>
      </c>
      <c r="M129" s="158">
        <v>51.868319511413574</v>
      </c>
      <c r="N129" s="155">
        <v>0</v>
      </c>
      <c r="O129" s="158">
        <v>0</v>
      </c>
      <c r="P129" s="155">
        <v>0</v>
      </c>
      <c r="Q129" s="158">
        <v>0</v>
      </c>
      <c r="R129" s="155">
        <v>0</v>
      </c>
      <c r="S129" s="158">
        <v>0</v>
      </c>
      <c r="T129" s="155">
        <v>0</v>
      </c>
      <c r="U129" s="157">
        <v>0</v>
      </c>
      <c r="V129" t="e">
        <f>VLOOKUP(A129,'Projetos ciclo 2018-2022'!$I$8:$I$128,1,FALSE)</f>
        <v>#N/A</v>
      </c>
    </row>
    <row r="130" spans="1:22" x14ac:dyDescent="0.25">
      <c r="A130" s="149" t="s">
        <v>1194</v>
      </c>
      <c r="B130" s="150" t="s">
        <v>1322</v>
      </c>
      <c r="C130" s="150" t="s">
        <v>59</v>
      </c>
      <c r="D130" s="151">
        <v>0</v>
      </c>
      <c r="E130" s="152">
        <v>0</v>
      </c>
      <c r="F130" s="151">
        <v>0</v>
      </c>
      <c r="G130" s="152">
        <v>0</v>
      </c>
      <c r="H130" s="151">
        <v>0</v>
      </c>
      <c r="I130" s="152">
        <v>0</v>
      </c>
      <c r="J130" s="151">
        <v>0</v>
      </c>
      <c r="K130" s="152">
        <v>0</v>
      </c>
      <c r="L130" s="151">
        <v>0</v>
      </c>
      <c r="M130" s="152">
        <v>0</v>
      </c>
      <c r="N130" s="151">
        <v>0</v>
      </c>
      <c r="O130" s="152">
        <v>0</v>
      </c>
      <c r="P130" s="151">
        <v>0</v>
      </c>
      <c r="Q130" s="152">
        <v>0</v>
      </c>
      <c r="R130" s="151">
        <v>0</v>
      </c>
      <c r="S130" s="152">
        <v>0</v>
      </c>
      <c r="T130" s="151">
        <v>0</v>
      </c>
      <c r="U130" s="153">
        <v>0</v>
      </c>
      <c r="V130" t="e">
        <f>VLOOKUP(A130,'Projetos ciclo 2018-2022'!$I$8:$I$128,1,FALSE)</f>
        <v>#N/A</v>
      </c>
    </row>
    <row r="131" spans="1:22" x14ac:dyDescent="0.25">
      <c r="A131" s="21" t="s">
        <v>1196</v>
      </c>
      <c r="B131" s="154" t="s">
        <v>1197</v>
      </c>
      <c r="C131" s="154" t="s">
        <v>59</v>
      </c>
      <c r="D131" s="155">
        <v>0</v>
      </c>
      <c r="E131" s="158">
        <v>0</v>
      </c>
      <c r="F131" s="155">
        <v>0</v>
      </c>
      <c r="G131" s="158">
        <v>0</v>
      </c>
      <c r="H131" s="155">
        <v>0</v>
      </c>
      <c r="I131" s="158">
        <v>0</v>
      </c>
      <c r="J131" s="155">
        <v>0</v>
      </c>
      <c r="K131" s="158">
        <v>0</v>
      </c>
      <c r="L131" s="155">
        <v>0</v>
      </c>
      <c r="M131" s="158">
        <v>0</v>
      </c>
      <c r="N131" s="155">
        <v>0</v>
      </c>
      <c r="O131" s="158">
        <v>0</v>
      </c>
      <c r="P131" s="155">
        <v>0</v>
      </c>
      <c r="Q131" s="158">
        <v>0</v>
      </c>
      <c r="R131" s="155">
        <v>0</v>
      </c>
      <c r="S131" s="158">
        <v>0</v>
      </c>
      <c r="T131" s="155">
        <v>0</v>
      </c>
      <c r="U131" s="157">
        <v>0</v>
      </c>
      <c r="V131" t="e">
        <f>VLOOKUP(A131,'Projetos ciclo 2018-2022'!$I$8:$I$128,1,FALSE)</f>
        <v>#N/A</v>
      </c>
    </row>
    <row r="132" spans="1:22" x14ac:dyDescent="0.25">
      <c r="A132" s="149" t="s">
        <v>565</v>
      </c>
      <c r="B132" s="150" t="s">
        <v>1323</v>
      </c>
      <c r="C132" s="150" t="s">
        <v>59</v>
      </c>
      <c r="D132" s="151">
        <v>136171</v>
      </c>
      <c r="E132" s="152">
        <v>0</v>
      </c>
      <c r="F132" s="151">
        <v>0</v>
      </c>
      <c r="G132" s="152">
        <v>0</v>
      </c>
      <c r="H132" s="151">
        <v>0</v>
      </c>
      <c r="I132" s="152">
        <v>0</v>
      </c>
      <c r="J132" s="151">
        <v>0</v>
      </c>
      <c r="K132" s="152">
        <v>0</v>
      </c>
      <c r="L132" s="151">
        <v>0</v>
      </c>
      <c r="M132" s="152">
        <v>0</v>
      </c>
      <c r="N132" s="151">
        <v>44444</v>
      </c>
      <c r="O132" s="152">
        <v>45931</v>
      </c>
      <c r="P132" s="151">
        <v>19449</v>
      </c>
      <c r="Q132" s="152">
        <v>26347</v>
      </c>
      <c r="R132" s="151">
        <v>0</v>
      </c>
      <c r="S132" s="152">
        <v>0</v>
      </c>
      <c r="T132" s="151">
        <v>0</v>
      </c>
      <c r="U132" s="153">
        <v>0</v>
      </c>
      <c r="V132" t="str">
        <f>VLOOKUP(A132,'Projetos ciclo 2018-2022'!$I$8:$I$128,1,FALSE)</f>
        <v>NA</v>
      </c>
    </row>
    <row r="133" spans="1:22" x14ac:dyDescent="0.25">
      <c r="A133" s="21" t="s">
        <v>1199</v>
      </c>
      <c r="B133" s="154" t="s">
        <v>1200</v>
      </c>
      <c r="C133" s="154" t="s">
        <v>59</v>
      </c>
      <c r="D133" s="155">
        <v>0</v>
      </c>
      <c r="E133" s="158">
        <v>0</v>
      </c>
      <c r="F133" s="155">
        <v>0</v>
      </c>
      <c r="G133" s="158">
        <v>0</v>
      </c>
      <c r="H133" s="155">
        <v>0</v>
      </c>
      <c r="I133" s="158">
        <v>0</v>
      </c>
      <c r="J133" s="155">
        <v>0</v>
      </c>
      <c r="K133" s="158">
        <v>0</v>
      </c>
      <c r="L133" s="155">
        <v>0</v>
      </c>
      <c r="M133" s="158">
        <v>0</v>
      </c>
      <c r="N133" s="155">
        <v>0</v>
      </c>
      <c r="O133" s="158">
        <v>0</v>
      </c>
      <c r="P133" s="155">
        <v>0</v>
      </c>
      <c r="Q133" s="158">
        <v>0</v>
      </c>
      <c r="R133" s="155">
        <v>0</v>
      </c>
      <c r="S133" s="158">
        <v>0</v>
      </c>
      <c r="T133" s="155">
        <v>0</v>
      </c>
      <c r="U133" s="157">
        <v>0</v>
      </c>
      <c r="V133" t="e">
        <f>VLOOKUP(A133,'Projetos ciclo 2018-2022'!$I$8:$I$128,1,FALSE)</f>
        <v>#N/A</v>
      </c>
    </row>
    <row r="134" spans="1:22" x14ac:dyDescent="0.25">
      <c r="A134" s="149" t="s">
        <v>1136</v>
      </c>
      <c r="B134" s="150" t="s">
        <v>1210</v>
      </c>
      <c r="C134" s="150" t="s">
        <v>1324</v>
      </c>
      <c r="D134" s="151">
        <v>0</v>
      </c>
      <c r="E134" s="152">
        <v>0</v>
      </c>
      <c r="F134" s="151">
        <v>0</v>
      </c>
      <c r="G134" s="152">
        <v>479</v>
      </c>
      <c r="H134" s="151">
        <v>0</v>
      </c>
      <c r="I134" s="152">
        <v>479.32675170898437</v>
      </c>
      <c r="J134" s="151">
        <v>0</v>
      </c>
      <c r="K134" s="152">
        <v>479.32675170898437</v>
      </c>
      <c r="L134" s="151">
        <v>0</v>
      </c>
      <c r="M134" s="152">
        <v>479.32675170898437</v>
      </c>
      <c r="N134" s="151">
        <v>0</v>
      </c>
      <c r="O134" s="152">
        <v>0</v>
      </c>
      <c r="P134" s="151">
        <v>0</v>
      </c>
      <c r="Q134" s="152">
        <v>0</v>
      </c>
      <c r="R134" s="151">
        <v>0</v>
      </c>
      <c r="S134" s="152">
        <v>0</v>
      </c>
      <c r="T134" s="151">
        <v>0</v>
      </c>
      <c r="U134" s="153">
        <v>0</v>
      </c>
      <c r="V134" t="e">
        <f>VLOOKUP(A134,'Projetos ciclo 2018-2022'!$I$8:$I$128,1,FALSE)</f>
        <v>#N/A</v>
      </c>
    </row>
    <row r="135" spans="1:22" x14ac:dyDescent="0.25">
      <c r="A135" s="21" t="s">
        <v>1177</v>
      </c>
      <c r="B135" s="154" t="s">
        <v>1179</v>
      </c>
      <c r="C135" s="154" t="s">
        <v>1178</v>
      </c>
      <c r="D135" s="155">
        <v>0</v>
      </c>
      <c r="E135" s="158">
        <v>0</v>
      </c>
      <c r="F135" s="155">
        <v>0</v>
      </c>
      <c r="G135" s="158">
        <v>14</v>
      </c>
      <c r="H135" s="155">
        <v>0</v>
      </c>
      <c r="I135" s="158">
        <v>14.010740280151367</v>
      </c>
      <c r="J135" s="155">
        <v>0</v>
      </c>
      <c r="K135" s="158">
        <v>14.010740280151367</v>
      </c>
      <c r="L135" s="155">
        <v>0</v>
      </c>
      <c r="M135" s="158">
        <v>14.010740280151367</v>
      </c>
      <c r="N135" s="155">
        <v>0</v>
      </c>
      <c r="O135" s="158">
        <v>0</v>
      </c>
      <c r="P135" s="155">
        <v>0</v>
      </c>
      <c r="Q135" s="158">
        <v>0</v>
      </c>
      <c r="R135" s="155">
        <v>0</v>
      </c>
      <c r="S135" s="158">
        <v>0</v>
      </c>
      <c r="T135" s="155">
        <v>0</v>
      </c>
      <c r="U135" s="157">
        <v>0</v>
      </c>
      <c r="V135" t="e">
        <f>VLOOKUP(A135,'Projetos ciclo 2018-2022'!$I$8:$I$128,1,FALSE)</f>
        <v>#N/A</v>
      </c>
    </row>
    <row r="136" spans="1:22" x14ac:dyDescent="0.25">
      <c r="A136" s="149" t="s">
        <v>1185</v>
      </c>
      <c r="B136" s="150" t="s">
        <v>1187</v>
      </c>
      <c r="C136" s="150" t="s">
        <v>1186</v>
      </c>
      <c r="D136" s="151">
        <v>0</v>
      </c>
      <c r="E136" s="152">
        <v>0</v>
      </c>
      <c r="F136" s="151">
        <v>0</v>
      </c>
      <c r="G136" s="152">
        <v>10</v>
      </c>
      <c r="H136" s="151">
        <v>0</v>
      </c>
      <c r="I136" s="152">
        <v>9.5870800018310547</v>
      </c>
      <c r="J136" s="151">
        <v>0</v>
      </c>
      <c r="K136" s="152">
        <v>9.5870800018310547</v>
      </c>
      <c r="L136" s="151">
        <v>0</v>
      </c>
      <c r="M136" s="152">
        <v>9.5870800018310547</v>
      </c>
      <c r="N136" s="151">
        <v>0</v>
      </c>
      <c r="O136" s="152">
        <v>0</v>
      </c>
      <c r="P136" s="151">
        <v>0</v>
      </c>
      <c r="Q136" s="152">
        <v>0</v>
      </c>
      <c r="R136" s="151">
        <v>0</v>
      </c>
      <c r="S136" s="152">
        <v>0</v>
      </c>
      <c r="T136" s="151">
        <v>0</v>
      </c>
      <c r="U136" s="153">
        <v>0</v>
      </c>
      <c r="V136" t="e">
        <f>VLOOKUP(A136,'Projetos ciclo 2018-2022'!$I$8:$I$128,1,FALSE)</f>
        <v>#N/A</v>
      </c>
    </row>
    <row r="137" spans="1:22" x14ac:dyDescent="0.25">
      <c r="A137" s="21" t="s">
        <v>1181</v>
      </c>
      <c r="B137" s="154" t="s">
        <v>1183</v>
      </c>
      <c r="C137" s="154" t="s">
        <v>1182</v>
      </c>
      <c r="D137" s="155">
        <v>0</v>
      </c>
      <c r="E137" s="158">
        <v>0</v>
      </c>
      <c r="F137" s="155">
        <v>0</v>
      </c>
      <c r="G137" s="158">
        <v>11</v>
      </c>
      <c r="H137" s="155">
        <v>0</v>
      </c>
      <c r="I137" s="158">
        <v>10.502650260925293</v>
      </c>
      <c r="J137" s="155">
        <v>0</v>
      </c>
      <c r="K137" s="158">
        <v>10.502650260925293</v>
      </c>
      <c r="L137" s="155">
        <v>0</v>
      </c>
      <c r="M137" s="158">
        <v>10.502650260925293</v>
      </c>
      <c r="N137" s="155">
        <v>0</v>
      </c>
      <c r="O137" s="158">
        <v>0</v>
      </c>
      <c r="P137" s="155">
        <v>0</v>
      </c>
      <c r="Q137" s="158">
        <v>0</v>
      </c>
      <c r="R137" s="155">
        <v>0</v>
      </c>
      <c r="S137" s="158">
        <v>0</v>
      </c>
      <c r="T137" s="155">
        <v>0</v>
      </c>
      <c r="U137" s="157">
        <v>0</v>
      </c>
      <c r="V137" t="e">
        <f>VLOOKUP(A137,'Projetos ciclo 2018-2022'!$I$8:$I$128,1,FALSE)</f>
        <v>#N/A</v>
      </c>
    </row>
    <row r="138" spans="1:22" x14ac:dyDescent="0.25">
      <c r="A138" s="149" t="s">
        <v>758</v>
      </c>
      <c r="B138" s="150" t="s">
        <v>1325</v>
      </c>
      <c r="C138" s="150" t="s">
        <v>1326</v>
      </c>
      <c r="D138" s="151">
        <v>0</v>
      </c>
      <c r="E138" s="152">
        <v>0</v>
      </c>
      <c r="F138" s="151">
        <v>0</v>
      </c>
      <c r="G138" s="152">
        <v>101</v>
      </c>
      <c r="H138" s="151">
        <v>0</v>
      </c>
      <c r="I138" s="152">
        <v>52.566009163856506</v>
      </c>
      <c r="J138" s="151">
        <v>0</v>
      </c>
      <c r="K138" s="152">
        <v>52.566009163856506</v>
      </c>
      <c r="L138" s="151">
        <v>0</v>
      </c>
      <c r="M138" s="152">
        <v>52.566009163856506</v>
      </c>
      <c r="N138" s="151">
        <v>0</v>
      </c>
      <c r="O138" s="152">
        <v>0</v>
      </c>
      <c r="P138" s="151">
        <v>0</v>
      </c>
      <c r="Q138" s="152">
        <v>0</v>
      </c>
      <c r="R138" s="151">
        <v>0</v>
      </c>
      <c r="S138" s="152">
        <v>0</v>
      </c>
      <c r="T138" s="151">
        <v>0</v>
      </c>
      <c r="U138" s="153">
        <v>0</v>
      </c>
      <c r="V138" t="e">
        <f>VLOOKUP(A138,'Projetos ciclo 2018-2022'!$I$8:$I$128,1,FALSE)</f>
        <v>#N/A</v>
      </c>
    </row>
    <row r="139" spans="1:22" x14ac:dyDescent="0.25">
      <c r="A139" s="21" t="s">
        <v>1327</v>
      </c>
      <c r="B139" s="154" t="s">
        <v>1328</v>
      </c>
      <c r="C139" s="154" t="s">
        <v>1329</v>
      </c>
      <c r="D139" s="155">
        <v>0</v>
      </c>
      <c r="E139" s="158">
        <v>0</v>
      </c>
      <c r="F139" s="155">
        <v>0</v>
      </c>
      <c r="G139" s="158">
        <v>0</v>
      </c>
      <c r="H139" s="155">
        <v>0</v>
      </c>
      <c r="I139" s="158">
        <v>0</v>
      </c>
      <c r="J139" s="155">
        <v>0</v>
      </c>
      <c r="K139" s="158">
        <v>0</v>
      </c>
      <c r="L139" s="155">
        <v>0</v>
      </c>
      <c r="M139" s="158">
        <v>0</v>
      </c>
      <c r="N139" s="155">
        <v>0</v>
      </c>
      <c r="O139" s="158">
        <v>0</v>
      </c>
      <c r="P139" s="155">
        <v>0</v>
      </c>
      <c r="Q139" s="158">
        <v>0</v>
      </c>
      <c r="R139" s="155">
        <v>0</v>
      </c>
      <c r="S139" s="158">
        <v>0</v>
      </c>
      <c r="T139" s="155">
        <v>0</v>
      </c>
      <c r="U139" s="157">
        <v>0</v>
      </c>
      <c r="V139" t="e">
        <f>VLOOKUP(A139,'Projetos ciclo 2018-2022'!$I$8:$I$128,1,FALSE)</f>
        <v>#N/A</v>
      </c>
    </row>
    <row r="140" spans="1:22" x14ac:dyDescent="0.25">
      <c r="A140" s="149" t="s">
        <v>757</v>
      </c>
      <c r="B140" s="150" t="s">
        <v>341</v>
      </c>
      <c r="C140" s="150" t="s">
        <v>1330</v>
      </c>
      <c r="D140" s="151">
        <v>0</v>
      </c>
      <c r="E140" s="152">
        <v>0</v>
      </c>
      <c r="F140" s="151">
        <v>0</v>
      </c>
      <c r="G140" s="152">
        <v>122</v>
      </c>
      <c r="H140" s="151">
        <v>0</v>
      </c>
      <c r="I140" s="152">
        <v>64.575159072875977</v>
      </c>
      <c r="J140" s="151">
        <v>0</v>
      </c>
      <c r="K140" s="152">
        <v>64.575159072875977</v>
      </c>
      <c r="L140" s="151">
        <v>0</v>
      </c>
      <c r="M140" s="152">
        <v>64.575159072875977</v>
      </c>
      <c r="N140" s="151">
        <v>0</v>
      </c>
      <c r="O140" s="152">
        <v>0</v>
      </c>
      <c r="P140" s="151">
        <v>0</v>
      </c>
      <c r="Q140" s="152">
        <v>0</v>
      </c>
      <c r="R140" s="151">
        <v>0</v>
      </c>
      <c r="S140" s="152">
        <v>0</v>
      </c>
      <c r="T140" s="151">
        <v>0</v>
      </c>
      <c r="U140" s="153">
        <v>0</v>
      </c>
      <c r="V140" t="e">
        <f>VLOOKUP(A140,'Projetos ciclo 2018-2022'!$I$8:$I$128,1,FALSE)</f>
        <v>#N/A</v>
      </c>
    </row>
    <row r="141" spans="1:22" x14ac:dyDescent="0.25">
      <c r="A141" s="21" t="s">
        <v>755</v>
      </c>
      <c r="B141" s="154" t="s">
        <v>1331</v>
      </c>
      <c r="C141" s="154" t="s">
        <v>1332</v>
      </c>
      <c r="D141" s="155">
        <v>0</v>
      </c>
      <c r="E141" s="158">
        <v>0</v>
      </c>
      <c r="F141" s="155">
        <v>0</v>
      </c>
      <c r="G141" s="158">
        <v>440</v>
      </c>
      <c r="H141" s="155">
        <v>0</v>
      </c>
      <c r="I141" s="158">
        <v>97.9273681640625</v>
      </c>
      <c r="J141" s="155">
        <v>0</v>
      </c>
      <c r="K141" s="158">
        <v>97.9273681640625</v>
      </c>
      <c r="L141" s="155">
        <v>340.23382568359375</v>
      </c>
      <c r="M141" s="158">
        <v>438.16119384765625</v>
      </c>
      <c r="N141" s="155">
        <v>0</v>
      </c>
      <c r="O141" s="158">
        <v>0</v>
      </c>
      <c r="P141" s="155">
        <v>0</v>
      </c>
      <c r="Q141" s="158">
        <v>0</v>
      </c>
      <c r="R141" s="155">
        <v>0</v>
      </c>
      <c r="S141" s="158">
        <v>0</v>
      </c>
      <c r="T141" s="155">
        <v>0</v>
      </c>
      <c r="U141" s="157">
        <v>0</v>
      </c>
      <c r="V141" t="e">
        <f>VLOOKUP(A141,'Projetos ciclo 2018-2022'!$I$8:$I$128,1,FALSE)</f>
        <v>#N/A</v>
      </c>
    </row>
    <row r="142" spans="1:22" x14ac:dyDescent="0.25">
      <c r="A142" s="149" t="s">
        <v>1333</v>
      </c>
      <c r="B142" s="150" t="s">
        <v>1334</v>
      </c>
      <c r="C142" s="150" t="s">
        <v>1335</v>
      </c>
      <c r="D142" s="151">
        <v>0</v>
      </c>
      <c r="E142" s="152">
        <v>0</v>
      </c>
      <c r="F142" s="151">
        <v>0</v>
      </c>
      <c r="G142" s="152">
        <v>0</v>
      </c>
      <c r="H142" s="151">
        <v>0</v>
      </c>
      <c r="I142" s="152">
        <v>0</v>
      </c>
      <c r="J142" s="151">
        <v>0</v>
      </c>
      <c r="K142" s="152">
        <v>0</v>
      </c>
      <c r="L142" s="151">
        <v>0</v>
      </c>
      <c r="M142" s="152">
        <v>0</v>
      </c>
      <c r="N142" s="151">
        <v>0</v>
      </c>
      <c r="O142" s="152">
        <v>0</v>
      </c>
      <c r="P142" s="151">
        <v>0</v>
      </c>
      <c r="Q142" s="152">
        <v>0</v>
      </c>
      <c r="R142" s="151">
        <v>0</v>
      </c>
      <c r="S142" s="152">
        <v>0</v>
      </c>
      <c r="T142" s="151">
        <v>0</v>
      </c>
      <c r="U142" s="153">
        <v>0</v>
      </c>
      <c r="V142" t="e">
        <f>VLOOKUP(A142,'Projetos ciclo 2018-2022'!$I$8:$I$128,1,FALSE)</f>
        <v>#N/A</v>
      </c>
    </row>
    <row r="143" spans="1:22" x14ac:dyDescent="0.25">
      <c r="A143" s="21" t="s">
        <v>1336</v>
      </c>
      <c r="B143" s="154" t="s">
        <v>823</v>
      </c>
      <c r="C143" s="154" t="s">
        <v>1337</v>
      </c>
      <c r="D143" s="155">
        <v>0</v>
      </c>
      <c r="E143" s="158">
        <v>0</v>
      </c>
      <c r="F143" s="155">
        <v>0</v>
      </c>
      <c r="G143" s="158">
        <v>0</v>
      </c>
      <c r="H143" s="155">
        <v>0</v>
      </c>
      <c r="I143" s="158">
        <v>0</v>
      </c>
      <c r="J143" s="155">
        <v>0</v>
      </c>
      <c r="K143" s="158">
        <v>0</v>
      </c>
      <c r="L143" s="155">
        <v>0</v>
      </c>
      <c r="M143" s="158">
        <v>0</v>
      </c>
      <c r="N143" s="155">
        <v>0</v>
      </c>
      <c r="O143" s="158">
        <v>0</v>
      </c>
      <c r="P143" s="155">
        <v>0</v>
      </c>
      <c r="Q143" s="158">
        <v>0</v>
      </c>
      <c r="R143" s="155">
        <v>0</v>
      </c>
      <c r="S143" s="158">
        <v>0</v>
      </c>
      <c r="T143" s="155">
        <v>0</v>
      </c>
      <c r="U143" s="157">
        <v>0</v>
      </c>
      <c r="V143" t="e">
        <f>VLOOKUP(A143,'Projetos ciclo 2018-2022'!$I$8:$I$128,1,FALSE)</f>
        <v>#N/A</v>
      </c>
    </row>
    <row r="144" spans="1:22" x14ac:dyDescent="0.25">
      <c r="A144" s="149" t="s">
        <v>1189</v>
      </c>
      <c r="B144" s="150" t="s">
        <v>1338</v>
      </c>
      <c r="C144" s="150" t="s">
        <v>1190</v>
      </c>
      <c r="D144" s="151">
        <v>0</v>
      </c>
      <c r="E144" s="152">
        <v>0</v>
      </c>
      <c r="F144" s="151">
        <v>0</v>
      </c>
      <c r="G144" s="152">
        <v>1</v>
      </c>
      <c r="H144" s="151">
        <v>0</v>
      </c>
      <c r="I144" s="152">
        <v>0.70901525020599365</v>
      </c>
      <c r="J144" s="151">
        <v>0</v>
      </c>
      <c r="K144" s="152">
        <v>0.70901525020599365</v>
      </c>
      <c r="L144" s="151">
        <v>0</v>
      </c>
      <c r="M144" s="152">
        <v>0.70901525020599365</v>
      </c>
      <c r="N144" s="151">
        <v>0</v>
      </c>
      <c r="O144" s="152">
        <v>0</v>
      </c>
      <c r="P144" s="151">
        <v>0</v>
      </c>
      <c r="Q144" s="152">
        <v>0</v>
      </c>
      <c r="R144" s="151">
        <v>0</v>
      </c>
      <c r="S144" s="152">
        <v>0</v>
      </c>
      <c r="T144" s="151">
        <v>0</v>
      </c>
      <c r="U144" s="153">
        <v>0</v>
      </c>
      <c r="V144" t="e">
        <f>VLOOKUP(A144,'Projetos ciclo 2018-2022'!$I$8:$I$128,1,FALSE)</f>
        <v>#N/A</v>
      </c>
    </row>
    <row r="145" spans="1:22" x14ac:dyDescent="0.25">
      <c r="A145" s="21" t="s">
        <v>1339</v>
      </c>
      <c r="B145" s="154" t="s">
        <v>1003</v>
      </c>
      <c r="C145" s="154" t="s">
        <v>1340</v>
      </c>
      <c r="D145" s="155">
        <v>0</v>
      </c>
      <c r="E145" s="158">
        <v>0</v>
      </c>
      <c r="F145" s="155">
        <v>0</v>
      </c>
      <c r="G145" s="158">
        <v>0</v>
      </c>
      <c r="H145" s="155">
        <v>0</v>
      </c>
      <c r="I145" s="158">
        <v>0</v>
      </c>
      <c r="J145" s="155">
        <v>0</v>
      </c>
      <c r="K145" s="158">
        <v>0</v>
      </c>
      <c r="L145" s="155">
        <v>0</v>
      </c>
      <c r="M145" s="158">
        <v>0</v>
      </c>
      <c r="N145" s="155">
        <v>0</v>
      </c>
      <c r="O145" s="158">
        <v>0</v>
      </c>
      <c r="P145" s="155">
        <v>0</v>
      </c>
      <c r="Q145" s="158">
        <v>0</v>
      </c>
      <c r="R145" s="155">
        <v>0</v>
      </c>
      <c r="S145" s="158">
        <v>0</v>
      </c>
      <c r="T145" s="155">
        <v>0</v>
      </c>
      <c r="U145" s="157">
        <v>0</v>
      </c>
      <c r="V145" t="e">
        <f>VLOOKUP(A145,'Projetos ciclo 2018-2022'!$I$8:$I$128,1,FALSE)</f>
        <v>#N/A</v>
      </c>
    </row>
    <row r="146" spans="1:22" x14ac:dyDescent="0.25">
      <c r="A146" s="149" t="s">
        <v>564</v>
      </c>
      <c r="B146" s="150" t="s">
        <v>1341</v>
      </c>
      <c r="C146" s="150" t="s">
        <v>1342</v>
      </c>
      <c r="D146" s="151">
        <v>0</v>
      </c>
      <c r="E146" s="152">
        <v>0</v>
      </c>
      <c r="F146" s="151">
        <v>0</v>
      </c>
      <c r="G146" s="152">
        <v>2954</v>
      </c>
      <c r="H146" s="151">
        <v>0</v>
      </c>
      <c r="I146" s="152">
        <v>66.024219512939453</v>
      </c>
      <c r="J146" s="151">
        <v>0</v>
      </c>
      <c r="K146" s="152">
        <v>66.024219512939453</v>
      </c>
      <c r="L146" s="151">
        <v>427.95001220703125</v>
      </c>
      <c r="M146" s="152">
        <v>493.9742317199707</v>
      </c>
      <c r="N146" s="151">
        <v>0</v>
      </c>
      <c r="O146" s="152">
        <v>0</v>
      </c>
      <c r="P146" s="151">
        <v>0</v>
      </c>
      <c r="Q146" s="152">
        <v>0</v>
      </c>
      <c r="R146" s="151">
        <v>0</v>
      </c>
      <c r="S146" s="152">
        <v>0</v>
      </c>
      <c r="T146" s="151">
        <v>0</v>
      </c>
      <c r="U146" s="153">
        <v>0</v>
      </c>
      <c r="V146" t="e">
        <f>VLOOKUP(A146,'Projetos ciclo 2018-2022'!$I$8:$I$128,1,FALSE)</f>
        <v>#N/A</v>
      </c>
    </row>
    <row r="147" spans="1:22" x14ac:dyDescent="0.25">
      <c r="A147" s="21" t="s">
        <v>1343</v>
      </c>
      <c r="B147" s="154" t="s">
        <v>1344</v>
      </c>
      <c r="C147" s="154" t="s">
        <v>1345</v>
      </c>
      <c r="D147" s="155">
        <v>0</v>
      </c>
      <c r="E147" s="158">
        <v>0</v>
      </c>
      <c r="F147" s="155">
        <v>0</v>
      </c>
      <c r="G147" s="158">
        <v>0</v>
      </c>
      <c r="H147" s="155">
        <v>0</v>
      </c>
      <c r="I147" s="158">
        <v>0</v>
      </c>
      <c r="J147" s="155">
        <v>0</v>
      </c>
      <c r="K147" s="158">
        <v>0</v>
      </c>
      <c r="L147" s="155">
        <v>0</v>
      </c>
      <c r="M147" s="158">
        <v>0</v>
      </c>
      <c r="N147" s="155">
        <v>0</v>
      </c>
      <c r="O147" s="158">
        <v>0</v>
      </c>
      <c r="P147" s="155">
        <v>0</v>
      </c>
      <c r="Q147" s="158">
        <v>0</v>
      </c>
      <c r="R147" s="155">
        <v>0</v>
      </c>
      <c r="S147" s="158">
        <v>0</v>
      </c>
      <c r="T147" s="155">
        <v>0</v>
      </c>
      <c r="U147" s="157">
        <v>0</v>
      </c>
      <c r="V147" t="e">
        <f>VLOOKUP(A147,'Projetos ciclo 2018-2022'!$I$8:$I$128,1,FALSE)</f>
        <v>#N/A</v>
      </c>
    </row>
    <row r="148" spans="1:22" x14ac:dyDescent="0.25">
      <c r="A148" s="149" t="s">
        <v>1167</v>
      </c>
      <c r="B148" s="150" t="s">
        <v>1346</v>
      </c>
      <c r="C148" s="150" t="s">
        <v>1168</v>
      </c>
      <c r="D148" s="151">
        <v>0</v>
      </c>
      <c r="E148" s="152">
        <v>0</v>
      </c>
      <c r="F148" s="151">
        <v>0</v>
      </c>
      <c r="G148" s="152">
        <v>1606</v>
      </c>
      <c r="H148" s="151">
        <v>0</v>
      </c>
      <c r="I148" s="152">
        <v>1236.459716796875</v>
      </c>
      <c r="J148" s="151">
        <v>0</v>
      </c>
      <c r="K148" s="152">
        <v>1236.459716796875</v>
      </c>
      <c r="L148" s="151">
        <v>0</v>
      </c>
      <c r="M148" s="152">
        <v>1236.459716796875</v>
      </c>
      <c r="N148" s="151">
        <v>0</v>
      </c>
      <c r="O148" s="152">
        <v>0</v>
      </c>
      <c r="P148" s="151">
        <v>0</v>
      </c>
      <c r="Q148" s="152">
        <v>0</v>
      </c>
      <c r="R148" s="151">
        <v>0</v>
      </c>
      <c r="S148" s="152">
        <v>0</v>
      </c>
      <c r="T148" s="151">
        <v>0</v>
      </c>
      <c r="U148" s="153">
        <v>0</v>
      </c>
      <c r="V148" t="e">
        <f>VLOOKUP(A148,'Projetos ciclo 2018-2022'!$I$8:$I$128,1,FALSE)</f>
        <v>#N/A</v>
      </c>
    </row>
    <row r="149" spans="1:22" x14ac:dyDescent="0.25">
      <c r="A149" s="21" t="s">
        <v>1347</v>
      </c>
      <c r="B149" s="154" t="s">
        <v>1348</v>
      </c>
      <c r="C149" s="154" t="s">
        <v>1349</v>
      </c>
      <c r="D149" s="155">
        <v>0</v>
      </c>
      <c r="E149" s="158">
        <v>0</v>
      </c>
      <c r="F149" s="155">
        <v>0</v>
      </c>
      <c r="G149" s="158">
        <v>0</v>
      </c>
      <c r="H149" s="155">
        <v>0</v>
      </c>
      <c r="I149" s="158">
        <v>-0.51274001598358154</v>
      </c>
      <c r="J149" s="155">
        <v>0</v>
      </c>
      <c r="K149" s="158">
        <v>-0.51274001598358154</v>
      </c>
      <c r="L149" s="155">
        <v>0</v>
      </c>
      <c r="M149" s="158">
        <v>-0.51274001598358154</v>
      </c>
      <c r="N149" s="155">
        <v>0</v>
      </c>
      <c r="O149" s="158">
        <v>0</v>
      </c>
      <c r="P149" s="155">
        <v>0</v>
      </c>
      <c r="Q149" s="158">
        <v>0</v>
      </c>
      <c r="R149" s="155">
        <v>0</v>
      </c>
      <c r="S149" s="158">
        <v>0</v>
      </c>
      <c r="T149" s="155">
        <v>0</v>
      </c>
      <c r="U149" s="157">
        <v>0</v>
      </c>
      <c r="V149" t="e">
        <f>VLOOKUP(A149,'Projetos ciclo 2018-2022'!$I$8:$I$128,1,FALSE)</f>
        <v>#N/A</v>
      </c>
    </row>
    <row r="150" spans="1:22" x14ac:dyDescent="0.25">
      <c r="A150" s="149" t="s">
        <v>1350</v>
      </c>
      <c r="B150" s="150" t="s">
        <v>1351</v>
      </c>
      <c r="C150" s="150" t="s">
        <v>1352</v>
      </c>
      <c r="D150" s="151">
        <v>0</v>
      </c>
      <c r="E150" s="152">
        <v>0</v>
      </c>
      <c r="F150" s="151">
        <v>0</v>
      </c>
      <c r="G150" s="152">
        <v>0</v>
      </c>
      <c r="H150" s="151">
        <v>0</v>
      </c>
      <c r="I150" s="152">
        <v>0</v>
      </c>
      <c r="J150" s="151">
        <v>0</v>
      </c>
      <c r="K150" s="152">
        <v>0</v>
      </c>
      <c r="L150" s="151">
        <v>0</v>
      </c>
      <c r="M150" s="152">
        <v>0</v>
      </c>
      <c r="N150" s="151">
        <v>0</v>
      </c>
      <c r="O150" s="152">
        <v>0</v>
      </c>
      <c r="P150" s="151">
        <v>0</v>
      </c>
      <c r="Q150" s="152">
        <v>0</v>
      </c>
      <c r="R150" s="151">
        <v>0</v>
      </c>
      <c r="S150" s="152">
        <v>0</v>
      </c>
      <c r="T150" s="151">
        <v>0</v>
      </c>
      <c r="U150" s="153">
        <v>0</v>
      </c>
      <c r="V150" t="e">
        <f>VLOOKUP(A150,'Projetos ciclo 2018-2022'!$I$8:$I$128,1,FALSE)</f>
        <v>#N/A</v>
      </c>
    </row>
    <row r="151" spans="1:22" x14ac:dyDescent="0.25">
      <c r="A151" s="21" t="s">
        <v>759</v>
      </c>
      <c r="B151" s="154" t="s">
        <v>347</v>
      </c>
      <c r="C151" s="154" t="s">
        <v>1353</v>
      </c>
      <c r="D151" s="155">
        <v>0</v>
      </c>
      <c r="E151" s="158">
        <v>0</v>
      </c>
      <c r="F151" s="155">
        <v>0</v>
      </c>
      <c r="G151" s="158">
        <v>217</v>
      </c>
      <c r="H151" s="155">
        <v>0</v>
      </c>
      <c r="I151" s="158">
        <v>114.65245056152344</v>
      </c>
      <c r="J151" s="155">
        <v>0</v>
      </c>
      <c r="K151" s="158">
        <v>114.65245056152344</v>
      </c>
      <c r="L151" s="155">
        <v>0</v>
      </c>
      <c r="M151" s="158">
        <v>114.65245056152344</v>
      </c>
      <c r="N151" s="155">
        <v>0</v>
      </c>
      <c r="O151" s="158">
        <v>0</v>
      </c>
      <c r="P151" s="155">
        <v>0</v>
      </c>
      <c r="Q151" s="158">
        <v>0</v>
      </c>
      <c r="R151" s="155">
        <v>0</v>
      </c>
      <c r="S151" s="158">
        <v>0</v>
      </c>
      <c r="T151" s="155">
        <v>0</v>
      </c>
      <c r="U151" s="157">
        <v>0</v>
      </c>
      <c r="V151" t="e">
        <f>VLOOKUP(A151,'Projetos ciclo 2018-2022'!$I$8:$I$128,1,FALSE)</f>
        <v>#N/A</v>
      </c>
    </row>
    <row r="152" spans="1:22" x14ac:dyDescent="0.25">
      <c r="A152" s="149" t="s">
        <v>1354</v>
      </c>
      <c r="B152" s="150" t="s">
        <v>1355</v>
      </c>
      <c r="C152" s="150" t="s">
        <v>1356</v>
      </c>
      <c r="D152" s="151">
        <v>67924</v>
      </c>
      <c r="E152" s="152">
        <v>0</v>
      </c>
      <c r="F152" s="151">
        <v>54226</v>
      </c>
      <c r="G152" s="152">
        <v>0</v>
      </c>
      <c r="H152" s="151">
        <v>7110</v>
      </c>
      <c r="I152" s="152">
        <v>0</v>
      </c>
      <c r="J152" s="151">
        <v>0</v>
      </c>
      <c r="K152" s="152">
        <v>0</v>
      </c>
      <c r="L152" s="151">
        <v>0</v>
      </c>
      <c r="M152" s="152">
        <v>0</v>
      </c>
      <c r="N152" s="151">
        <v>6867</v>
      </c>
      <c r="O152" s="152">
        <v>3690</v>
      </c>
      <c r="P152" s="151">
        <v>3141</v>
      </c>
      <c r="Q152" s="152">
        <v>0</v>
      </c>
      <c r="R152" s="151">
        <v>0</v>
      </c>
      <c r="S152" s="152">
        <v>0</v>
      </c>
      <c r="T152" s="151">
        <v>0</v>
      </c>
      <c r="U152" s="153">
        <v>0</v>
      </c>
      <c r="V152" t="e">
        <f>VLOOKUP(A152,'Projetos ciclo 2018-2022'!$I$8:$I$128,1,FALSE)</f>
        <v>#N/A</v>
      </c>
    </row>
    <row r="153" spans="1:22" x14ac:dyDescent="0.25">
      <c r="A153" s="21" t="s">
        <v>1357</v>
      </c>
      <c r="B153" s="154" t="s">
        <v>1358</v>
      </c>
      <c r="C153" s="154" t="s">
        <v>1359</v>
      </c>
      <c r="D153" s="155">
        <v>0</v>
      </c>
      <c r="E153" s="158">
        <v>0</v>
      </c>
      <c r="F153" s="155">
        <v>0</v>
      </c>
      <c r="G153" s="158">
        <v>0</v>
      </c>
      <c r="H153" s="155">
        <v>0</v>
      </c>
      <c r="I153" s="158">
        <v>0</v>
      </c>
      <c r="J153" s="155">
        <v>0</v>
      </c>
      <c r="K153" s="158">
        <v>0</v>
      </c>
      <c r="L153" s="155">
        <v>0</v>
      </c>
      <c r="M153" s="158">
        <v>0</v>
      </c>
      <c r="N153" s="155">
        <v>0</v>
      </c>
      <c r="O153" s="158">
        <v>0</v>
      </c>
      <c r="P153" s="155">
        <v>0</v>
      </c>
      <c r="Q153" s="158">
        <v>0</v>
      </c>
      <c r="R153" s="155">
        <v>0</v>
      </c>
      <c r="S153" s="158">
        <v>0</v>
      </c>
      <c r="T153" s="155">
        <v>0</v>
      </c>
      <c r="U153" s="157">
        <v>0</v>
      </c>
      <c r="V153" t="e">
        <f>VLOOKUP(A153,'Projetos ciclo 2018-2022'!$I$8:$I$128,1,FALSE)</f>
        <v>#N/A</v>
      </c>
    </row>
    <row r="154" spans="1:22" x14ac:dyDescent="0.25">
      <c r="A154" s="149" t="s">
        <v>752</v>
      </c>
      <c r="B154" s="150" t="s">
        <v>329</v>
      </c>
      <c r="C154" s="150" t="s">
        <v>1360</v>
      </c>
      <c r="D154" s="151">
        <v>0</v>
      </c>
      <c r="E154" s="152">
        <v>0</v>
      </c>
      <c r="F154" s="151">
        <v>0</v>
      </c>
      <c r="G154" s="152">
        <v>5268</v>
      </c>
      <c r="H154" s="151">
        <v>0</v>
      </c>
      <c r="I154" s="152">
        <v>2860.1967809200287</v>
      </c>
      <c r="J154" s="151">
        <v>0</v>
      </c>
      <c r="K154" s="152">
        <v>2860.1967809200287</v>
      </c>
      <c r="L154" s="151">
        <v>0</v>
      </c>
      <c r="M154" s="152">
        <v>2860.1967809200287</v>
      </c>
      <c r="N154" s="151">
        <v>0</v>
      </c>
      <c r="O154" s="152">
        <v>0</v>
      </c>
      <c r="P154" s="151">
        <v>0</v>
      </c>
      <c r="Q154" s="152">
        <v>0</v>
      </c>
      <c r="R154" s="151">
        <v>0</v>
      </c>
      <c r="S154" s="152">
        <v>0</v>
      </c>
      <c r="T154" s="151">
        <v>0</v>
      </c>
      <c r="U154" s="153">
        <v>0</v>
      </c>
      <c r="V154" t="e">
        <f>VLOOKUP(A154,'Projetos ciclo 2018-2022'!$I$8:$I$128,1,FALSE)</f>
        <v>#N/A</v>
      </c>
    </row>
    <row r="155" spans="1:22" x14ac:dyDescent="0.25">
      <c r="A155" s="21" t="s">
        <v>763</v>
      </c>
      <c r="B155" s="154" t="s">
        <v>1361</v>
      </c>
      <c r="C155" s="154" t="s">
        <v>1362</v>
      </c>
      <c r="D155" s="155">
        <v>0</v>
      </c>
      <c r="E155" s="158">
        <v>0</v>
      </c>
      <c r="F155" s="155">
        <v>0</v>
      </c>
      <c r="G155" s="158">
        <v>684</v>
      </c>
      <c r="H155" s="155">
        <v>0</v>
      </c>
      <c r="I155" s="158">
        <v>72.963031768798828</v>
      </c>
      <c r="J155" s="155">
        <v>0</v>
      </c>
      <c r="K155" s="158">
        <v>72.963031768798828</v>
      </c>
      <c r="L155" s="155">
        <v>0</v>
      </c>
      <c r="M155" s="158">
        <v>72.963031768798828</v>
      </c>
      <c r="N155" s="155">
        <v>0</v>
      </c>
      <c r="O155" s="158">
        <v>0</v>
      </c>
      <c r="P155" s="155">
        <v>0</v>
      </c>
      <c r="Q155" s="158">
        <v>0</v>
      </c>
      <c r="R155" s="155">
        <v>0</v>
      </c>
      <c r="S155" s="158">
        <v>0</v>
      </c>
      <c r="T155" s="155">
        <v>0</v>
      </c>
      <c r="U155" s="157">
        <v>0</v>
      </c>
      <c r="V155" t="e">
        <f>VLOOKUP(A155,'Projetos ciclo 2018-2022'!$I$8:$I$128,1,FALSE)</f>
        <v>#N/A</v>
      </c>
    </row>
    <row r="156" spans="1:22" x14ac:dyDescent="0.25">
      <c r="A156" s="149" t="s">
        <v>563</v>
      </c>
      <c r="B156" s="150" t="s">
        <v>1363</v>
      </c>
      <c r="C156" s="150" t="s">
        <v>1364</v>
      </c>
      <c r="D156" s="151">
        <v>0</v>
      </c>
      <c r="E156" s="152">
        <v>0</v>
      </c>
      <c r="F156" s="151">
        <v>0</v>
      </c>
      <c r="G156" s="152">
        <v>6163</v>
      </c>
      <c r="H156" s="151">
        <v>0</v>
      </c>
      <c r="I156" s="152">
        <v>160.23846435546875</v>
      </c>
      <c r="J156" s="151">
        <v>0</v>
      </c>
      <c r="K156" s="152">
        <v>160.23846435546875</v>
      </c>
      <c r="L156" s="151">
        <v>2.4313900470733643</v>
      </c>
      <c r="M156" s="152">
        <v>162.66985440254211</v>
      </c>
      <c r="N156" s="151">
        <v>0</v>
      </c>
      <c r="O156" s="152">
        <v>0</v>
      </c>
      <c r="P156" s="151">
        <v>0</v>
      </c>
      <c r="Q156" s="152">
        <v>0</v>
      </c>
      <c r="R156" s="151">
        <v>0</v>
      </c>
      <c r="S156" s="152">
        <v>0</v>
      </c>
      <c r="T156" s="151">
        <v>0</v>
      </c>
      <c r="U156" s="153">
        <v>0</v>
      </c>
      <c r="V156" t="e">
        <f>VLOOKUP(A156,'Projetos ciclo 2018-2022'!$I$8:$I$128,1,FALSE)</f>
        <v>#N/A</v>
      </c>
    </row>
    <row r="157" spans="1:22" x14ac:dyDescent="0.25">
      <c r="A157" s="21" t="s">
        <v>767</v>
      </c>
      <c r="B157" s="154" t="s">
        <v>768</v>
      </c>
      <c r="C157" s="154" t="s">
        <v>1365</v>
      </c>
      <c r="D157" s="155">
        <v>0</v>
      </c>
      <c r="E157" s="158">
        <v>0</v>
      </c>
      <c r="F157" s="155">
        <v>0</v>
      </c>
      <c r="G157" s="158">
        <v>0</v>
      </c>
      <c r="H157" s="155">
        <v>0</v>
      </c>
      <c r="I157" s="158">
        <v>0</v>
      </c>
      <c r="J157" s="155">
        <v>0</v>
      </c>
      <c r="K157" s="158">
        <v>0</v>
      </c>
      <c r="L157" s="155">
        <v>0</v>
      </c>
      <c r="M157" s="158">
        <v>0</v>
      </c>
      <c r="N157" s="155">
        <v>0</v>
      </c>
      <c r="O157" s="158">
        <v>0</v>
      </c>
      <c r="P157" s="155">
        <v>0</v>
      </c>
      <c r="Q157" s="158">
        <v>0</v>
      </c>
      <c r="R157" s="155">
        <v>0</v>
      </c>
      <c r="S157" s="158">
        <v>0</v>
      </c>
      <c r="T157" s="155">
        <v>0</v>
      </c>
      <c r="U157" s="157">
        <v>0</v>
      </c>
      <c r="V157" t="e">
        <f>VLOOKUP(A157,'Projetos ciclo 2018-2022'!$I$8:$I$128,1,FALSE)</f>
        <v>#N/A</v>
      </c>
    </row>
    <row r="158" spans="1:22" x14ac:dyDescent="0.25">
      <c r="A158" s="149" t="s">
        <v>754</v>
      </c>
      <c r="B158" s="150" t="s">
        <v>1366</v>
      </c>
      <c r="C158" s="150" t="s">
        <v>1367</v>
      </c>
      <c r="D158" s="151">
        <v>0</v>
      </c>
      <c r="E158" s="152">
        <v>0</v>
      </c>
      <c r="F158" s="151">
        <v>0</v>
      </c>
      <c r="G158" s="152">
        <v>0</v>
      </c>
      <c r="H158" s="151">
        <v>0</v>
      </c>
      <c r="I158" s="152">
        <v>0</v>
      </c>
      <c r="J158" s="151">
        <v>0</v>
      </c>
      <c r="K158" s="152">
        <v>0</v>
      </c>
      <c r="L158" s="151">
        <v>0</v>
      </c>
      <c r="M158" s="152">
        <v>0</v>
      </c>
      <c r="N158" s="151">
        <v>0</v>
      </c>
      <c r="O158" s="152">
        <v>0</v>
      </c>
      <c r="P158" s="151">
        <v>0</v>
      </c>
      <c r="Q158" s="152">
        <v>0</v>
      </c>
      <c r="R158" s="151">
        <v>0</v>
      </c>
      <c r="S158" s="152">
        <v>0</v>
      </c>
      <c r="T158" s="151">
        <v>0</v>
      </c>
      <c r="U158" s="153">
        <v>0</v>
      </c>
      <c r="V158" t="e">
        <f>VLOOKUP(A158,'Projetos ciclo 2018-2022'!$I$8:$I$128,1,FALSE)</f>
        <v>#N/A</v>
      </c>
    </row>
    <row r="159" spans="1:22" x14ac:dyDescent="0.25">
      <c r="A159" s="21" t="s">
        <v>1175</v>
      </c>
      <c r="B159" s="154" t="s">
        <v>1173</v>
      </c>
      <c r="C159" s="154" t="s">
        <v>1176</v>
      </c>
      <c r="D159" s="155">
        <v>0</v>
      </c>
      <c r="E159" s="158">
        <v>0</v>
      </c>
      <c r="F159" s="155">
        <v>0</v>
      </c>
      <c r="G159" s="158">
        <v>300</v>
      </c>
      <c r="H159" s="155">
        <v>0</v>
      </c>
      <c r="I159" s="158">
        <v>0</v>
      </c>
      <c r="J159" s="155">
        <v>0</v>
      </c>
      <c r="K159" s="158">
        <v>0</v>
      </c>
      <c r="L159" s="155">
        <v>0</v>
      </c>
      <c r="M159" s="158">
        <v>0</v>
      </c>
      <c r="N159" s="155">
        <v>0</v>
      </c>
      <c r="O159" s="158">
        <v>0</v>
      </c>
      <c r="P159" s="155">
        <v>0</v>
      </c>
      <c r="Q159" s="158">
        <v>0</v>
      </c>
      <c r="R159" s="155">
        <v>0</v>
      </c>
      <c r="S159" s="158">
        <v>0</v>
      </c>
      <c r="T159" s="155">
        <v>0</v>
      </c>
      <c r="U159" s="157">
        <v>0</v>
      </c>
      <c r="V159" t="e">
        <f>VLOOKUP(A159,'Projetos ciclo 2018-2022'!$I$8:$I$128,1,FALSE)</f>
        <v>#N/A</v>
      </c>
    </row>
    <row r="160" spans="1:22" x14ac:dyDescent="0.25">
      <c r="A160" s="149" t="s">
        <v>1368</v>
      </c>
      <c r="B160" s="150" t="s">
        <v>1369</v>
      </c>
      <c r="C160" s="150" t="s">
        <v>1370</v>
      </c>
      <c r="D160" s="151">
        <v>0</v>
      </c>
      <c r="E160" s="152">
        <v>0</v>
      </c>
      <c r="F160" s="151">
        <v>0</v>
      </c>
      <c r="G160" s="152">
        <v>373</v>
      </c>
      <c r="H160" s="151">
        <v>0</v>
      </c>
      <c r="I160" s="152">
        <v>42.032360076904297</v>
      </c>
      <c r="J160" s="151">
        <v>0</v>
      </c>
      <c r="K160" s="152">
        <v>42.032360076904297</v>
      </c>
      <c r="L160" s="151">
        <v>176.40750122070312</v>
      </c>
      <c r="M160" s="152">
        <v>218.43986129760742</v>
      </c>
      <c r="N160" s="151">
        <v>0</v>
      </c>
      <c r="O160" s="152">
        <v>0</v>
      </c>
      <c r="P160" s="151">
        <v>0</v>
      </c>
      <c r="Q160" s="152">
        <v>0</v>
      </c>
      <c r="R160" s="151">
        <v>0</v>
      </c>
      <c r="S160" s="152">
        <v>0</v>
      </c>
      <c r="T160" s="151">
        <v>0</v>
      </c>
      <c r="U160" s="153">
        <v>0</v>
      </c>
      <c r="V160" t="e">
        <f>VLOOKUP(A160,'Projetos ciclo 2018-2022'!$I$8:$I$128,1,FALSE)</f>
        <v>#N/A</v>
      </c>
    </row>
    <row r="161" spans="1:22" x14ac:dyDescent="0.25">
      <c r="A161" s="21" t="s">
        <v>1171</v>
      </c>
      <c r="B161" s="154" t="s">
        <v>764</v>
      </c>
      <c r="C161" s="154" t="s">
        <v>1172</v>
      </c>
      <c r="D161" s="155">
        <v>0</v>
      </c>
      <c r="E161" s="158">
        <v>0</v>
      </c>
      <c r="F161" s="155">
        <v>0</v>
      </c>
      <c r="G161" s="158">
        <v>693</v>
      </c>
      <c r="H161" s="155">
        <v>0</v>
      </c>
      <c r="I161" s="158">
        <v>0</v>
      </c>
      <c r="J161" s="155">
        <v>0</v>
      </c>
      <c r="K161" s="158">
        <v>0</v>
      </c>
      <c r="L161" s="155">
        <v>693.4403076171875</v>
      </c>
      <c r="M161" s="158">
        <v>693.4403076171875</v>
      </c>
      <c r="N161" s="155">
        <v>0</v>
      </c>
      <c r="O161" s="158">
        <v>0</v>
      </c>
      <c r="P161" s="155">
        <v>0</v>
      </c>
      <c r="Q161" s="158">
        <v>0</v>
      </c>
      <c r="R161" s="155">
        <v>0</v>
      </c>
      <c r="S161" s="158">
        <v>0</v>
      </c>
      <c r="T161" s="155">
        <v>0</v>
      </c>
      <c r="U161" s="157">
        <v>0</v>
      </c>
      <c r="V161" t="e">
        <f>VLOOKUP(A161,'Projetos ciclo 2018-2022'!$I$8:$I$128,1,FALSE)</f>
        <v>#N/A</v>
      </c>
    </row>
    <row r="162" spans="1:22" x14ac:dyDescent="0.25">
      <c r="A162" s="149" t="s">
        <v>753</v>
      </c>
      <c r="B162" s="150" t="s">
        <v>1371</v>
      </c>
      <c r="C162" s="150" t="s">
        <v>1372</v>
      </c>
      <c r="D162" s="151">
        <v>0</v>
      </c>
      <c r="E162" s="152">
        <v>0</v>
      </c>
      <c r="F162" s="151">
        <v>0</v>
      </c>
      <c r="G162" s="152">
        <v>350</v>
      </c>
      <c r="H162" s="151">
        <v>0</v>
      </c>
      <c r="I162" s="152">
        <v>0</v>
      </c>
      <c r="J162" s="151">
        <v>0</v>
      </c>
      <c r="K162" s="152">
        <v>0</v>
      </c>
      <c r="L162" s="151">
        <v>0</v>
      </c>
      <c r="M162" s="152">
        <v>0</v>
      </c>
      <c r="N162" s="151">
        <v>0</v>
      </c>
      <c r="O162" s="152">
        <v>0</v>
      </c>
      <c r="P162" s="151">
        <v>0</v>
      </c>
      <c r="Q162" s="152">
        <v>0</v>
      </c>
      <c r="R162" s="151">
        <v>0</v>
      </c>
      <c r="S162" s="152">
        <v>0</v>
      </c>
      <c r="T162" s="151">
        <v>0</v>
      </c>
      <c r="U162" s="153">
        <v>0</v>
      </c>
      <c r="V162" t="e">
        <f>VLOOKUP(A162,'Projetos ciclo 2018-2022'!$I$8:$I$128,1,FALSE)</f>
        <v>#N/A</v>
      </c>
    </row>
    <row r="163" spans="1:22" x14ac:dyDescent="0.25">
      <c r="A163" s="21" t="s">
        <v>566</v>
      </c>
      <c r="B163" s="154" t="s">
        <v>1373</v>
      </c>
      <c r="C163" s="154" t="s">
        <v>1374</v>
      </c>
      <c r="D163" s="155">
        <v>0</v>
      </c>
      <c r="E163" s="158">
        <v>0</v>
      </c>
      <c r="F163" s="155">
        <v>0</v>
      </c>
      <c r="G163" s="158">
        <v>0</v>
      </c>
      <c r="H163" s="155">
        <v>0</v>
      </c>
      <c r="I163" s="158">
        <v>0</v>
      </c>
      <c r="J163" s="155">
        <v>0</v>
      </c>
      <c r="K163" s="158">
        <v>0</v>
      </c>
      <c r="L163" s="155">
        <v>0</v>
      </c>
      <c r="M163" s="158">
        <v>0</v>
      </c>
      <c r="N163" s="155">
        <v>0</v>
      </c>
      <c r="O163" s="158">
        <v>0</v>
      </c>
      <c r="P163" s="155">
        <v>0</v>
      </c>
      <c r="Q163" s="158">
        <v>0</v>
      </c>
      <c r="R163" s="155">
        <v>0</v>
      </c>
      <c r="S163" s="158">
        <v>0</v>
      </c>
      <c r="T163" s="155">
        <v>0</v>
      </c>
      <c r="U163" s="157">
        <v>0</v>
      </c>
      <c r="V163" t="e">
        <f>VLOOKUP(A163,'Projetos ciclo 2018-2022'!$I$8:$I$128,1,FALSE)</f>
        <v>#N/A</v>
      </c>
    </row>
    <row r="164" spans="1:22" x14ac:dyDescent="0.25">
      <c r="A164" s="149" t="s">
        <v>568</v>
      </c>
      <c r="B164" s="150" t="s">
        <v>567</v>
      </c>
      <c r="C164" s="150" t="s">
        <v>1375</v>
      </c>
      <c r="D164" s="151">
        <v>0</v>
      </c>
      <c r="E164" s="152">
        <v>0</v>
      </c>
      <c r="F164" s="151">
        <v>0</v>
      </c>
      <c r="G164" s="152">
        <v>0</v>
      </c>
      <c r="H164" s="151">
        <v>0</v>
      </c>
      <c r="I164" s="152">
        <v>0</v>
      </c>
      <c r="J164" s="151">
        <v>0</v>
      </c>
      <c r="K164" s="152">
        <v>0</v>
      </c>
      <c r="L164" s="151">
        <v>0</v>
      </c>
      <c r="M164" s="152">
        <v>0</v>
      </c>
      <c r="N164" s="151">
        <v>0</v>
      </c>
      <c r="O164" s="152">
        <v>0</v>
      </c>
      <c r="P164" s="151">
        <v>0</v>
      </c>
      <c r="Q164" s="152">
        <v>0</v>
      </c>
      <c r="R164" s="151">
        <v>0</v>
      </c>
      <c r="S164" s="152">
        <v>0</v>
      </c>
      <c r="T164" s="151">
        <v>0</v>
      </c>
      <c r="U164" s="153">
        <v>0</v>
      </c>
      <c r="V164" t="e">
        <f>VLOOKUP(A164,'Projetos ciclo 2018-2022'!$I$8:$I$128,1,FALSE)</f>
        <v>#N/A</v>
      </c>
    </row>
    <row r="165" spans="1:22" x14ac:dyDescent="0.25">
      <c r="A165" s="21" t="s">
        <v>1164</v>
      </c>
      <c r="B165" s="154" t="s">
        <v>1376</v>
      </c>
      <c r="C165" s="154" t="s">
        <v>1165</v>
      </c>
      <c r="D165" s="155">
        <v>0</v>
      </c>
      <c r="E165" s="158">
        <v>0</v>
      </c>
      <c r="F165" s="155">
        <v>0</v>
      </c>
      <c r="G165" s="158">
        <v>1080</v>
      </c>
      <c r="H165" s="155">
        <v>0</v>
      </c>
      <c r="I165" s="158">
        <v>0</v>
      </c>
      <c r="J165" s="155">
        <v>0</v>
      </c>
      <c r="K165" s="158">
        <v>0</v>
      </c>
      <c r="L165" s="155">
        <v>1080</v>
      </c>
      <c r="M165" s="158">
        <v>1080</v>
      </c>
      <c r="N165" s="155">
        <v>0</v>
      </c>
      <c r="O165" s="158">
        <v>0</v>
      </c>
      <c r="P165" s="155">
        <v>0</v>
      </c>
      <c r="Q165" s="158">
        <v>0</v>
      </c>
      <c r="R165" s="155">
        <v>0</v>
      </c>
      <c r="S165" s="158">
        <v>0</v>
      </c>
      <c r="T165" s="155">
        <v>0</v>
      </c>
      <c r="U165" s="157">
        <v>0</v>
      </c>
      <c r="V165" t="e">
        <f>VLOOKUP(A165,'Projetos ciclo 2018-2022'!$I$8:$I$128,1,FALSE)</f>
        <v>#N/A</v>
      </c>
    </row>
    <row r="166" spans="1:22" x14ac:dyDescent="0.25">
      <c r="A166" s="149" t="s">
        <v>1377</v>
      </c>
      <c r="B166" s="150" t="s">
        <v>1378</v>
      </c>
      <c r="C166" s="150" t="s">
        <v>1379</v>
      </c>
      <c r="D166" s="151">
        <v>0</v>
      </c>
      <c r="E166" s="152">
        <v>0</v>
      </c>
      <c r="F166" s="151">
        <v>0</v>
      </c>
      <c r="G166" s="152">
        <v>2841</v>
      </c>
      <c r="H166" s="151">
        <v>0</v>
      </c>
      <c r="I166" s="152">
        <v>0</v>
      </c>
      <c r="J166" s="151">
        <v>0</v>
      </c>
      <c r="K166" s="152">
        <v>0</v>
      </c>
      <c r="L166" s="151">
        <v>2841</v>
      </c>
      <c r="M166" s="152">
        <v>2841</v>
      </c>
      <c r="N166" s="151">
        <v>0</v>
      </c>
      <c r="O166" s="152">
        <v>0</v>
      </c>
      <c r="P166" s="151">
        <v>0</v>
      </c>
      <c r="Q166" s="152">
        <v>0</v>
      </c>
      <c r="R166" s="151">
        <v>0</v>
      </c>
      <c r="S166" s="152">
        <v>0</v>
      </c>
      <c r="T166" s="151">
        <v>0</v>
      </c>
      <c r="U166" s="153">
        <v>0</v>
      </c>
      <c r="V166" t="e">
        <f>VLOOKUP(A166,'Projetos ciclo 2018-2022'!$I$8:$I$128,1,FALSE)</f>
        <v>#N/A</v>
      </c>
    </row>
    <row r="167" spans="1:22" x14ac:dyDescent="0.25">
      <c r="A167" s="21" t="s">
        <v>1010</v>
      </c>
      <c r="B167" s="154" t="s">
        <v>1011</v>
      </c>
      <c r="C167" s="154" t="s">
        <v>1380</v>
      </c>
      <c r="D167" s="155">
        <v>0</v>
      </c>
      <c r="E167" s="158">
        <v>0</v>
      </c>
      <c r="F167" s="155">
        <v>0</v>
      </c>
      <c r="G167" s="158">
        <v>600</v>
      </c>
      <c r="H167" s="155">
        <v>0</v>
      </c>
      <c r="I167" s="158">
        <v>599.97772216796875</v>
      </c>
      <c r="J167" s="155">
        <v>0</v>
      </c>
      <c r="K167" s="158">
        <v>599.97772216796875</v>
      </c>
      <c r="L167" s="155">
        <v>0</v>
      </c>
      <c r="M167" s="158">
        <v>599.97772216796875</v>
      </c>
      <c r="N167" s="155">
        <v>0</v>
      </c>
      <c r="O167" s="158">
        <v>0</v>
      </c>
      <c r="P167" s="155">
        <v>0</v>
      </c>
      <c r="Q167" s="158">
        <v>0</v>
      </c>
      <c r="R167" s="155">
        <v>0</v>
      </c>
      <c r="S167" s="158">
        <v>0</v>
      </c>
      <c r="T167" s="155">
        <v>0</v>
      </c>
      <c r="U167" s="157">
        <v>0</v>
      </c>
      <c r="V167" t="e">
        <f>VLOOKUP(A167,'Projetos ciclo 2018-2022'!$I$8:$I$128,1,FALSE)</f>
        <v>#N/A</v>
      </c>
    </row>
    <row r="168" spans="1:22" x14ac:dyDescent="0.25">
      <c r="A168" s="149" t="s">
        <v>1163</v>
      </c>
      <c r="B168" s="150" t="s">
        <v>335</v>
      </c>
      <c r="C168" s="150" t="s">
        <v>1381</v>
      </c>
      <c r="D168" s="151">
        <v>0</v>
      </c>
      <c r="E168" s="152">
        <v>0</v>
      </c>
      <c r="F168" s="151">
        <v>0</v>
      </c>
      <c r="G168" s="152">
        <v>52</v>
      </c>
      <c r="H168" s="151">
        <v>0</v>
      </c>
      <c r="I168" s="152">
        <v>52.127998352050781</v>
      </c>
      <c r="J168" s="151">
        <v>0</v>
      </c>
      <c r="K168" s="152">
        <v>52.127998352050781</v>
      </c>
      <c r="L168" s="151">
        <v>0</v>
      </c>
      <c r="M168" s="152">
        <v>52.127998352050781</v>
      </c>
      <c r="N168" s="151">
        <v>0</v>
      </c>
      <c r="O168" s="152">
        <v>0</v>
      </c>
      <c r="P168" s="151">
        <v>0</v>
      </c>
      <c r="Q168" s="152">
        <v>0</v>
      </c>
      <c r="R168" s="151">
        <v>0</v>
      </c>
      <c r="S168" s="152">
        <v>0</v>
      </c>
      <c r="T168" s="151">
        <v>0</v>
      </c>
      <c r="U168" s="153">
        <v>0</v>
      </c>
      <c r="V168" t="e">
        <f>VLOOKUP(A168,'Projetos ciclo 2018-2022'!$I$8:$I$128,1,FALSE)</f>
        <v>#N/A</v>
      </c>
    </row>
    <row r="169" spans="1:22" x14ac:dyDescent="0.25">
      <c r="A169" s="21" t="s">
        <v>1144</v>
      </c>
      <c r="B169" s="154" t="s">
        <v>1382</v>
      </c>
      <c r="C169" s="154" t="s">
        <v>1383</v>
      </c>
      <c r="D169" s="155">
        <v>0</v>
      </c>
      <c r="E169" s="158">
        <v>0</v>
      </c>
      <c r="F169" s="155">
        <v>0</v>
      </c>
      <c r="G169" s="158">
        <v>216</v>
      </c>
      <c r="H169" s="155">
        <v>0</v>
      </c>
      <c r="I169" s="158">
        <v>11.423999786376953</v>
      </c>
      <c r="J169" s="155">
        <v>0</v>
      </c>
      <c r="K169" s="158">
        <v>11.423999786376953</v>
      </c>
      <c r="L169" s="155">
        <v>204.57600402832031</v>
      </c>
      <c r="M169" s="158">
        <v>216.00000381469727</v>
      </c>
      <c r="N169" s="155">
        <v>0</v>
      </c>
      <c r="O169" s="158">
        <v>0</v>
      </c>
      <c r="P169" s="155">
        <v>0</v>
      </c>
      <c r="Q169" s="158">
        <v>0</v>
      </c>
      <c r="R169" s="155">
        <v>0</v>
      </c>
      <c r="S169" s="158">
        <v>0</v>
      </c>
      <c r="T169" s="155">
        <v>0</v>
      </c>
      <c r="U169" s="157">
        <v>0</v>
      </c>
      <c r="V169" t="e">
        <f>VLOOKUP(A169,'Projetos ciclo 2018-2022'!$I$8:$I$128,1,FALSE)</f>
        <v>#N/A</v>
      </c>
    </row>
    <row r="170" spans="1:22" x14ac:dyDescent="0.25">
      <c r="A170" s="149" t="s">
        <v>1049</v>
      </c>
      <c r="B170" s="150" t="s">
        <v>1338</v>
      </c>
      <c r="C170" s="150" t="s">
        <v>1384</v>
      </c>
      <c r="D170" s="151">
        <v>0</v>
      </c>
      <c r="E170" s="152">
        <v>0</v>
      </c>
      <c r="F170" s="151">
        <v>0</v>
      </c>
      <c r="G170" s="152">
        <v>1500</v>
      </c>
      <c r="H170" s="151">
        <v>0</v>
      </c>
      <c r="I170" s="152">
        <v>0</v>
      </c>
      <c r="J170" s="151">
        <v>0</v>
      </c>
      <c r="K170" s="152">
        <v>0</v>
      </c>
      <c r="L170" s="151">
        <v>1496.0580673217773</v>
      </c>
      <c r="M170" s="152">
        <v>1496.0580673217773</v>
      </c>
      <c r="N170" s="151">
        <v>0</v>
      </c>
      <c r="O170" s="152">
        <v>0</v>
      </c>
      <c r="P170" s="151">
        <v>0</v>
      </c>
      <c r="Q170" s="152">
        <v>0</v>
      </c>
      <c r="R170" s="151">
        <v>0</v>
      </c>
      <c r="S170" s="152">
        <v>0</v>
      </c>
      <c r="T170" s="151">
        <v>0</v>
      </c>
      <c r="U170" s="153">
        <v>0</v>
      </c>
      <c r="V170" t="e">
        <f>VLOOKUP(A170,'Projetos ciclo 2018-2022'!$I$8:$I$128,1,FALSE)</f>
        <v>#N/A</v>
      </c>
    </row>
    <row r="171" spans="1:22" x14ac:dyDescent="0.25">
      <c r="A171" s="21" t="s">
        <v>1051</v>
      </c>
      <c r="B171" s="154" t="s">
        <v>1024</v>
      </c>
      <c r="C171" s="154" t="s">
        <v>1385</v>
      </c>
      <c r="D171" s="155">
        <v>0</v>
      </c>
      <c r="E171" s="158">
        <v>0</v>
      </c>
      <c r="F171" s="155">
        <v>0</v>
      </c>
      <c r="G171" s="158">
        <v>45</v>
      </c>
      <c r="H171" s="155">
        <v>0</v>
      </c>
      <c r="I171" s="158">
        <v>44.575801849365234</v>
      </c>
      <c r="J171" s="155">
        <v>0</v>
      </c>
      <c r="K171" s="158">
        <v>44.575801849365234</v>
      </c>
      <c r="L171" s="155">
        <v>0</v>
      </c>
      <c r="M171" s="158">
        <v>44.575801849365234</v>
      </c>
      <c r="N171" s="155">
        <v>0</v>
      </c>
      <c r="O171" s="158">
        <v>0</v>
      </c>
      <c r="P171" s="155">
        <v>0</v>
      </c>
      <c r="Q171" s="158">
        <v>0</v>
      </c>
      <c r="R171" s="155">
        <v>0</v>
      </c>
      <c r="S171" s="158">
        <v>0</v>
      </c>
      <c r="T171" s="155">
        <v>0</v>
      </c>
      <c r="U171" s="157">
        <v>0</v>
      </c>
      <c r="V171" t="e">
        <f>VLOOKUP(A171,'Projetos ciclo 2018-2022'!$I$8:$I$128,1,FALSE)</f>
        <v>#N/A</v>
      </c>
    </row>
    <row r="172" spans="1:22" x14ac:dyDescent="0.25">
      <c r="A172" s="149" t="s">
        <v>1465</v>
      </c>
      <c r="B172" s="150" t="s">
        <v>1466</v>
      </c>
      <c r="C172" s="150" t="s">
        <v>1467</v>
      </c>
      <c r="D172" s="151">
        <v>0</v>
      </c>
      <c r="E172" s="152">
        <v>0</v>
      </c>
      <c r="F172" s="151">
        <v>0</v>
      </c>
      <c r="G172" s="152">
        <v>245</v>
      </c>
      <c r="H172" s="151">
        <v>0</v>
      </c>
      <c r="I172" s="152">
        <v>0</v>
      </c>
      <c r="J172" s="151">
        <v>0</v>
      </c>
      <c r="K172" s="152">
        <v>0</v>
      </c>
      <c r="L172" s="151">
        <v>244.84255981445312</v>
      </c>
      <c r="M172" s="152">
        <v>244.84255981445312</v>
      </c>
      <c r="N172" s="151">
        <v>0</v>
      </c>
      <c r="O172" s="152">
        <v>0</v>
      </c>
      <c r="P172" s="151">
        <v>0</v>
      </c>
      <c r="Q172" s="152">
        <v>0</v>
      </c>
      <c r="R172" s="151">
        <v>0</v>
      </c>
      <c r="S172" s="152">
        <v>0</v>
      </c>
      <c r="T172" s="151">
        <v>0</v>
      </c>
      <c r="U172" s="153">
        <v>0</v>
      </c>
      <c r="V172" t="e">
        <f>VLOOKUP(A172,'Projetos ciclo 2018-2022'!$I$8:$I$128,1,FALSE)</f>
        <v>#N/A</v>
      </c>
    </row>
    <row r="173" spans="1:22" x14ac:dyDescent="0.25">
      <c r="A173" s="21" t="s">
        <v>1140</v>
      </c>
      <c r="B173" s="154" t="s">
        <v>1386</v>
      </c>
      <c r="C173" s="154" t="s">
        <v>1387</v>
      </c>
      <c r="D173" s="155">
        <v>0</v>
      </c>
      <c r="E173" s="158">
        <v>0</v>
      </c>
      <c r="F173" s="155">
        <v>0</v>
      </c>
      <c r="G173" s="158">
        <v>814</v>
      </c>
      <c r="H173" s="155">
        <v>0</v>
      </c>
      <c r="I173" s="158">
        <v>813.67767333984375</v>
      </c>
      <c r="J173" s="155">
        <v>0</v>
      </c>
      <c r="K173" s="158">
        <v>813.67767333984375</v>
      </c>
      <c r="L173" s="155">
        <v>0</v>
      </c>
      <c r="M173" s="158">
        <v>813.67767333984375</v>
      </c>
      <c r="N173" s="155">
        <v>0</v>
      </c>
      <c r="O173" s="158">
        <v>0</v>
      </c>
      <c r="P173" s="155">
        <v>0</v>
      </c>
      <c r="Q173" s="158">
        <v>0</v>
      </c>
      <c r="R173" s="155">
        <v>0</v>
      </c>
      <c r="S173" s="158">
        <v>0</v>
      </c>
      <c r="T173" s="155">
        <v>0</v>
      </c>
      <c r="U173" s="157">
        <v>0</v>
      </c>
      <c r="V173" t="e">
        <f>VLOOKUP(A173,'Projetos ciclo 2018-2022'!$I$8:$I$128,1,FALSE)</f>
        <v>#N/A</v>
      </c>
    </row>
    <row r="174" spans="1:22" x14ac:dyDescent="0.25">
      <c r="A174" s="149" t="s">
        <v>1147</v>
      </c>
      <c r="B174" s="150" t="s">
        <v>1023</v>
      </c>
      <c r="C174" s="150" t="s">
        <v>1388</v>
      </c>
      <c r="D174" s="151">
        <v>0</v>
      </c>
      <c r="E174" s="152">
        <v>0</v>
      </c>
      <c r="F174" s="151">
        <v>0</v>
      </c>
      <c r="G174" s="152">
        <v>0</v>
      </c>
      <c r="H174" s="151">
        <v>0</v>
      </c>
      <c r="I174" s="152">
        <v>0</v>
      </c>
      <c r="J174" s="151">
        <v>0</v>
      </c>
      <c r="K174" s="152">
        <v>0</v>
      </c>
      <c r="L174" s="151">
        <v>0</v>
      </c>
      <c r="M174" s="152">
        <v>0</v>
      </c>
      <c r="N174" s="151">
        <v>0</v>
      </c>
      <c r="O174" s="152">
        <v>0</v>
      </c>
      <c r="P174" s="151">
        <v>0</v>
      </c>
      <c r="Q174" s="152">
        <v>0</v>
      </c>
      <c r="R174" s="151">
        <v>0</v>
      </c>
      <c r="S174" s="152">
        <v>0</v>
      </c>
      <c r="T174" s="151">
        <v>0</v>
      </c>
      <c r="U174" s="153">
        <v>0</v>
      </c>
      <c r="V174" t="e">
        <f>VLOOKUP(A174,'Projetos ciclo 2018-2022'!$I$8:$I$128,1,FALSE)</f>
        <v>#N/A</v>
      </c>
    </row>
    <row r="175" spans="1:22" x14ac:dyDescent="0.25">
      <c r="A175" s="21" t="s">
        <v>1050</v>
      </c>
      <c r="B175" s="154" t="s">
        <v>1022</v>
      </c>
      <c r="C175" s="154" t="s">
        <v>1389</v>
      </c>
      <c r="D175" s="155">
        <v>0</v>
      </c>
      <c r="E175" s="158">
        <v>0</v>
      </c>
      <c r="F175" s="155">
        <v>0</v>
      </c>
      <c r="G175" s="158">
        <v>0</v>
      </c>
      <c r="H175" s="155">
        <v>0</v>
      </c>
      <c r="I175" s="158">
        <v>0</v>
      </c>
      <c r="J175" s="155">
        <v>0</v>
      </c>
      <c r="K175" s="158">
        <v>0</v>
      </c>
      <c r="L175" s="155">
        <v>0</v>
      </c>
      <c r="M175" s="158">
        <v>0</v>
      </c>
      <c r="N175" s="155">
        <v>0</v>
      </c>
      <c r="O175" s="158">
        <v>0</v>
      </c>
      <c r="P175" s="155">
        <v>0</v>
      </c>
      <c r="Q175" s="158">
        <v>0</v>
      </c>
      <c r="R175" s="155">
        <v>0</v>
      </c>
      <c r="S175" s="158">
        <v>0</v>
      </c>
      <c r="T175" s="155">
        <v>0</v>
      </c>
      <c r="U175" s="157">
        <v>0</v>
      </c>
      <c r="V175" t="e">
        <f>VLOOKUP(A175,'Projetos ciclo 2018-2022'!$I$8:$I$128,1,FALSE)</f>
        <v>#N/A</v>
      </c>
    </row>
    <row r="176" spans="1:22" x14ac:dyDescent="0.25">
      <c r="A176" s="149" t="s">
        <v>1143</v>
      </c>
      <c r="B176" s="150" t="s">
        <v>1390</v>
      </c>
      <c r="C176" s="150" t="s">
        <v>1391</v>
      </c>
      <c r="D176" s="151">
        <v>0</v>
      </c>
      <c r="E176" s="152">
        <v>0</v>
      </c>
      <c r="F176" s="151">
        <v>0</v>
      </c>
      <c r="G176" s="152">
        <v>871</v>
      </c>
      <c r="H176" s="151">
        <v>0</v>
      </c>
      <c r="I176" s="152">
        <v>0</v>
      </c>
      <c r="J176" s="151">
        <v>0</v>
      </c>
      <c r="K176" s="152">
        <v>0</v>
      </c>
      <c r="L176" s="151">
        <v>384.39999389648437</v>
      </c>
      <c r="M176" s="152">
        <v>384.39999389648437</v>
      </c>
      <c r="N176" s="151">
        <v>0</v>
      </c>
      <c r="O176" s="152">
        <v>0</v>
      </c>
      <c r="P176" s="151">
        <v>0</v>
      </c>
      <c r="Q176" s="152">
        <v>0</v>
      </c>
      <c r="R176" s="151">
        <v>0</v>
      </c>
      <c r="S176" s="152">
        <v>0</v>
      </c>
      <c r="T176" s="151">
        <v>0</v>
      </c>
      <c r="U176" s="153">
        <v>0</v>
      </c>
      <c r="V176" t="e">
        <f>VLOOKUP(A176,'Projetos ciclo 2018-2022'!$I$8:$I$128,1,FALSE)</f>
        <v>#N/A</v>
      </c>
    </row>
    <row r="177" spans="1:22" x14ac:dyDescent="0.25">
      <c r="A177" s="21" t="s">
        <v>1550</v>
      </c>
      <c r="B177" s="154" t="s">
        <v>1551</v>
      </c>
      <c r="C177" s="154" t="s">
        <v>1552</v>
      </c>
      <c r="D177" s="155">
        <v>0</v>
      </c>
      <c r="E177" s="158">
        <v>0</v>
      </c>
      <c r="F177" s="155">
        <v>0</v>
      </c>
      <c r="G177" s="158">
        <v>150</v>
      </c>
      <c r="H177" s="155">
        <v>0</v>
      </c>
      <c r="I177" s="158">
        <v>0</v>
      </c>
      <c r="J177" s="155">
        <v>0</v>
      </c>
      <c r="K177" s="158">
        <v>0</v>
      </c>
      <c r="L177" s="155">
        <v>0</v>
      </c>
      <c r="M177" s="158">
        <v>0</v>
      </c>
      <c r="N177" s="155">
        <v>0</v>
      </c>
      <c r="O177" s="158">
        <v>0</v>
      </c>
      <c r="P177" s="155">
        <v>0</v>
      </c>
      <c r="Q177" s="158">
        <v>0</v>
      </c>
      <c r="R177" s="155">
        <v>0</v>
      </c>
      <c r="S177" s="158">
        <v>0</v>
      </c>
      <c r="T177" s="155">
        <v>0</v>
      </c>
      <c r="U177" s="157">
        <v>0</v>
      </c>
      <c r="V177" t="e">
        <f>VLOOKUP(A177,'Projetos ciclo 2018-2022'!$I$8:$I$128,1,FALSE)</f>
        <v>#N/A</v>
      </c>
    </row>
    <row r="178" spans="1:22" x14ac:dyDescent="0.25">
      <c r="A178" s="149" t="s">
        <v>1479</v>
      </c>
      <c r="B178" s="150" t="s">
        <v>1480</v>
      </c>
      <c r="C178" s="150" t="s">
        <v>1481</v>
      </c>
      <c r="D178" s="151">
        <v>0</v>
      </c>
      <c r="E178" s="152">
        <v>0</v>
      </c>
      <c r="F178" s="151">
        <v>0</v>
      </c>
      <c r="G178" s="152">
        <v>141</v>
      </c>
      <c r="H178" s="151">
        <v>0</v>
      </c>
      <c r="I178" s="152">
        <v>0</v>
      </c>
      <c r="J178" s="151">
        <v>0</v>
      </c>
      <c r="K178" s="152">
        <v>0</v>
      </c>
      <c r="L178" s="151">
        <v>141.22349548339844</v>
      </c>
      <c r="M178" s="152">
        <v>141.22349548339844</v>
      </c>
      <c r="N178" s="151">
        <v>0</v>
      </c>
      <c r="O178" s="152">
        <v>0</v>
      </c>
      <c r="P178" s="151">
        <v>0</v>
      </c>
      <c r="Q178" s="152">
        <v>0</v>
      </c>
      <c r="R178" s="151">
        <v>0</v>
      </c>
      <c r="S178" s="152">
        <v>0</v>
      </c>
      <c r="T178" s="151">
        <v>0</v>
      </c>
      <c r="U178" s="153">
        <v>0</v>
      </c>
      <c r="V178" t="e">
        <f>VLOOKUP(A178,'Projetos ciclo 2018-2022'!$I$8:$I$128,1,FALSE)</f>
        <v>#N/A</v>
      </c>
    </row>
    <row r="179" spans="1:22" x14ac:dyDescent="0.25">
      <c r="A179" s="21" t="s">
        <v>1587</v>
      </c>
      <c r="B179" s="154" t="s">
        <v>1588</v>
      </c>
      <c r="C179" s="154" t="s">
        <v>1589</v>
      </c>
      <c r="D179" s="155">
        <v>0</v>
      </c>
      <c r="E179" s="158">
        <v>0</v>
      </c>
      <c r="F179" s="155">
        <v>0</v>
      </c>
      <c r="G179" s="158">
        <v>420</v>
      </c>
      <c r="H179" s="155">
        <v>0</v>
      </c>
      <c r="I179" s="158">
        <v>0</v>
      </c>
      <c r="J179" s="155">
        <v>0</v>
      </c>
      <c r="K179" s="158">
        <v>0</v>
      </c>
      <c r="L179" s="155">
        <v>0</v>
      </c>
      <c r="M179" s="158">
        <v>0</v>
      </c>
      <c r="N179" s="155">
        <v>0</v>
      </c>
      <c r="O179" s="158">
        <v>0</v>
      </c>
      <c r="P179" s="155">
        <v>0</v>
      </c>
      <c r="Q179" s="158">
        <v>0</v>
      </c>
      <c r="R179" s="155">
        <v>0</v>
      </c>
      <c r="S179" s="158">
        <v>0</v>
      </c>
      <c r="T179" s="155">
        <v>0</v>
      </c>
      <c r="U179" s="157">
        <v>0</v>
      </c>
      <c r="V179" t="e">
        <f>VLOOKUP(A179,'Projetos ciclo 2018-2022'!$I$8:$I$128,1,FALSE)</f>
        <v>#N/A</v>
      </c>
    </row>
    <row r="180" spans="1:22" x14ac:dyDescent="0.25">
      <c r="A180" s="149" t="s">
        <v>1194</v>
      </c>
      <c r="B180" s="150" t="s">
        <v>1392</v>
      </c>
      <c r="C180" s="150" t="s">
        <v>59</v>
      </c>
      <c r="D180" s="151">
        <v>0</v>
      </c>
      <c r="E180" s="152">
        <v>0</v>
      </c>
      <c r="F180" s="151">
        <v>0</v>
      </c>
      <c r="G180" s="152">
        <v>0</v>
      </c>
      <c r="H180" s="151">
        <v>0</v>
      </c>
      <c r="I180" s="152">
        <v>0</v>
      </c>
      <c r="J180" s="151">
        <v>0</v>
      </c>
      <c r="K180" s="152">
        <v>0</v>
      </c>
      <c r="L180" s="151">
        <v>0</v>
      </c>
      <c r="M180" s="152">
        <v>0</v>
      </c>
      <c r="N180" s="151">
        <v>0</v>
      </c>
      <c r="O180" s="152">
        <v>0</v>
      </c>
      <c r="P180" s="151">
        <v>0</v>
      </c>
      <c r="Q180" s="152">
        <v>0</v>
      </c>
      <c r="R180" s="151">
        <v>0</v>
      </c>
      <c r="S180" s="152">
        <v>0</v>
      </c>
      <c r="T180" s="151">
        <v>0</v>
      </c>
      <c r="U180" s="153">
        <v>0</v>
      </c>
      <c r="V180" t="e">
        <f>VLOOKUP(A180,'Projetos ciclo 2018-2022'!$I$8:$I$128,1,FALSE)</f>
        <v>#N/A</v>
      </c>
    </row>
    <row r="181" spans="1:22" x14ac:dyDescent="0.25">
      <c r="A181" s="21" t="s">
        <v>1196</v>
      </c>
      <c r="B181" s="154" t="s">
        <v>1197</v>
      </c>
      <c r="C181" s="154" t="s">
        <v>59</v>
      </c>
      <c r="D181" s="155">
        <v>0</v>
      </c>
      <c r="E181" s="158">
        <v>0</v>
      </c>
      <c r="F181" s="155">
        <v>0</v>
      </c>
      <c r="G181" s="158">
        <v>0</v>
      </c>
      <c r="H181" s="155">
        <v>0</v>
      </c>
      <c r="I181" s="158">
        <v>0</v>
      </c>
      <c r="J181" s="155">
        <v>0</v>
      </c>
      <c r="K181" s="158">
        <v>0</v>
      </c>
      <c r="L181" s="155">
        <v>0</v>
      </c>
      <c r="M181" s="158">
        <v>0</v>
      </c>
      <c r="N181" s="155">
        <v>0</v>
      </c>
      <c r="O181" s="158">
        <v>0</v>
      </c>
      <c r="P181" s="155">
        <v>0</v>
      </c>
      <c r="Q181" s="158">
        <v>0</v>
      </c>
      <c r="R181" s="155">
        <v>0</v>
      </c>
      <c r="S181" s="158">
        <v>0</v>
      </c>
      <c r="T181" s="155">
        <v>0</v>
      </c>
      <c r="U181" s="157">
        <v>0</v>
      </c>
      <c r="V181" t="e">
        <f>VLOOKUP(A181,'Projetos ciclo 2018-2022'!$I$8:$I$128,1,FALSE)</f>
        <v>#N/A</v>
      </c>
    </row>
    <row r="182" spans="1:22" x14ac:dyDescent="0.25">
      <c r="A182" s="149" t="s">
        <v>1393</v>
      </c>
      <c r="B182" s="150" t="s">
        <v>1394</v>
      </c>
      <c r="C182" s="150" t="s">
        <v>1510</v>
      </c>
      <c r="D182" s="151">
        <v>3182</v>
      </c>
      <c r="E182" s="152">
        <v>0</v>
      </c>
      <c r="F182" s="151">
        <v>3182</v>
      </c>
      <c r="G182" s="152">
        <v>0</v>
      </c>
      <c r="H182" s="151">
        <v>0</v>
      </c>
      <c r="I182" s="152">
        <v>0</v>
      </c>
      <c r="J182" s="151">
        <v>0</v>
      </c>
      <c r="K182" s="152">
        <v>0</v>
      </c>
      <c r="L182" s="151">
        <v>0</v>
      </c>
      <c r="M182" s="152">
        <v>0</v>
      </c>
      <c r="N182" s="151">
        <v>0</v>
      </c>
      <c r="O182" s="152">
        <v>0</v>
      </c>
      <c r="P182" s="151">
        <v>0</v>
      </c>
      <c r="Q182" s="152">
        <v>0</v>
      </c>
      <c r="R182" s="151">
        <v>0</v>
      </c>
      <c r="S182" s="152">
        <v>0</v>
      </c>
      <c r="T182" s="151">
        <v>0</v>
      </c>
      <c r="U182" s="153">
        <v>0</v>
      </c>
      <c r="V182" t="e">
        <f>VLOOKUP(A182,'Projetos ciclo 2018-2022'!$I$8:$I$128,1,FALSE)</f>
        <v>#N/A</v>
      </c>
    </row>
    <row r="183" spans="1:22" x14ac:dyDescent="0.25">
      <c r="A183" s="21" t="s">
        <v>1426</v>
      </c>
      <c r="B183" s="154" t="s">
        <v>1511</v>
      </c>
      <c r="C183" s="154" t="s">
        <v>1512</v>
      </c>
      <c r="D183" s="155">
        <v>0</v>
      </c>
      <c r="E183" s="158">
        <v>0</v>
      </c>
      <c r="F183" s="155">
        <v>0</v>
      </c>
      <c r="G183" s="158">
        <v>720</v>
      </c>
      <c r="H183" s="155">
        <v>0</v>
      </c>
      <c r="I183" s="158">
        <v>0</v>
      </c>
      <c r="J183" s="155">
        <v>0</v>
      </c>
      <c r="K183" s="158">
        <v>0</v>
      </c>
      <c r="L183" s="155">
        <v>0</v>
      </c>
      <c r="M183" s="158">
        <v>0</v>
      </c>
      <c r="N183" s="155">
        <v>0</v>
      </c>
      <c r="O183" s="158">
        <v>0</v>
      </c>
      <c r="P183" s="155">
        <v>0</v>
      </c>
      <c r="Q183" s="158">
        <v>0</v>
      </c>
      <c r="R183" s="155">
        <v>0</v>
      </c>
      <c r="S183" s="158">
        <v>0</v>
      </c>
      <c r="T183" s="155">
        <v>0</v>
      </c>
      <c r="U183" s="157">
        <v>0</v>
      </c>
      <c r="V183" t="e">
        <f>VLOOKUP(A183,'Projetos ciclo 2018-2022'!$I$8:$I$128,1,FALSE)</f>
        <v>#N/A</v>
      </c>
    </row>
    <row r="184" spans="1:22" x14ac:dyDescent="0.25">
      <c r="A184" s="149" t="s">
        <v>1427</v>
      </c>
      <c r="B184" s="150" t="s">
        <v>698</v>
      </c>
      <c r="C184" s="150" t="s">
        <v>1513</v>
      </c>
      <c r="D184" s="151">
        <v>0</v>
      </c>
      <c r="E184" s="152">
        <v>0</v>
      </c>
      <c r="F184" s="151">
        <v>0</v>
      </c>
      <c r="G184" s="152">
        <v>500</v>
      </c>
      <c r="H184" s="151">
        <v>0</v>
      </c>
      <c r="I184" s="152">
        <v>0</v>
      </c>
      <c r="J184" s="151">
        <v>0</v>
      </c>
      <c r="K184" s="152">
        <v>0</v>
      </c>
      <c r="L184" s="151">
        <v>0</v>
      </c>
      <c r="M184" s="152">
        <v>0</v>
      </c>
      <c r="N184" s="151">
        <v>0</v>
      </c>
      <c r="O184" s="152">
        <v>0</v>
      </c>
      <c r="P184" s="151">
        <v>0</v>
      </c>
      <c r="Q184" s="152">
        <v>0</v>
      </c>
      <c r="R184" s="151">
        <v>0</v>
      </c>
      <c r="S184" s="152">
        <v>0</v>
      </c>
      <c r="T184" s="151">
        <v>0</v>
      </c>
      <c r="U184" s="153">
        <v>0</v>
      </c>
      <c r="V184" t="e">
        <f>VLOOKUP(A184,'Projetos ciclo 2018-2022'!$I$8:$I$128,1,FALSE)</f>
        <v>#N/A</v>
      </c>
    </row>
    <row r="185" spans="1:22" x14ac:dyDescent="0.25">
      <c r="A185" s="21" t="s">
        <v>565</v>
      </c>
      <c r="B185" s="154" t="s">
        <v>1198</v>
      </c>
      <c r="C185" s="154" t="s">
        <v>59</v>
      </c>
      <c r="D185" s="155">
        <v>5366</v>
      </c>
      <c r="E185" s="158">
        <v>0</v>
      </c>
      <c r="F185" s="155">
        <v>0</v>
      </c>
      <c r="G185" s="158">
        <v>0</v>
      </c>
      <c r="H185" s="155">
        <v>0</v>
      </c>
      <c r="I185" s="158">
        <v>0</v>
      </c>
      <c r="J185" s="155">
        <v>0</v>
      </c>
      <c r="K185" s="158">
        <v>0</v>
      </c>
      <c r="L185" s="155">
        <v>0</v>
      </c>
      <c r="M185" s="158">
        <v>0</v>
      </c>
      <c r="N185" s="155">
        <v>1864</v>
      </c>
      <c r="O185" s="158">
        <v>2982</v>
      </c>
      <c r="P185" s="155">
        <v>350</v>
      </c>
      <c r="Q185" s="158">
        <v>170</v>
      </c>
      <c r="R185" s="155">
        <v>0</v>
      </c>
      <c r="S185" s="158">
        <v>0</v>
      </c>
      <c r="T185" s="155">
        <v>0</v>
      </c>
      <c r="U185" s="157">
        <v>0</v>
      </c>
      <c r="V185" t="str">
        <f>VLOOKUP(A185,'Projetos ciclo 2018-2022'!$I$8:$I$128,1,FALSE)</f>
        <v>NA</v>
      </c>
    </row>
    <row r="186" spans="1:22" x14ac:dyDescent="0.25">
      <c r="A186" s="149" t="s">
        <v>1199</v>
      </c>
      <c r="B186" s="150" t="s">
        <v>1200</v>
      </c>
      <c r="C186" s="150" t="s">
        <v>59</v>
      </c>
      <c r="D186" s="151">
        <v>0</v>
      </c>
      <c r="E186" s="152">
        <v>0</v>
      </c>
      <c r="F186" s="151">
        <v>0</v>
      </c>
      <c r="G186" s="152">
        <v>0</v>
      </c>
      <c r="H186" s="151">
        <v>0</v>
      </c>
      <c r="I186" s="152">
        <v>0</v>
      </c>
      <c r="J186" s="151">
        <v>0</v>
      </c>
      <c r="K186" s="152">
        <v>0</v>
      </c>
      <c r="L186" s="151">
        <v>0</v>
      </c>
      <c r="M186" s="152">
        <v>0</v>
      </c>
      <c r="N186" s="151">
        <v>0</v>
      </c>
      <c r="O186" s="152">
        <v>0</v>
      </c>
      <c r="P186" s="151">
        <v>0</v>
      </c>
      <c r="Q186" s="152">
        <v>0</v>
      </c>
      <c r="R186" s="151">
        <v>0</v>
      </c>
      <c r="S186" s="152">
        <v>0</v>
      </c>
      <c r="T186" s="151">
        <v>0</v>
      </c>
      <c r="U186" s="153">
        <v>0</v>
      </c>
      <c r="V186" t="e">
        <f>VLOOKUP(A186,'Projetos ciclo 2018-2022'!$I$8:$I$128,1,FALSE)</f>
        <v>#N/A</v>
      </c>
    </row>
    <row r="187" spans="1:22" x14ac:dyDescent="0.25">
      <c r="A187" s="21" t="s">
        <v>1194</v>
      </c>
      <c r="B187" s="154" t="s">
        <v>1315</v>
      </c>
      <c r="C187" s="154" t="s">
        <v>59</v>
      </c>
      <c r="D187" s="155">
        <v>0</v>
      </c>
      <c r="E187" s="158">
        <v>0</v>
      </c>
      <c r="F187" s="155">
        <v>0</v>
      </c>
      <c r="G187" s="158">
        <v>0</v>
      </c>
      <c r="H187" s="155">
        <v>0</v>
      </c>
      <c r="I187" s="158">
        <v>0</v>
      </c>
      <c r="J187" s="155">
        <v>0</v>
      </c>
      <c r="K187" s="158">
        <v>0</v>
      </c>
      <c r="L187" s="155">
        <v>0</v>
      </c>
      <c r="M187" s="158">
        <v>0</v>
      </c>
      <c r="N187" s="155">
        <v>0</v>
      </c>
      <c r="O187" s="158">
        <v>0</v>
      </c>
      <c r="P187" s="155">
        <v>0</v>
      </c>
      <c r="Q187" s="158">
        <v>0</v>
      </c>
      <c r="R187" s="155">
        <v>0</v>
      </c>
      <c r="S187" s="158">
        <v>0</v>
      </c>
      <c r="T187" s="155">
        <v>0</v>
      </c>
      <c r="U187" s="157">
        <v>0</v>
      </c>
      <c r="V187" t="e">
        <f>VLOOKUP(A187,'Projetos ciclo 2018-2022'!$I$8:$I$128,1,FALSE)</f>
        <v>#N/A</v>
      </c>
    </row>
    <row r="188" spans="1:22" x14ac:dyDescent="0.25">
      <c r="A188" s="149" t="s">
        <v>1196</v>
      </c>
      <c r="B188" s="150" t="s">
        <v>1197</v>
      </c>
      <c r="C188" s="150" t="s">
        <v>59</v>
      </c>
      <c r="D188" s="151">
        <v>0</v>
      </c>
      <c r="E188" s="152">
        <v>0</v>
      </c>
      <c r="F188" s="151">
        <v>0</v>
      </c>
      <c r="G188" s="152">
        <v>0</v>
      </c>
      <c r="H188" s="151">
        <v>0</v>
      </c>
      <c r="I188" s="152">
        <v>0</v>
      </c>
      <c r="J188" s="151">
        <v>0</v>
      </c>
      <c r="K188" s="152">
        <v>0</v>
      </c>
      <c r="L188" s="151">
        <v>0</v>
      </c>
      <c r="M188" s="152">
        <v>0</v>
      </c>
      <c r="N188" s="151">
        <v>0</v>
      </c>
      <c r="O188" s="152">
        <v>0</v>
      </c>
      <c r="P188" s="151">
        <v>0</v>
      </c>
      <c r="Q188" s="152">
        <v>0</v>
      </c>
      <c r="R188" s="151">
        <v>0</v>
      </c>
      <c r="S188" s="152">
        <v>0</v>
      </c>
      <c r="T188" s="151">
        <v>0</v>
      </c>
      <c r="U188" s="153">
        <v>0</v>
      </c>
      <c r="V188" t="e">
        <f>VLOOKUP(A188,'Projetos ciclo 2018-2022'!$I$8:$I$128,1,FALSE)</f>
        <v>#N/A</v>
      </c>
    </row>
    <row r="189" spans="1:22" x14ac:dyDescent="0.25">
      <c r="A189" s="21" t="s">
        <v>565</v>
      </c>
      <c r="B189" s="154" t="s">
        <v>1396</v>
      </c>
      <c r="C189" s="154" t="s">
        <v>59</v>
      </c>
      <c r="D189" s="155">
        <v>625</v>
      </c>
      <c r="E189" s="158">
        <v>0</v>
      </c>
      <c r="F189" s="155">
        <v>0</v>
      </c>
      <c r="G189" s="158">
        <v>0</v>
      </c>
      <c r="H189" s="155">
        <v>0</v>
      </c>
      <c r="I189" s="158">
        <v>0</v>
      </c>
      <c r="J189" s="155">
        <v>0</v>
      </c>
      <c r="K189" s="158">
        <v>0</v>
      </c>
      <c r="L189" s="155">
        <v>0</v>
      </c>
      <c r="M189" s="158">
        <v>0</v>
      </c>
      <c r="N189" s="155">
        <v>75</v>
      </c>
      <c r="O189" s="158">
        <v>150</v>
      </c>
      <c r="P189" s="155">
        <v>150</v>
      </c>
      <c r="Q189" s="158">
        <v>250</v>
      </c>
      <c r="R189" s="155">
        <v>0</v>
      </c>
      <c r="S189" s="158">
        <v>0</v>
      </c>
      <c r="T189" s="155">
        <v>0</v>
      </c>
      <c r="U189" s="157">
        <v>0</v>
      </c>
      <c r="V189" t="str">
        <f>VLOOKUP(A189,'Projetos ciclo 2018-2022'!$I$8:$I$128,1,FALSE)</f>
        <v>NA</v>
      </c>
    </row>
    <row r="190" spans="1:22" x14ac:dyDescent="0.25">
      <c r="A190" s="149" t="s">
        <v>1199</v>
      </c>
      <c r="B190" s="150" t="s">
        <v>1200</v>
      </c>
      <c r="C190" s="150" t="s">
        <v>59</v>
      </c>
      <c r="D190" s="151">
        <v>0</v>
      </c>
      <c r="E190" s="152">
        <v>0</v>
      </c>
      <c r="F190" s="151">
        <v>0</v>
      </c>
      <c r="G190" s="152">
        <v>0</v>
      </c>
      <c r="H190" s="151">
        <v>0</v>
      </c>
      <c r="I190" s="152">
        <v>0</v>
      </c>
      <c r="J190" s="151">
        <v>0</v>
      </c>
      <c r="K190" s="152">
        <v>0</v>
      </c>
      <c r="L190" s="151">
        <v>0</v>
      </c>
      <c r="M190" s="152">
        <v>0</v>
      </c>
      <c r="N190" s="151">
        <v>0</v>
      </c>
      <c r="O190" s="152">
        <v>0</v>
      </c>
      <c r="P190" s="151">
        <v>0</v>
      </c>
      <c r="Q190" s="152">
        <v>0</v>
      </c>
      <c r="R190" s="151">
        <v>0</v>
      </c>
      <c r="S190" s="152">
        <v>0</v>
      </c>
      <c r="T190" s="151">
        <v>0</v>
      </c>
      <c r="U190" s="153">
        <v>0</v>
      </c>
      <c r="V190" t="e">
        <f>VLOOKUP(A190,'Projetos ciclo 2018-2022'!$I$8:$I$128,1,FALSE)</f>
        <v>#N/A</v>
      </c>
    </row>
    <row r="191" spans="1:22" x14ac:dyDescent="0.25">
      <c r="A191" s="21" t="s">
        <v>1397</v>
      </c>
      <c r="B191" s="154" t="s">
        <v>1398</v>
      </c>
      <c r="C191" s="154" t="s">
        <v>1399</v>
      </c>
      <c r="D191" s="155">
        <v>75</v>
      </c>
      <c r="E191" s="158">
        <v>0</v>
      </c>
      <c r="F191" s="155">
        <v>75</v>
      </c>
      <c r="G191" s="158">
        <v>0</v>
      </c>
      <c r="H191" s="155">
        <v>0</v>
      </c>
      <c r="I191" s="158">
        <v>0</v>
      </c>
      <c r="J191" s="155">
        <v>0</v>
      </c>
      <c r="K191" s="158">
        <v>0</v>
      </c>
      <c r="L191" s="155">
        <v>0</v>
      </c>
      <c r="M191" s="158">
        <v>0</v>
      </c>
      <c r="N191" s="155">
        <v>0</v>
      </c>
      <c r="O191" s="158">
        <v>0</v>
      </c>
      <c r="P191" s="155">
        <v>0</v>
      </c>
      <c r="Q191" s="158">
        <v>0</v>
      </c>
      <c r="R191" s="155">
        <v>0</v>
      </c>
      <c r="S191" s="158">
        <v>0</v>
      </c>
      <c r="T191" s="155">
        <v>0</v>
      </c>
      <c r="U191" s="157">
        <v>0</v>
      </c>
    </row>
    <row r="192" spans="1:22" x14ac:dyDescent="0.25">
      <c r="A192" s="149" t="s">
        <v>1482</v>
      </c>
      <c r="B192" s="150" t="s">
        <v>1463</v>
      </c>
      <c r="C192" s="150" t="s">
        <v>1483</v>
      </c>
      <c r="D192" s="151">
        <v>0</v>
      </c>
      <c r="E192" s="152">
        <v>0</v>
      </c>
      <c r="F192" s="151">
        <v>0</v>
      </c>
      <c r="G192" s="152">
        <v>75</v>
      </c>
      <c r="H192" s="151">
        <v>0</v>
      </c>
      <c r="I192" s="152">
        <v>0</v>
      </c>
      <c r="J192" s="151">
        <v>0</v>
      </c>
      <c r="K192" s="152">
        <v>0</v>
      </c>
      <c r="L192" s="151">
        <v>0</v>
      </c>
      <c r="M192" s="152">
        <v>0</v>
      </c>
      <c r="N192" s="151">
        <v>0</v>
      </c>
      <c r="O192" s="152">
        <v>0</v>
      </c>
      <c r="P192" s="151">
        <v>0</v>
      </c>
      <c r="Q192" s="152">
        <v>0</v>
      </c>
      <c r="R192" s="151">
        <v>0</v>
      </c>
      <c r="S192" s="152">
        <v>0</v>
      </c>
      <c r="T192" s="151">
        <v>0</v>
      </c>
      <c r="U192" s="153">
        <v>0</v>
      </c>
    </row>
    <row r="193" spans="1:21" x14ac:dyDescent="0.25">
      <c r="A193" s="21" t="s">
        <v>1194</v>
      </c>
      <c r="B193" s="154" t="s">
        <v>1400</v>
      </c>
      <c r="C193" s="154" t="s">
        <v>59</v>
      </c>
      <c r="D193" s="155">
        <v>0</v>
      </c>
      <c r="E193" s="158">
        <v>0</v>
      </c>
      <c r="F193" s="155">
        <v>0</v>
      </c>
      <c r="G193" s="158">
        <v>0</v>
      </c>
      <c r="H193" s="155">
        <v>0</v>
      </c>
      <c r="I193" s="158">
        <v>0</v>
      </c>
      <c r="J193" s="155">
        <v>0</v>
      </c>
      <c r="K193" s="158">
        <v>0</v>
      </c>
      <c r="L193" s="155">
        <v>0</v>
      </c>
      <c r="M193" s="158">
        <v>0</v>
      </c>
      <c r="N193" s="155">
        <v>0</v>
      </c>
      <c r="O193" s="158">
        <v>0</v>
      </c>
      <c r="P193" s="155">
        <v>0</v>
      </c>
      <c r="Q193" s="158">
        <v>0</v>
      </c>
      <c r="R193" s="155">
        <v>0</v>
      </c>
      <c r="S193" s="158">
        <v>0</v>
      </c>
      <c r="T193" s="155">
        <v>0</v>
      </c>
      <c r="U193" s="157">
        <v>0</v>
      </c>
    </row>
    <row r="194" spans="1:21" x14ac:dyDescent="0.25">
      <c r="A194" s="149" t="s">
        <v>1196</v>
      </c>
      <c r="B194" s="150" t="s">
        <v>1197</v>
      </c>
      <c r="C194" s="150" t="s">
        <v>59</v>
      </c>
      <c r="D194" s="151">
        <v>0</v>
      </c>
      <c r="E194" s="152">
        <v>0</v>
      </c>
      <c r="F194" s="151">
        <v>0</v>
      </c>
      <c r="G194" s="152">
        <v>0</v>
      </c>
      <c r="H194" s="151">
        <v>0</v>
      </c>
      <c r="I194" s="152">
        <v>0</v>
      </c>
      <c r="J194" s="151">
        <v>0</v>
      </c>
      <c r="K194" s="152">
        <v>0</v>
      </c>
      <c r="L194" s="151">
        <v>0</v>
      </c>
      <c r="M194" s="152">
        <v>0</v>
      </c>
      <c r="N194" s="151">
        <v>0</v>
      </c>
      <c r="O194" s="152">
        <v>0</v>
      </c>
      <c r="P194" s="151">
        <v>0</v>
      </c>
      <c r="Q194" s="152">
        <v>0</v>
      </c>
      <c r="R194" s="151">
        <v>0</v>
      </c>
      <c r="S194" s="152">
        <v>0</v>
      </c>
      <c r="T194" s="151">
        <v>0</v>
      </c>
      <c r="U194" s="153">
        <v>0</v>
      </c>
    </row>
    <row r="195" spans="1:21" x14ac:dyDescent="0.25">
      <c r="A195" s="21" t="s">
        <v>565</v>
      </c>
      <c r="B195" s="154" t="s">
        <v>1401</v>
      </c>
      <c r="C195" s="154" t="s">
        <v>59</v>
      </c>
      <c r="D195" s="155">
        <v>600</v>
      </c>
      <c r="E195" s="158">
        <v>0</v>
      </c>
      <c r="F195" s="155">
        <v>0</v>
      </c>
      <c r="G195" s="158">
        <v>0</v>
      </c>
      <c r="H195" s="155">
        <v>0</v>
      </c>
      <c r="I195" s="158">
        <v>0</v>
      </c>
      <c r="J195" s="155">
        <v>0</v>
      </c>
      <c r="K195" s="158">
        <v>0</v>
      </c>
      <c r="L195" s="155">
        <v>0</v>
      </c>
      <c r="M195" s="158">
        <v>0</v>
      </c>
      <c r="N195" s="155">
        <v>150</v>
      </c>
      <c r="O195" s="158">
        <v>150</v>
      </c>
      <c r="P195" s="155">
        <v>150</v>
      </c>
      <c r="Q195" s="158">
        <v>150</v>
      </c>
      <c r="R195" s="155">
        <v>0</v>
      </c>
      <c r="S195" s="158">
        <v>0</v>
      </c>
      <c r="T195" s="155">
        <v>0</v>
      </c>
      <c r="U195" s="157">
        <v>0</v>
      </c>
    </row>
    <row r="196" spans="1:21" x14ac:dyDescent="0.25">
      <c r="A196" s="149" t="s">
        <v>1199</v>
      </c>
      <c r="B196" s="150" t="s">
        <v>1200</v>
      </c>
      <c r="C196" s="150" t="s">
        <v>59</v>
      </c>
      <c r="D196" s="151">
        <v>0</v>
      </c>
      <c r="E196" s="152">
        <v>0</v>
      </c>
      <c r="F196" s="151">
        <v>0</v>
      </c>
      <c r="G196" s="152">
        <v>0</v>
      </c>
      <c r="H196" s="151">
        <v>0</v>
      </c>
      <c r="I196" s="152">
        <v>0</v>
      </c>
      <c r="J196" s="151">
        <v>0</v>
      </c>
      <c r="K196" s="152">
        <v>0</v>
      </c>
      <c r="L196" s="151">
        <v>0</v>
      </c>
      <c r="M196" s="152">
        <v>0</v>
      </c>
      <c r="N196" s="151">
        <v>0</v>
      </c>
      <c r="O196" s="152">
        <v>0</v>
      </c>
      <c r="P196" s="151">
        <v>0</v>
      </c>
      <c r="Q196" s="152">
        <v>0</v>
      </c>
      <c r="R196" s="151">
        <v>0</v>
      </c>
      <c r="S196" s="152">
        <v>0</v>
      </c>
      <c r="T196" s="151">
        <v>0</v>
      </c>
      <c r="U196" s="153">
        <v>0</v>
      </c>
    </row>
    <row r="197" spans="1:21" x14ac:dyDescent="0.25">
      <c r="A197" s="21" t="s">
        <v>1402</v>
      </c>
      <c r="B197" s="154" t="s">
        <v>1403</v>
      </c>
      <c r="C197" s="154" t="s">
        <v>1404</v>
      </c>
      <c r="D197" s="155">
        <v>0</v>
      </c>
      <c r="E197" s="158">
        <v>0</v>
      </c>
      <c r="F197" s="155">
        <v>0</v>
      </c>
      <c r="G197" s="158">
        <v>0</v>
      </c>
      <c r="H197" s="155">
        <v>0</v>
      </c>
      <c r="I197" s="158">
        <v>0</v>
      </c>
      <c r="J197" s="155">
        <v>0</v>
      </c>
      <c r="K197" s="158">
        <v>0</v>
      </c>
      <c r="L197" s="155">
        <v>0</v>
      </c>
      <c r="M197" s="158">
        <v>0</v>
      </c>
      <c r="N197" s="155">
        <v>0</v>
      </c>
      <c r="O197" s="158">
        <v>0</v>
      </c>
      <c r="P197" s="155">
        <v>0</v>
      </c>
      <c r="Q197" s="158">
        <v>0</v>
      </c>
      <c r="R197" s="155">
        <v>0</v>
      </c>
      <c r="S197" s="158">
        <v>0</v>
      </c>
      <c r="T197" s="155">
        <v>0</v>
      </c>
      <c r="U197" s="157">
        <v>0</v>
      </c>
    </row>
    <row r="198" spans="1:21" x14ac:dyDescent="0.25">
      <c r="A198" s="149" t="s">
        <v>801</v>
      </c>
      <c r="B198" s="150" t="s">
        <v>1405</v>
      </c>
      <c r="C198" s="150" t="s">
        <v>1406</v>
      </c>
      <c r="D198" s="151">
        <v>0</v>
      </c>
      <c r="E198" s="152">
        <v>0</v>
      </c>
      <c r="F198" s="151">
        <v>0</v>
      </c>
      <c r="G198" s="152">
        <v>8</v>
      </c>
      <c r="H198" s="151">
        <v>0</v>
      </c>
      <c r="I198" s="152">
        <v>7.60504150390625</v>
      </c>
      <c r="J198" s="151">
        <v>0</v>
      </c>
      <c r="K198" s="152">
        <v>7.60504150390625</v>
      </c>
      <c r="L198" s="151">
        <v>0</v>
      </c>
      <c r="M198" s="152">
        <v>7.60504150390625</v>
      </c>
      <c r="N198" s="151">
        <v>0</v>
      </c>
      <c r="O198" s="152">
        <v>0</v>
      </c>
      <c r="P198" s="151">
        <v>0</v>
      </c>
      <c r="Q198" s="152">
        <v>0</v>
      </c>
      <c r="R198" s="151">
        <v>0</v>
      </c>
      <c r="S198" s="152">
        <v>0</v>
      </c>
      <c r="T198" s="151">
        <v>0</v>
      </c>
      <c r="U198" s="153">
        <v>0</v>
      </c>
    </row>
    <row r="199" spans="1:21" x14ac:dyDescent="0.25">
      <c r="A199" s="21" t="s">
        <v>1397</v>
      </c>
      <c r="B199" s="154" t="s">
        <v>1407</v>
      </c>
      <c r="C199" s="154" t="s">
        <v>1408</v>
      </c>
      <c r="D199" s="155">
        <v>1289</v>
      </c>
      <c r="E199" s="158">
        <v>0</v>
      </c>
      <c r="F199" s="155">
        <v>1289</v>
      </c>
      <c r="G199" s="158">
        <v>0</v>
      </c>
      <c r="H199" s="155">
        <v>219</v>
      </c>
      <c r="I199" s="158">
        <v>0</v>
      </c>
      <c r="J199" s="155">
        <v>0</v>
      </c>
      <c r="K199" s="158">
        <v>0</v>
      </c>
      <c r="L199" s="155">
        <v>0</v>
      </c>
      <c r="M199" s="158">
        <v>0</v>
      </c>
      <c r="N199" s="155">
        <v>0</v>
      </c>
      <c r="O199" s="158">
        <v>0</v>
      </c>
      <c r="P199" s="155">
        <v>0</v>
      </c>
      <c r="Q199" s="158">
        <v>0</v>
      </c>
      <c r="R199" s="155">
        <v>0</v>
      </c>
      <c r="S199" s="158">
        <v>0</v>
      </c>
      <c r="T199" s="155">
        <v>0</v>
      </c>
      <c r="U199" s="157">
        <v>0</v>
      </c>
    </row>
    <row r="200" spans="1:21" x14ac:dyDescent="0.25">
      <c r="I200" s="200">
        <f>SUBTOTAL(9,I4:I199)</f>
        <v>7125.641134262085</v>
      </c>
      <c r="J200" s="200">
        <f t="shared" ref="J200:U200" si="0">SUM(J4:J199)</f>
        <v>0</v>
      </c>
      <c r="K200" s="200">
        <f t="shared" si="0"/>
        <v>7780.7081707715988</v>
      </c>
      <c r="L200" s="200">
        <f t="shared" si="0"/>
        <v>15963.323855145834</v>
      </c>
      <c r="M200" s="200">
        <f t="shared" si="0"/>
        <v>23744.032025917433</v>
      </c>
      <c r="N200" s="200">
        <f t="shared" si="0"/>
        <v>91719</v>
      </c>
      <c r="O200" s="200">
        <f t="shared" si="0"/>
        <v>83542</v>
      </c>
      <c r="P200" s="200">
        <f t="shared" si="0"/>
        <v>55948</v>
      </c>
      <c r="Q200" s="200">
        <f t="shared" si="0"/>
        <v>49192</v>
      </c>
      <c r="R200" s="200">
        <f t="shared" si="0"/>
        <v>0</v>
      </c>
      <c r="S200" s="200">
        <f t="shared" si="0"/>
        <v>0</v>
      </c>
      <c r="T200" s="200">
        <f t="shared" si="0"/>
        <v>0</v>
      </c>
      <c r="U200" s="200">
        <f t="shared" si="0"/>
        <v>0</v>
      </c>
    </row>
  </sheetData>
  <autoFilter ref="A2:V199">
    <filterColumn colId="0">
      <filters blank="1">
        <filter val="2264/09"/>
        <filter val="2509/10"/>
        <filter val="2556/10"/>
        <filter val="2710/11"/>
        <filter val="2716/11"/>
        <filter val="2717/11"/>
        <filter val="2854/11"/>
        <filter val="2896/11"/>
        <filter val="2922/11"/>
        <filter val="3088/12"/>
        <filter val="3211/12"/>
        <filter val="AM"/>
        <filter val="CD00115"/>
        <filter val="CD00116"/>
        <filter val="CD00215"/>
        <filter val="CD00315"/>
        <filter val="CI"/>
        <filter val="GE00118"/>
        <filter val="GE00214"/>
        <filter val="GE00218"/>
        <filter val="GE00318"/>
        <filter val="GE00418"/>
        <filter val="GE00518"/>
        <filter val="GE00618"/>
        <filter val="GE00718"/>
        <filter val="GE00818"/>
        <filter val="GE00918"/>
        <filter val="MD00218"/>
        <filter val="MD00318"/>
        <filter val="MG00318"/>
        <filter val="MT00218"/>
        <filter val="MT00516"/>
        <filter val="MT01017"/>
        <filter val="NA"/>
        <filter val="PO00117"/>
        <filter val="PO00118"/>
        <filter val="PO00417"/>
        <filter val="RH00118"/>
        <filter val="SC00117"/>
        <filter val="SC00118"/>
        <filter val="SC00318"/>
        <filter val="SC00418"/>
        <filter val="SR"/>
        <filter val="TI00118"/>
        <filter val="TI00216"/>
        <filter val="TI00218"/>
        <filter val="TI00316"/>
        <filter val="TI00416"/>
        <filter val="TI00417"/>
        <filter val="TI00516"/>
        <filter val="TI00517"/>
        <filter val="TI00617"/>
        <filter val="TI00716"/>
        <filter val="TI00818"/>
        <filter val="TI00914"/>
        <filter val="TI00918"/>
        <filter val="TI01016"/>
        <filter val="TI01018"/>
        <filter val="TI01113"/>
        <filter val="TI01114"/>
        <filter val="TI01118"/>
        <filter val="TI01213"/>
        <filter val="TI01218"/>
        <filter val="TI01317"/>
        <filter val="TI01318"/>
        <filter val="TI01418"/>
        <filter val="TI01518"/>
        <filter val="TI01616"/>
        <filter val="TI01715"/>
        <filter val="TI01813"/>
        <filter val="TI01816"/>
        <filter val="TI02115"/>
        <filter val="TI02216"/>
        <filter val="TI02217"/>
        <filter val="TI02316"/>
        <filter val="TI02318"/>
        <filter val="TI02416"/>
        <filter val="TI02418"/>
        <filter val="TI02515"/>
        <filter val="TI02516"/>
        <filter val="TI02616"/>
        <filter val="TI02618"/>
        <filter val="TI02718"/>
        <filter val="TI02817"/>
        <filter val="TI02918"/>
        <filter val="TI03015"/>
        <filter val="TI03018"/>
        <filter val="TI03117"/>
        <filter val="TI03118"/>
        <filter val="TI03217"/>
        <filter val="TI03218"/>
        <filter val="TI03317"/>
        <filter val="TI03318"/>
        <filter val="TI03417"/>
        <filter val="TI03418"/>
        <filter val="TI03517"/>
        <filter val="TI03518"/>
        <filter val="TI03617"/>
        <filter val="TI03618"/>
        <filter val="TI03718"/>
        <filter val="TI03818"/>
        <filter val="TI03918"/>
        <filter val="TI04018"/>
        <filter val="TI04117"/>
        <filter val="TI04318"/>
        <filter val="TI04418"/>
        <filter val="TI04518"/>
        <filter val="TI04618"/>
        <filter val="TI04718"/>
        <filter val="TI04818"/>
        <filter val="TI04918"/>
        <filter val="TI05018"/>
        <filter val="TI05118"/>
        <filter val="TI05218"/>
      </filters>
    </filterColumn>
  </autoFilter>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
  <sheetViews>
    <sheetView showGridLines="0" workbookViewId="0">
      <pane ySplit="3" topLeftCell="A115" activePane="bottomLeft" state="frozen"/>
      <selection pane="bottomLeft" activeCell="A126" sqref="A126"/>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527" t="s">
        <v>1409</v>
      </c>
      <c r="B2" s="527" t="s">
        <v>1410</v>
      </c>
      <c r="C2" s="527" t="s">
        <v>1411</v>
      </c>
      <c r="D2" s="529" t="s">
        <v>1412</v>
      </c>
      <c r="E2" s="317" t="s">
        <v>1413</v>
      </c>
      <c r="F2" s="160"/>
      <c r="G2" s="161"/>
      <c r="H2" s="160"/>
      <c r="I2" s="162" t="s">
        <v>1414</v>
      </c>
      <c r="J2" s="163">
        <f>[1]Capa!$K$3</f>
        <v>43251</v>
      </c>
      <c r="K2" s="162"/>
      <c r="L2" s="162"/>
      <c r="M2" s="164"/>
      <c r="N2" s="165"/>
      <c r="O2" s="162"/>
      <c r="P2" s="162" t="s">
        <v>1415</v>
      </c>
      <c r="Q2" s="162"/>
      <c r="R2" s="162"/>
      <c r="S2" s="162"/>
      <c r="T2" s="162"/>
      <c r="U2" s="166"/>
    </row>
    <row r="3" spans="1:22"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2"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c r="V4" t="e">
        <f>VLOOKUP(A4,'Projetos ciclo 2018-2022'!$I$8:$I$128,1,FALSE)</f>
        <v>#N/A</v>
      </c>
    </row>
    <row r="5" spans="1:22"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c r="V5" t="e">
        <f>VLOOKUP(A5,'Projetos ciclo 2018-2022'!$I$8:$I$128,1,FALSE)</f>
        <v>#N/A</v>
      </c>
    </row>
    <row r="6" spans="1:22" x14ac:dyDescent="0.25">
      <c r="A6" s="149" t="s">
        <v>1444</v>
      </c>
      <c r="B6" s="150" t="s">
        <v>1445</v>
      </c>
      <c r="C6" s="150" t="s">
        <v>1446</v>
      </c>
      <c r="D6" s="151">
        <v>782</v>
      </c>
      <c r="E6" s="152">
        <v>0</v>
      </c>
      <c r="F6" s="151">
        <v>782</v>
      </c>
      <c r="G6" s="152">
        <v>0</v>
      </c>
      <c r="H6" s="151">
        <v>0</v>
      </c>
      <c r="I6" s="152">
        <v>0</v>
      </c>
      <c r="J6" s="151">
        <v>0</v>
      </c>
      <c r="K6" s="152">
        <v>0</v>
      </c>
      <c r="L6" s="151">
        <v>0</v>
      </c>
      <c r="M6" s="152">
        <v>0</v>
      </c>
      <c r="N6" s="151">
        <v>0</v>
      </c>
      <c r="O6" s="152">
        <v>0</v>
      </c>
      <c r="P6" s="151">
        <v>0</v>
      </c>
      <c r="Q6" s="152">
        <v>0</v>
      </c>
      <c r="R6" s="151">
        <v>0</v>
      </c>
      <c r="S6" s="152">
        <v>0</v>
      </c>
      <c r="T6" s="151">
        <v>0</v>
      </c>
      <c r="U6" s="153">
        <v>0</v>
      </c>
      <c r="V6" t="e">
        <f>VLOOKUP(A6,'Projetos ciclo 2018-2022'!$I$8:$I$128,1,FALSE)</f>
        <v>#N/A</v>
      </c>
    </row>
    <row r="7" spans="1:22" x14ac:dyDescent="0.25">
      <c r="A7" s="21" t="s">
        <v>1636</v>
      </c>
      <c r="B7" s="154" t="s">
        <v>1664</v>
      </c>
      <c r="C7" s="154" t="s">
        <v>1637</v>
      </c>
      <c r="D7" s="155">
        <v>0</v>
      </c>
      <c r="E7" s="158">
        <v>0</v>
      </c>
      <c r="F7" s="155">
        <v>0</v>
      </c>
      <c r="G7" s="158">
        <v>51</v>
      </c>
      <c r="H7" s="155">
        <v>0</v>
      </c>
      <c r="I7" s="158">
        <v>0</v>
      </c>
      <c r="J7" s="155">
        <v>0</v>
      </c>
      <c r="K7" s="158">
        <v>0</v>
      </c>
      <c r="L7" s="155">
        <v>0</v>
      </c>
      <c r="M7" s="158">
        <v>0</v>
      </c>
      <c r="N7" s="155">
        <v>0</v>
      </c>
      <c r="O7" s="158">
        <v>0</v>
      </c>
      <c r="P7" s="155">
        <v>0</v>
      </c>
      <c r="Q7" s="158">
        <v>0</v>
      </c>
      <c r="R7" s="155">
        <v>0</v>
      </c>
      <c r="S7" s="158">
        <v>0</v>
      </c>
      <c r="T7" s="155">
        <v>0</v>
      </c>
      <c r="U7" s="157">
        <v>0</v>
      </c>
      <c r="V7" t="str">
        <f>VLOOKUP(A7,'Projetos ciclo 2018-2022'!$I$8:$I$128,1,FALSE)</f>
        <v>MG00818</v>
      </c>
    </row>
    <row r="8" spans="1:22" x14ac:dyDescent="0.25">
      <c r="A8" s="149" t="s">
        <v>565</v>
      </c>
      <c r="B8" s="150" t="s">
        <v>1198</v>
      </c>
      <c r="C8" s="150" t="s">
        <v>59</v>
      </c>
      <c r="D8" s="151">
        <v>1854</v>
      </c>
      <c r="E8" s="152">
        <v>0</v>
      </c>
      <c r="F8" s="151">
        <v>0</v>
      </c>
      <c r="G8" s="152">
        <v>0</v>
      </c>
      <c r="H8" s="151">
        <v>0</v>
      </c>
      <c r="I8" s="152">
        <v>0</v>
      </c>
      <c r="J8" s="151">
        <v>0</v>
      </c>
      <c r="K8" s="152">
        <v>0</v>
      </c>
      <c r="L8" s="151">
        <v>0</v>
      </c>
      <c r="M8" s="152">
        <v>0</v>
      </c>
      <c r="N8" s="151">
        <v>634</v>
      </c>
      <c r="O8" s="152">
        <v>435</v>
      </c>
      <c r="P8" s="151">
        <v>360</v>
      </c>
      <c r="Q8" s="152">
        <v>425</v>
      </c>
      <c r="R8" s="151">
        <v>0</v>
      </c>
      <c r="S8" s="152">
        <v>0</v>
      </c>
      <c r="T8" s="151">
        <v>0</v>
      </c>
      <c r="U8" s="153">
        <v>0</v>
      </c>
      <c r="V8" t="str">
        <f>VLOOKUP(A8,'Projetos ciclo 2018-2022'!$I$8:$I$128,1,FALSE)</f>
        <v>NA</v>
      </c>
    </row>
    <row r="9" spans="1:22" x14ac:dyDescent="0.25">
      <c r="A9" s="21" t="s">
        <v>1530</v>
      </c>
      <c r="B9" s="154" t="s">
        <v>1580</v>
      </c>
      <c r="C9" s="154" t="s">
        <v>1531</v>
      </c>
      <c r="D9" s="155">
        <v>0</v>
      </c>
      <c r="E9" s="158">
        <v>0</v>
      </c>
      <c r="F9" s="155">
        <v>0</v>
      </c>
      <c r="G9" s="158">
        <v>132</v>
      </c>
      <c r="H9" s="155">
        <v>0</v>
      </c>
      <c r="I9" s="158">
        <v>0</v>
      </c>
      <c r="J9" s="155">
        <v>0</v>
      </c>
      <c r="K9" s="158">
        <v>0</v>
      </c>
      <c r="L9" s="155">
        <v>130.86748659610748</v>
      </c>
      <c r="M9" s="158">
        <v>130.86748659610748</v>
      </c>
      <c r="N9" s="155">
        <v>0</v>
      </c>
      <c r="O9" s="158">
        <v>0</v>
      </c>
      <c r="P9" s="155">
        <v>0</v>
      </c>
      <c r="Q9" s="158">
        <v>0</v>
      </c>
      <c r="R9" s="155">
        <v>0</v>
      </c>
      <c r="S9" s="158">
        <v>0</v>
      </c>
      <c r="T9" s="155">
        <v>0</v>
      </c>
      <c r="U9" s="157">
        <v>0</v>
      </c>
      <c r="V9" t="str">
        <f>VLOOKUP(A9,'Projetos ciclo 2018-2022'!$I$8:$I$128,1,FALSE)</f>
        <v>SC00318</v>
      </c>
    </row>
    <row r="10" spans="1:22" x14ac:dyDescent="0.25">
      <c r="A10" s="149" t="s">
        <v>1199</v>
      </c>
      <c r="B10" s="150" t="s">
        <v>1200</v>
      </c>
      <c r="C10" s="150" t="s">
        <v>59</v>
      </c>
      <c r="D10" s="151">
        <v>0</v>
      </c>
      <c r="E10" s="152">
        <v>0</v>
      </c>
      <c r="F10" s="151">
        <v>0</v>
      </c>
      <c r="G10" s="152">
        <v>0</v>
      </c>
      <c r="H10" s="151">
        <v>0</v>
      </c>
      <c r="I10" s="152">
        <v>0</v>
      </c>
      <c r="J10" s="151">
        <v>0</v>
      </c>
      <c r="K10" s="152">
        <v>0</v>
      </c>
      <c r="L10" s="151">
        <v>0</v>
      </c>
      <c r="M10" s="152">
        <v>0</v>
      </c>
      <c r="N10" s="151">
        <v>0</v>
      </c>
      <c r="O10" s="152">
        <v>0</v>
      </c>
      <c r="P10" s="151">
        <v>0</v>
      </c>
      <c r="Q10" s="152">
        <v>0</v>
      </c>
      <c r="R10" s="151">
        <v>0</v>
      </c>
      <c r="S10" s="152">
        <v>0</v>
      </c>
      <c r="T10" s="151">
        <v>0</v>
      </c>
      <c r="U10" s="153">
        <v>0</v>
      </c>
      <c r="V10" t="e">
        <f>VLOOKUP(A10,'Projetos ciclo 2018-2022'!$I$8:$I$128,1,FALSE)</f>
        <v>#N/A</v>
      </c>
    </row>
    <row r="11" spans="1:22" x14ac:dyDescent="0.25">
      <c r="A11" s="21" t="s">
        <v>1194</v>
      </c>
      <c r="B11" s="154" t="s">
        <v>1201</v>
      </c>
      <c r="C11" s="154" t="s">
        <v>59</v>
      </c>
      <c r="D11" s="155">
        <v>0</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c r="V11" t="e">
        <f>VLOOKUP(A11,'Projetos ciclo 2018-2022'!$I$8:$I$128,1,FALSE)</f>
        <v>#N/A</v>
      </c>
    </row>
    <row r="12" spans="1:22" x14ac:dyDescent="0.25">
      <c r="A12" s="149" t="s">
        <v>1196</v>
      </c>
      <c r="B12" s="150" t="s">
        <v>1197</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c r="V12" t="e">
        <f>VLOOKUP(A12,'Projetos ciclo 2018-2022'!$I$8:$I$128,1,FALSE)</f>
        <v>#N/A</v>
      </c>
    </row>
    <row r="13" spans="1:22" x14ac:dyDescent="0.25">
      <c r="A13" s="21" t="s">
        <v>565</v>
      </c>
      <c r="B13" s="154" t="s">
        <v>1198</v>
      </c>
      <c r="C13" s="154" t="s">
        <v>59</v>
      </c>
      <c r="D13" s="155">
        <v>139</v>
      </c>
      <c r="E13" s="158">
        <v>0</v>
      </c>
      <c r="F13" s="155">
        <v>0</v>
      </c>
      <c r="G13" s="158">
        <v>0</v>
      </c>
      <c r="H13" s="155">
        <v>0</v>
      </c>
      <c r="I13" s="158">
        <v>0</v>
      </c>
      <c r="J13" s="155">
        <v>0</v>
      </c>
      <c r="K13" s="158">
        <v>0</v>
      </c>
      <c r="L13" s="155">
        <v>0</v>
      </c>
      <c r="M13" s="158">
        <v>0</v>
      </c>
      <c r="N13" s="155">
        <v>16</v>
      </c>
      <c r="O13" s="158">
        <v>30</v>
      </c>
      <c r="P13" s="155">
        <v>50</v>
      </c>
      <c r="Q13" s="158">
        <v>43</v>
      </c>
      <c r="R13" s="155">
        <v>0</v>
      </c>
      <c r="S13" s="158">
        <v>0</v>
      </c>
      <c r="T13" s="155">
        <v>0</v>
      </c>
      <c r="U13" s="157">
        <v>0</v>
      </c>
      <c r="V13" t="str">
        <f>VLOOKUP(A13,'Projetos ciclo 2018-2022'!$I$8:$I$128,1,FALSE)</f>
        <v>NA</v>
      </c>
    </row>
    <row r="14" spans="1:22" x14ac:dyDescent="0.25">
      <c r="A14" s="149" t="s">
        <v>1199</v>
      </c>
      <c r="B14" s="150" t="s">
        <v>1200</v>
      </c>
      <c r="C14" s="150" t="s">
        <v>59</v>
      </c>
      <c r="D14" s="151">
        <v>0</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c r="V14" t="e">
        <f>VLOOKUP(A14,'Projetos ciclo 2018-2022'!$I$8:$I$128,1,FALSE)</f>
        <v>#N/A</v>
      </c>
    </row>
    <row r="15" spans="1:22" x14ac:dyDescent="0.25">
      <c r="A15" s="21" t="s">
        <v>1202</v>
      </c>
      <c r="B15" s="154" t="s">
        <v>1203</v>
      </c>
      <c r="C15" s="154" t="s">
        <v>1204</v>
      </c>
      <c r="D15" s="155">
        <v>29</v>
      </c>
      <c r="E15" s="158">
        <v>0</v>
      </c>
      <c r="F15" s="155">
        <v>29</v>
      </c>
      <c r="G15" s="158">
        <v>0</v>
      </c>
      <c r="H15" s="155">
        <v>0</v>
      </c>
      <c r="I15" s="158">
        <v>0</v>
      </c>
      <c r="J15" s="155">
        <v>0</v>
      </c>
      <c r="K15" s="158">
        <v>0</v>
      </c>
      <c r="L15" s="155">
        <v>0</v>
      </c>
      <c r="M15" s="158">
        <v>0</v>
      </c>
      <c r="N15" s="155">
        <v>0</v>
      </c>
      <c r="O15" s="158">
        <v>0</v>
      </c>
      <c r="P15" s="155">
        <v>0</v>
      </c>
      <c r="Q15" s="158">
        <v>0</v>
      </c>
      <c r="R15" s="155">
        <v>0</v>
      </c>
      <c r="S15" s="158">
        <v>0</v>
      </c>
      <c r="T15" s="155">
        <v>0</v>
      </c>
      <c r="U15" s="157">
        <v>0</v>
      </c>
      <c r="V15" t="e">
        <f>VLOOKUP(A15,'Projetos ciclo 2018-2022'!$I$8:$I$128,1,FALSE)</f>
        <v>#N/A</v>
      </c>
    </row>
    <row r="16" spans="1:22" x14ac:dyDescent="0.25">
      <c r="A16" s="149" t="s">
        <v>1194</v>
      </c>
      <c r="B16" s="150" t="s">
        <v>1205</v>
      </c>
      <c r="C16" s="150" t="s">
        <v>59</v>
      </c>
      <c r="D16" s="151">
        <v>0</v>
      </c>
      <c r="E16" s="152">
        <v>0</v>
      </c>
      <c r="F16" s="151">
        <v>0</v>
      </c>
      <c r="G16" s="152">
        <v>0</v>
      </c>
      <c r="H16" s="151">
        <v>0</v>
      </c>
      <c r="I16" s="152">
        <v>0</v>
      </c>
      <c r="J16" s="151">
        <v>0</v>
      </c>
      <c r="K16" s="152">
        <v>0</v>
      </c>
      <c r="L16" s="151">
        <v>0</v>
      </c>
      <c r="M16" s="152">
        <v>0</v>
      </c>
      <c r="N16" s="151">
        <v>0</v>
      </c>
      <c r="O16" s="152">
        <v>0</v>
      </c>
      <c r="P16" s="151">
        <v>0</v>
      </c>
      <c r="Q16" s="152">
        <v>0</v>
      </c>
      <c r="R16" s="151">
        <v>0</v>
      </c>
      <c r="S16" s="152">
        <v>0</v>
      </c>
      <c r="T16" s="151">
        <v>0</v>
      </c>
      <c r="U16" s="153">
        <v>0</v>
      </c>
      <c r="V16" t="e">
        <f>VLOOKUP(A16,'Projetos ciclo 2018-2022'!$I$8:$I$128,1,FALSE)</f>
        <v>#N/A</v>
      </c>
    </row>
    <row r="17" spans="1:22" x14ac:dyDescent="0.25">
      <c r="A17" s="21" t="s">
        <v>1196</v>
      </c>
      <c r="B17" s="154" t="s">
        <v>1197</v>
      </c>
      <c r="C17" s="154" t="s">
        <v>59</v>
      </c>
      <c r="D17" s="155">
        <v>0</v>
      </c>
      <c r="E17" s="158">
        <v>0</v>
      </c>
      <c r="F17" s="155">
        <v>0</v>
      </c>
      <c r="G17" s="158">
        <v>0</v>
      </c>
      <c r="H17" s="155">
        <v>0</v>
      </c>
      <c r="I17" s="158">
        <v>0</v>
      </c>
      <c r="J17" s="155">
        <v>0</v>
      </c>
      <c r="K17" s="158">
        <v>0</v>
      </c>
      <c r="L17" s="155">
        <v>0</v>
      </c>
      <c r="M17" s="158">
        <v>0</v>
      </c>
      <c r="N17" s="155">
        <v>0</v>
      </c>
      <c r="O17" s="158">
        <v>0</v>
      </c>
      <c r="P17" s="155">
        <v>0</v>
      </c>
      <c r="Q17" s="158">
        <v>0</v>
      </c>
      <c r="R17" s="155">
        <v>0</v>
      </c>
      <c r="S17" s="158">
        <v>0</v>
      </c>
      <c r="T17" s="155">
        <v>0</v>
      </c>
      <c r="U17" s="157">
        <v>0</v>
      </c>
      <c r="V17" t="e">
        <f>VLOOKUP(A17,'Projetos ciclo 2018-2022'!$I$8:$I$128,1,FALSE)</f>
        <v>#N/A</v>
      </c>
    </row>
    <row r="18" spans="1:22" x14ac:dyDescent="0.25">
      <c r="A18" s="149" t="s">
        <v>565</v>
      </c>
      <c r="B18" s="150" t="s">
        <v>1198</v>
      </c>
      <c r="C18" s="150" t="s">
        <v>59</v>
      </c>
      <c r="D18" s="151">
        <v>896</v>
      </c>
      <c r="E18" s="152">
        <v>0</v>
      </c>
      <c r="F18" s="151">
        <v>0</v>
      </c>
      <c r="G18" s="152">
        <v>0</v>
      </c>
      <c r="H18" s="151">
        <v>0</v>
      </c>
      <c r="I18" s="152">
        <v>0</v>
      </c>
      <c r="J18" s="151">
        <v>0</v>
      </c>
      <c r="K18" s="152">
        <v>0</v>
      </c>
      <c r="L18" s="151">
        <v>0</v>
      </c>
      <c r="M18" s="152">
        <v>0</v>
      </c>
      <c r="N18" s="151">
        <v>351.5</v>
      </c>
      <c r="O18" s="152">
        <v>214.5</v>
      </c>
      <c r="P18" s="151">
        <v>51.5</v>
      </c>
      <c r="Q18" s="152">
        <v>278.5</v>
      </c>
      <c r="R18" s="151">
        <v>0</v>
      </c>
      <c r="S18" s="152">
        <v>0</v>
      </c>
      <c r="T18" s="151">
        <v>0</v>
      </c>
      <c r="U18" s="153">
        <v>0</v>
      </c>
      <c r="V18" t="str">
        <f>VLOOKUP(A18,'Projetos ciclo 2018-2022'!$I$8:$I$128,1,FALSE)</f>
        <v>NA</v>
      </c>
    </row>
    <row r="19" spans="1:22" x14ac:dyDescent="0.25">
      <c r="A19" s="21" t="s">
        <v>1199</v>
      </c>
      <c r="B19" s="154" t="s">
        <v>1200</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c r="V19" t="e">
        <f>VLOOKUP(A19,'Projetos ciclo 2018-2022'!$I$8:$I$128,1,FALSE)</f>
        <v>#N/A</v>
      </c>
    </row>
    <row r="20" spans="1:22" x14ac:dyDescent="0.25">
      <c r="A20" s="149" t="s">
        <v>1468</v>
      </c>
      <c r="B20" s="150" t="s">
        <v>1469</v>
      </c>
      <c r="C20" s="150" t="s">
        <v>1470</v>
      </c>
      <c r="D20" s="151">
        <v>0</v>
      </c>
      <c r="E20" s="152">
        <v>0</v>
      </c>
      <c r="F20" s="151">
        <v>0</v>
      </c>
      <c r="G20" s="152">
        <v>59</v>
      </c>
      <c r="H20" s="151">
        <v>0</v>
      </c>
      <c r="I20" s="152">
        <v>0</v>
      </c>
      <c r="J20" s="151">
        <v>0</v>
      </c>
      <c r="K20" s="152">
        <v>0</v>
      </c>
      <c r="L20" s="151">
        <v>0</v>
      </c>
      <c r="M20" s="152">
        <v>0</v>
      </c>
      <c r="N20" s="151">
        <v>0</v>
      </c>
      <c r="O20" s="152">
        <v>0</v>
      </c>
      <c r="P20" s="151">
        <v>0</v>
      </c>
      <c r="Q20" s="152">
        <v>0</v>
      </c>
      <c r="R20" s="151">
        <v>0</v>
      </c>
      <c r="S20" s="152">
        <v>0</v>
      </c>
      <c r="T20" s="151">
        <v>0</v>
      </c>
      <c r="U20" s="153">
        <v>0</v>
      </c>
      <c r="V20" t="str">
        <f>VLOOKUP(A20,'Projetos ciclo 2018-2022'!$I$8:$I$128,1,FALSE)</f>
        <v>TI03218</v>
      </c>
    </row>
    <row r="21" spans="1:22" x14ac:dyDescent="0.25">
      <c r="A21" s="21" t="s">
        <v>1206</v>
      </c>
      <c r="B21" s="154" t="s">
        <v>1207</v>
      </c>
      <c r="C21" s="154" t="s">
        <v>1208</v>
      </c>
      <c r="D21" s="155">
        <v>59</v>
      </c>
      <c r="E21" s="158">
        <v>0</v>
      </c>
      <c r="F21" s="155">
        <v>59</v>
      </c>
      <c r="G21" s="158">
        <v>0</v>
      </c>
      <c r="H21" s="155">
        <v>0</v>
      </c>
      <c r="I21" s="158">
        <v>0</v>
      </c>
      <c r="J21" s="155">
        <v>0</v>
      </c>
      <c r="K21" s="158">
        <v>0</v>
      </c>
      <c r="L21" s="155">
        <v>0</v>
      </c>
      <c r="M21" s="158">
        <v>0</v>
      </c>
      <c r="N21" s="155">
        <v>0</v>
      </c>
      <c r="O21" s="158">
        <v>0</v>
      </c>
      <c r="P21" s="155">
        <v>0</v>
      </c>
      <c r="Q21" s="158">
        <v>0</v>
      </c>
      <c r="R21" s="155">
        <v>0</v>
      </c>
      <c r="S21" s="158">
        <v>0</v>
      </c>
      <c r="T21" s="155">
        <v>0</v>
      </c>
      <c r="U21" s="157">
        <v>0</v>
      </c>
      <c r="V21" t="e">
        <f>VLOOKUP(A21,'Projetos ciclo 2018-2022'!$I$8:$I$128,1,FALSE)</f>
        <v>#N/A</v>
      </c>
    </row>
    <row r="22" spans="1:22" x14ac:dyDescent="0.25">
      <c r="A22" s="149" t="s">
        <v>1194</v>
      </c>
      <c r="B22" s="150" t="s">
        <v>1209</v>
      </c>
      <c r="C22" s="150" t="s">
        <v>59</v>
      </c>
      <c r="D22" s="151">
        <v>0</v>
      </c>
      <c r="E22" s="152">
        <v>0</v>
      </c>
      <c r="F22" s="151">
        <v>0</v>
      </c>
      <c r="G22" s="152">
        <v>0</v>
      </c>
      <c r="H22" s="151">
        <v>0</v>
      </c>
      <c r="I22" s="152">
        <v>0</v>
      </c>
      <c r="J22" s="151">
        <v>0</v>
      </c>
      <c r="K22" s="152">
        <v>0</v>
      </c>
      <c r="L22" s="151">
        <v>0</v>
      </c>
      <c r="M22" s="152">
        <v>0</v>
      </c>
      <c r="N22" s="151">
        <v>0</v>
      </c>
      <c r="O22" s="152">
        <v>0</v>
      </c>
      <c r="P22" s="151">
        <v>0</v>
      </c>
      <c r="Q22" s="152">
        <v>0</v>
      </c>
      <c r="R22" s="151">
        <v>0</v>
      </c>
      <c r="S22" s="152">
        <v>0</v>
      </c>
      <c r="T22" s="151">
        <v>0</v>
      </c>
      <c r="U22" s="153">
        <v>0</v>
      </c>
      <c r="V22" t="e">
        <f>VLOOKUP(A22,'Projetos ciclo 2018-2022'!$I$8:$I$128,1,FALSE)</f>
        <v>#N/A</v>
      </c>
    </row>
    <row r="23" spans="1:22" x14ac:dyDescent="0.25">
      <c r="A23" s="21" t="s">
        <v>1196</v>
      </c>
      <c r="B23" s="154" t="s">
        <v>1197</v>
      </c>
      <c r="C23" s="154" t="s">
        <v>59</v>
      </c>
      <c r="D23" s="155">
        <v>0</v>
      </c>
      <c r="E23" s="158">
        <v>0</v>
      </c>
      <c r="F23" s="155">
        <v>0</v>
      </c>
      <c r="G23" s="158">
        <v>0</v>
      </c>
      <c r="H23" s="155">
        <v>0</v>
      </c>
      <c r="I23" s="158">
        <v>0</v>
      </c>
      <c r="J23" s="155">
        <v>0</v>
      </c>
      <c r="K23" s="158">
        <v>0</v>
      </c>
      <c r="L23" s="155">
        <v>0</v>
      </c>
      <c r="M23" s="158">
        <v>0</v>
      </c>
      <c r="N23" s="155">
        <v>0</v>
      </c>
      <c r="O23" s="158">
        <v>0</v>
      </c>
      <c r="P23" s="155">
        <v>0</v>
      </c>
      <c r="Q23" s="158">
        <v>0</v>
      </c>
      <c r="R23" s="155">
        <v>0</v>
      </c>
      <c r="S23" s="158">
        <v>0</v>
      </c>
      <c r="T23" s="155">
        <v>0</v>
      </c>
      <c r="U23" s="157">
        <v>0</v>
      </c>
      <c r="V23" t="e">
        <f>VLOOKUP(A23,'Projetos ciclo 2018-2022'!$I$8:$I$128,1,FALSE)</f>
        <v>#N/A</v>
      </c>
    </row>
    <row r="24" spans="1:22" x14ac:dyDescent="0.25">
      <c r="A24" s="149" t="s">
        <v>565</v>
      </c>
      <c r="B24" s="150" t="s">
        <v>1198</v>
      </c>
      <c r="C24" s="150" t="s">
        <v>59</v>
      </c>
      <c r="D24" s="151">
        <v>4046</v>
      </c>
      <c r="E24" s="152">
        <v>0</v>
      </c>
      <c r="F24" s="151">
        <v>0</v>
      </c>
      <c r="G24" s="152">
        <v>0</v>
      </c>
      <c r="H24" s="151">
        <v>0</v>
      </c>
      <c r="I24" s="152">
        <v>0</v>
      </c>
      <c r="J24" s="151">
        <v>0</v>
      </c>
      <c r="K24" s="152">
        <v>0</v>
      </c>
      <c r="L24" s="151">
        <v>0</v>
      </c>
      <c r="M24" s="152">
        <v>0</v>
      </c>
      <c r="N24" s="151">
        <v>950</v>
      </c>
      <c r="O24" s="152">
        <v>1210</v>
      </c>
      <c r="P24" s="151">
        <v>1123</v>
      </c>
      <c r="Q24" s="152">
        <v>763</v>
      </c>
      <c r="R24" s="151">
        <v>0</v>
      </c>
      <c r="S24" s="152">
        <v>0</v>
      </c>
      <c r="T24" s="151">
        <v>0</v>
      </c>
      <c r="U24" s="153">
        <v>0</v>
      </c>
      <c r="V24" t="str">
        <f>VLOOKUP(A24,'Projetos ciclo 2018-2022'!$I$8:$I$128,1,FALSE)</f>
        <v>NA</v>
      </c>
    </row>
    <row r="25" spans="1:22" x14ac:dyDescent="0.25">
      <c r="A25" s="21" t="s">
        <v>1199</v>
      </c>
      <c r="B25" s="154" t="s">
        <v>1200</v>
      </c>
      <c r="C25" s="154" t="s">
        <v>59</v>
      </c>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c r="V25" t="e">
        <f>VLOOKUP(A25,'Projetos ciclo 2018-2022'!$I$8:$I$128,1,FALSE)</f>
        <v>#N/A</v>
      </c>
    </row>
    <row r="26" spans="1:22" x14ac:dyDescent="0.25">
      <c r="A26" s="149" t="s">
        <v>1117</v>
      </c>
      <c r="B26" s="150" t="s">
        <v>1210</v>
      </c>
      <c r="C26" s="150" t="s">
        <v>1211</v>
      </c>
      <c r="D26" s="151">
        <v>0</v>
      </c>
      <c r="E26" s="152">
        <v>0</v>
      </c>
      <c r="F26" s="151">
        <v>0</v>
      </c>
      <c r="G26" s="152">
        <v>119</v>
      </c>
      <c r="H26" s="151">
        <v>0</v>
      </c>
      <c r="I26" s="152">
        <v>119.11103057861328</v>
      </c>
      <c r="J26" s="151">
        <v>0</v>
      </c>
      <c r="K26" s="152">
        <v>119.11103057861328</v>
      </c>
      <c r="L26" s="151">
        <v>0</v>
      </c>
      <c r="M26" s="152">
        <v>119.11103057861328</v>
      </c>
      <c r="N26" s="151">
        <v>0</v>
      </c>
      <c r="O26" s="152">
        <v>0</v>
      </c>
      <c r="P26" s="151">
        <v>0</v>
      </c>
      <c r="Q26" s="152">
        <v>0</v>
      </c>
      <c r="R26" s="151">
        <v>0</v>
      </c>
      <c r="S26" s="152">
        <v>0</v>
      </c>
      <c r="T26" s="151">
        <v>0</v>
      </c>
      <c r="U26" s="153">
        <v>0</v>
      </c>
      <c r="V26" t="str">
        <f>VLOOKUP(A26,'Projetos ciclo 2018-2022'!$I$8:$I$128,1,FALSE)</f>
        <v>TI00218</v>
      </c>
    </row>
    <row r="27" spans="1:22" x14ac:dyDescent="0.25">
      <c r="A27" s="21" t="s">
        <v>800</v>
      </c>
      <c r="B27" s="154" t="s">
        <v>403</v>
      </c>
      <c r="C27" s="154" t="s">
        <v>1212</v>
      </c>
      <c r="D27" s="155">
        <v>0</v>
      </c>
      <c r="E27" s="158">
        <v>0</v>
      </c>
      <c r="F27" s="155">
        <v>0</v>
      </c>
      <c r="G27" s="158">
        <v>490</v>
      </c>
      <c r="H27" s="155">
        <v>0</v>
      </c>
      <c r="I27" s="158">
        <v>63.374898910522461</v>
      </c>
      <c r="J27" s="155">
        <v>0</v>
      </c>
      <c r="K27" s="158">
        <v>63.374898910522461</v>
      </c>
      <c r="L27" s="155">
        <v>420.39836120605469</v>
      </c>
      <c r="M27" s="158">
        <v>483.77326011657715</v>
      </c>
      <c r="N27" s="155">
        <v>0</v>
      </c>
      <c r="O27" s="158">
        <v>0</v>
      </c>
      <c r="P27" s="155">
        <v>0</v>
      </c>
      <c r="Q27" s="158">
        <v>0</v>
      </c>
      <c r="R27" s="155">
        <v>0</v>
      </c>
      <c r="S27" s="158">
        <v>0</v>
      </c>
      <c r="T27" s="155">
        <v>0</v>
      </c>
      <c r="U27" s="157">
        <v>0</v>
      </c>
      <c r="V27" t="str">
        <f>VLOOKUP(A27,'Projetos ciclo 2018-2022'!$I$8:$I$128,1,FALSE)</f>
        <v>TI02216</v>
      </c>
    </row>
    <row r="28" spans="1:22" x14ac:dyDescent="0.25">
      <c r="A28" s="149" t="s">
        <v>1213</v>
      </c>
      <c r="B28" s="150" t="s">
        <v>1210</v>
      </c>
      <c r="C28" s="150" t="s">
        <v>1214</v>
      </c>
      <c r="D28" s="151">
        <v>0</v>
      </c>
      <c r="E28" s="152">
        <v>0</v>
      </c>
      <c r="F28" s="151">
        <v>0</v>
      </c>
      <c r="G28" s="152">
        <v>115</v>
      </c>
      <c r="H28" s="151">
        <v>0</v>
      </c>
      <c r="I28" s="152">
        <v>0</v>
      </c>
      <c r="J28" s="151">
        <v>0</v>
      </c>
      <c r="K28" s="152">
        <v>0</v>
      </c>
      <c r="L28" s="151">
        <v>115.19999694824219</v>
      </c>
      <c r="M28" s="152">
        <v>115.19999694824219</v>
      </c>
      <c r="N28" s="151">
        <v>0</v>
      </c>
      <c r="O28" s="152">
        <v>0</v>
      </c>
      <c r="P28" s="151">
        <v>0</v>
      </c>
      <c r="Q28" s="152">
        <v>0</v>
      </c>
      <c r="R28" s="151">
        <v>0</v>
      </c>
      <c r="S28" s="152">
        <v>0</v>
      </c>
      <c r="T28" s="151">
        <v>0</v>
      </c>
      <c r="U28" s="153">
        <v>0</v>
      </c>
      <c r="V28" t="str">
        <f>VLOOKUP(A28,'Projetos ciclo 2018-2022'!$I$8:$I$128,1,FALSE)</f>
        <v>TI03018</v>
      </c>
    </row>
    <row r="29" spans="1:22" x14ac:dyDescent="0.25">
      <c r="A29" s="21" t="s">
        <v>1215</v>
      </c>
      <c r="B29" s="154" t="s">
        <v>1216</v>
      </c>
      <c r="C29" s="154" t="s">
        <v>1217</v>
      </c>
      <c r="D29" s="155">
        <v>2074</v>
      </c>
      <c r="E29" s="158">
        <v>0</v>
      </c>
      <c r="F29" s="155">
        <v>1886</v>
      </c>
      <c r="G29" s="158">
        <v>0</v>
      </c>
      <c r="H29" s="155">
        <v>219</v>
      </c>
      <c r="I29" s="158">
        <v>0</v>
      </c>
      <c r="J29" s="155">
        <v>0</v>
      </c>
      <c r="K29" s="158">
        <v>0</v>
      </c>
      <c r="L29" s="155">
        <v>0</v>
      </c>
      <c r="M29" s="158">
        <v>0</v>
      </c>
      <c r="N29" s="155">
        <v>188</v>
      </c>
      <c r="O29" s="158">
        <v>0</v>
      </c>
      <c r="P29" s="155">
        <v>0</v>
      </c>
      <c r="Q29" s="158">
        <v>0</v>
      </c>
      <c r="R29" s="155">
        <v>0</v>
      </c>
      <c r="S29" s="158">
        <v>0</v>
      </c>
      <c r="T29" s="155">
        <v>0</v>
      </c>
      <c r="U29" s="157">
        <v>0</v>
      </c>
      <c r="V29" t="e">
        <f>VLOOKUP(A29,'Projetos ciclo 2018-2022'!$I$8:$I$128,1,FALSE)</f>
        <v>#N/A</v>
      </c>
    </row>
    <row r="30" spans="1:22" x14ac:dyDescent="0.25">
      <c r="A30" s="149" t="s">
        <v>1471</v>
      </c>
      <c r="B30" s="150" t="s">
        <v>1472</v>
      </c>
      <c r="C30" s="150" t="s">
        <v>1473</v>
      </c>
      <c r="D30" s="151">
        <v>0</v>
      </c>
      <c r="E30" s="152">
        <v>0</v>
      </c>
      <c r="F30" s="151">
        <v>0</v>
      </c>
      <c r="G30" s="152">
        <v>27</v>
      </c>
      <c r="H30" s="151">
        <v>0</v>
      </c>
      <c r="I30" s="152">
        <v>0</v>
      </c>
      <c r="J30" s="151">
        <v>0</v>
      </c>
      <c r="K30" s="152">
        <v>0</v>
      </c>
      <c r="L30" s="151">
        <v>27.339330673217773</v>
      </c>
      <c r="M30" s="152">
        <v>27.339330673217773</v>
      </c>
      <c r="N30" s="151">
        <v>0</v>
      </c>
      <c r="O30" s="152">
        <v>0</v>
      </c>
      <c r="P30" s="151">
        <v>0</v>
      </c>
      <c r="Q30" s="152">
        <v>0</v>
      </c>
      <c r="R30" s="151">
        <v>0</v>
      </c>
      <c r="S30" s="152">
        <v>0</v>
      </c>
      <c r="T30" s="151">
        <v>0</v>
      </c>
      <c r="U30" s="153">
        <v>0</v>
      </c>
      <c r="V30" t="str">
        <f>VLOOKUP(A30,'Projetos ciclo 2018-2022'!$I$8:$I$128,1,FALSE)</f>
        <v>TI04818</v>
      </c>
    </row>
    <row r="31" spans="1:22" x14ac:dyDescent="0.25">
      <c r="A31" s="21" t="s">
        <v>1474</v>
      </c>
      <c r="B31" s="154" t="s">
        <v>1475</v>
      </c>
      <c r="C31" s="154" t="s">
        <v>1476</v>
      </c>
      <c r="D31" s="155">
        <v>0</v>
      </c>
      <c r="E31" s="158">
        <v>0</v>
      </c>
      <c r="F31" s="155">
        <v>0</v>
      </c>
      <c r="G31" s="158">
        <v>32</v>
      </c>
      <c r="H31" s="155">
        <v>0</v>
      </c>
      <c r="I31" s="158">
        <v>0</v>
      </c>
      <c r="J31" s="155">
        <v>0</v>
      </c>
      <c r="K31" s="158">
        <v>0</v>
      </c>
      <c r="L31" s="155">
        <v>32.383308410644531</v>
      </c>
      <c r="M31" s="158">
        <v>32.383308410644531</v>
      </c>
      <c r="N31" s="155">
        <v>0</v>
      </c>
      <c r="O31" s="158">
        <v>0</v>
      </c>
      <c r="P31" s="155">
        <v>0</v>
      </c>
      <c r="Q31" s="158">
        <v>0</v>
      </c>
      <c r="R31" s="155">
        <v>0</v>
      </c>
      <c r="S31" s="158">
        <v>0</v>
      </c>
      <c r="T31" s="155">
        <v>0</v>
      </c>
      <c r="U31" s="157">
        <v>0</v>
      </c>
      <c r="V31" t="str">
        <f>VLOOKUP(A31,'Projetos ciclo 2018-2022'!$I$8:$I$128,1,FALSE)</f>
        <v>TI04918</v>
      </c>
    </row>
    <row r="32" spans="1:22" x14ac:dyDescent="0.25">
      <c r="A32" s="149" t="s">
        <v>1639</v>
      </c>
      <c r="B32" s="150" t="s">
        <v>1031</v>
      </c>
      <c r="C32" s="150" t="s">
        <v>1640</v>
      </c>
      <c r="D32" s="151">
        <v>0</v>
      </c>
      <c r="E32" s="152">
        <v>0</v>
      </c>
      <c r="F32" s="151">
        <v>0</v>
      </c>
      <c r="G32" s="152">
        <v>318</v>
      </c>
      <c r="H32" s="151">
        <v>0</v>
      </c>
      <c r="I32" s="152">
        <v>0</v>
      </c>
      <c r="J32" s="151">
        <v>0</v>
      </c>
      <c r="K32" s="152">
        <v>0</v>
      </c>
      <c r="L32" s="151">
        <v>0</v>
      </c>
      <c r="M32" s="152">
        <v>0</v>
      </c>
      <c r="N32" s="151">
        <v>0</v>
      </c>
      <c r="O32" s="152">
        <v>0</v>
      </c>
      <c r="P32" s="151">
        <v>0</v>
      </c>
      <c r="Q32" s="152">
        <v>0</v>
      </c>
      <c r="R32" s="151">
        <v>0</v>
      </c>
      <c r="S32" s="152">
        <v>0</v>
      </c>
      <c r="T32" s="151">
        <v>0</v>
      </c>
      <c r="U32" s="153">
        <v>0</v>
      </c>
      <c r="V32" t="str">
        <f>VLOOKUP(A32,'Projetos ciclo 2018-2022'!$I$8:$I$128,1,FALSE)</f>
        <v>TI05818</v>
      </c>
    </row>
    <row r="33" spans="1:22" x14ac:dyDescent="0.25">
      <c r="A33" s="21" t="s">
        <v>1194</v>
      </c>
      <c r="B33" s="154" t="s">
        <v>1218</v>
      </c>
      <c r="C33" s="154" t="s">
        <v>59</v>
      </c>
      <c r="D33" s="155">
        <v>0</v>
      </c>
      <c r="E33" s="158">
        <v>0</v>
      </c>
      <c r="F33" s="155">
        <v>0</v>
      </c>
      <c r="G33" s="158">
        <v>0</v>
      </c>
      <c r="H33" s="155">
        <v>0</v>
      </c>
      <c r="I33" s="158">
        <v>0</v>
      </c>
      <c r="J33" s="155">
        <v>0</v>
      </c>
      <c r="K33" s="158">
        <v>0</v>
      </c>
      <c r="L33" s="155">
        <v>0</v>
      </c>
      <c r="M33" s="158">
        <v>0</v>
      </c>
      <c r="N33" s="155">
        <v>0</v>
      </c>
      <c r="O33" s="158">
        <v>0</v>
      </c>
      <c r="P33" s="155">
        <v>0</v>
      </c>
      <c r="Q33" s="158">
        <v>0</v>
      </c>
      <c r="R33" s="155">
        <v>0</v>
      </c>
      <c r="S33" s="158">
        <v>0</v>
      </c>
      <c r="T33" s="155">
        <v>0</v>
      </c>
      <c r="U33" s="157">
        <v>0</v>
      </c>
      <c r="V33" t="e">
        <f>VLOOKUP(A33,'Projetos ciclo 2018-2022'!$I$8:$I$128,1,FALSE)</f>
        <v>#N/A</v>
      </c>
    </row>
    <row r="34" spans="1:22" x14ac:dyDescent="0.25">
      <c r="A34" s="149" t="s">
        <v>1196</v>
      </c>
      <c r="B34" s="150" t="s">
        <v>1197</v>
      </c>
      <c r="C34" s="150" t="s">
        <v>59</v>
      </c>
      <c r="D34" s="151">
        <v>0</v>
      </c>
      <c r="E34" s="152">
        <v>0</v>
      </c>
      <c r="F34" s="151">
        <v>0</v>
      </c>
      <c r="G34" s="152">
        <v>0</v>
      </c>
      <c r="H34" s="151">
        <v>0</v>
      </c>
      <c r="I34" s="152">
        <v>0</v>
      </c>
      <c r="J34" s="151">
        <v>0</v>
      </c>
      <c r="K34" s="152">
        <v>0</v>
      </c>
      <c r="L34" s="151">
        <v>0</v>
      </c>
      <c r="M34" s="152">
        <v>0</v>
      </c>
      <c r="N34" s="151">
        <v>0</v>
      </c>
      <c r="O34" s="152">
        <v>0</v>
      </c>
      <c r="P34" s="151">
        <v>0</v>
      </c>
      <c r="Q34" s="152">
        <v>0</v>
      </c>
      <c r="R34" s="151">
        <v>0</v>
      </c>
      <c r="S34" s="152">
        <v>0</v>
      </c>
      <c r="T34" s="151">
        <v>0</v>
      </c>
      <c r="U34" s="153">
        <v>0</v>
      </c>
      <c r="V34" t="e">
        <f>VLOOKUP(A34,'Projetos ciclo 2018-2022'!$I$8:$I$128,1,FALSE)</f>
        <v>#N/A</v>
      </c>
    </row>
    <row r="35" spans="1:22" x14ac:dyDescent="0.25">
      <c r="A35" s="21" t="s">
        <v>1447</v>
      </c>
      <c r="B35" s="154" t="s">
        <v>1448</v>
      </c>
      <c r="C35" s="154" t="s">
        <v>1449</v>
      </c>
      <c r="D35" s="155">
        <v>103</v>
      </c>
      <c r="E35" s="158">
        <v>0</v>
      </c>
      <c r="F35" s="155">
        <v>103</v>
      </c>
      <c r="G35" s="158">
        <v>0</v>
      </c>
      <c r="H35" s="155">
        <v>0</v>
      </c>
      <c r="I35" s="158">
        <v>0</v>
      </c>
      <c r="J35" s="155">
        <v>0</v>
      </c>
      <c r="K35" s="158">
        <v>0</v>
      </c>
      <c r="L35" s="155">
        <v>0</v>
      </c>
      <c r="M35" s="158">
        <v>0</v>
      </c>
      <c r="N35" s="155">
        <v>0</v>
      </c>
      <c r="O35" s="158">
        <v>0</v>
      </c>
      <c r="P35" s="155">
        <v>0</v>
      </c>
      <c r="Q35" s="158">
        <v>0</v>
      </c>
      <c r="R35" s="155">
        <v>0</v>
      </c>
      <c r="S35" s="158">
        <v>0</v>
      </c>
      <c r="T35" s="155">
        <v>0</v>
      </c>
      <c r="U35" s="157">
        <v>0</v>
      </c>
      <c r="V35" t="e">
        <f>VLOOKUP(A35,'Projetos ciclo 2018-2022'!$I$8:$I$128,1,FALSE)</f>
        <v>#N/A</v>
      </c>
    </row>
    <row r="36" spans="1:22" x14ac:dyDescent="0.25">
      <c r="A36" s="149" t="s">
        <v>565</v>
      </c>
      <c r="B36" s="150" t="s">
        <v>1198</v>
      </c>
      <c r="C36" s="150" t="s">
        <v>59</v>
      </c>
      <c r="D36" s="151">
        <v>0</v>
      </c>
      <c r="E36" s="152">
        <v>0</v>
      </c>
      <c r="F36" s="151">
        <v>0</v>
      </c>
      <c r="G36" s="152">
        <v>0</v>
      </c>
      <c r="H36" s="151">
        <v>0</v>
      </c>
      <c r="I36" s="152">
        <v>0</v>
      </c>
      <c r="J36" s="151">
        <v>0</v>
      </c>
      <c r="K36" s="152">
        <v>0</v>
      </c>
      <c r="L36" s="151">
        <v>0</v>
      </c>
      <c r="M36" s="152">
        <v>0</v>
      </c>
      <c r="N36" s="151">
        <v>0</v>
      </c>
      <c r="O36" s="152">
        <v>0</v>
      </c>
      <c r="P36" s="151">
        <v>0</v>
      </c>
      <c r="Q36" s="152">
        <v>0</v>
      </c>
      <c r="R36" s="151">
        <v>0</v>
      </c>
      <c r="S36" s="152">
        <v>0</v>
      </c>
      <c r="T36" s="151">
        <v>0</v>
      </c>
      <c r="U36" s="153">
        <v>0</v>
      </c>
      <c r="V36" t="str">
        <f>VLOOKUP(A36,'Projetos ciclo 2018-2022'!$I$8:$I$128,1,FALSE)</f>
        <v>NA</v>
      </c>
    </row>
    <row r="37" spans="1:22" x14ac:dyDescent="0.25">
      <c r="A37" s="21" t="s">
        <v>1199</v>
      </c>
      <c r="B37" s="154" t="s">
        <v>1200</v>
      </c>
      <c r="C37" s="154" t="s">
        <v>59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c r="V37" t="e">
        <f>VLOOKUP(A37,'Projetos ciclo 2018-2022'!$I$8:$I$128,1,FALSE)</f>
        <v>#N/A</v>
      </c>
    </row>
    <row r="38" spans="1:22" x14ac:dyDescent="0.25">
      <c r="A38" s="149" t="s">
        <v>1194</v>
      </c>
      <c r="B38" s="150" t="s">
        <v>1219</v>
      </c>
      <c r="C38" s="150" t="s">
        <v>59</v>
      </c>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c r="V38" t="e">
        <f>VLOOKUP(A38,'Projetos ciclo 2018-2022'!$I$8:$I$128,1,FALSE)</f>
        <v>#N/A</v>
      </c>
    </row>
    <row r="39" spans="1:22" x14ac:dyDescent="0.25">
      <c r="A39" s="21" t="s">
        <v>1196</v>
      </c>
      <c r="B39" s="154" t="s">
        <v>1197</v>
      </c>
      <c r="C39" s="154" t="s">
        <v>59</v>
      </c>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c r="V39" t="e">
        <f>VLOOKUP(A39,'Projetos ciclo 2018-2022'!$I$8:$I$128,1,FALSE)</f>
        <v>#N/A</v>
      </c>
    </row>
    <row r="40" spans="1:22" x14ac:dyDescent="0.25">
      <c r="A40" s="149" t="s">
        <v>1450</v>
      </c>
      <c r="B40" s="150" t="s">
        <v>1451</v>
      </c>
      <c r="C40" s="150" t="s">
        <v>1452</v>
      </c>
      <c r="D40" s="151">
        <v>518</v>
      </c>
      <c r="E40" s="152">
        <v>0</v>
      </c>
      <c r="F40" s="151">
        <v>518</v>
      </c>
      <c r="G40" s="152">
        <v>0</v>
      </c>
      <c r="H40" s="151">
        <v>10</v>
      </c>
      <c r="I40" s="152">
        <v>0</v>
      </c>
      <c r="J40" s="151">
        <v>0</v>
      </c>
      <c r="K40" s="152">
        <v>0</v>
      </c>
      <c r="L40" s="151">
        <v>0</v>
      </c>
      <c r="M40" s="152">
        <v>0</v>
      </c>
      <c r="N40" s="151">
        <v>0</v>
      </c>
      <c r="O40" s="152">
        <v>0</v>
      </c>
      <c r="P40" s="151">
        <v>0</v>
      </c>
      <c r="Q40" s="152">
        <v>0</v>
      </c>
      <c r="R40" s="151">
        <v>0</v>
      </c>
      <c r="S40" s="152">
        <v>0</v>
      </c>
      <c r="T40" s="151">
        <v>0</v>
      </c>
      <c r="U40" s="153">
        <v>0</v>
      </c>
      <c r="V40" t="e">
        <f>VLOOKUP(A40,'Projetos ciclo 2018-2022'!$I$8:$I$128,1,FALSE)</f>
        <v>#N/A</v>
      </c>
    </row>
    <row r="41" spans="1:22" x14ac:dyDescent="0.25">
      <c r="A41" s="21" t="s">
        <v>1223</v>
      </c>
      <c r="B41" s="154" t="s">
        <v>1224</v>
      </c>
      <c r="C41" s="154" t="s">
        <v>1225</v>
      </c>
      <c r="D41" s="155">
        <v>0</v>
      </c>
      <c r="E41" s="158">
        <v>0</v>
      </c>
      <c r="F41" s="155">
        <v>0</v>
      </c>
      <c r="G41" s="158">
        <v>171</v>
      </c>
      <c r="H41" s="155">
        <v>0</v>
      </c>
      <c r="I41" s="158">
        <v>0</v>
      </c>
      <c r="J41" s="155">
        <v>0</v>
      </c>
      <c r="K41" s="158">
        <v>0</v>
      </c>
      <c r="L41" s="155">
        <v>77.290000200271606</v>
      </c>
      <c r="M41" s="158">
        <v>77.290000200271606</v>
      </c>
      <c r="N41" s="155">
        <v>0</v>
      </c>
      <c r="O41" s="158">
        <v>0</v>
      </c>
      <c r="P41" s="155">
        <v>0</v>
      </c>
      <c r="Q41" s="158">
        <v>0</v>
      </c>
      <c r="R41" s="155">
        <v>0</v>
      </c>
      <c r="S41" s="158">
        <v>0</v>
      </c>
      <c r="T41" s="155">
        <v>0</v>
      </c>
      <c r="U41" s="157">
        <v>0</v>
      </c>
      <c r="V41" t="str">
        <f>VLOOKUP(A41,'Projetos ciclo 2018-2022'!$I$8:$I$128,1,FALSE)</f>
        <v>MG00318</v>
      </c>
    </row>
    <row r="42" spans="1:22" x14ac:dyDescent="0.25">
      <c r="A42" s="149" t="s">
        <v>565</v>
      </c>
      <c r="B42" s="150" t="s">
        <v>1229</v>
      </c>
      <c r="C42" s="150" t="s">
        <v>59</v>
      </c>
      <c r="D42" s="151">
        <v>1783</v>
      </c>
      <c r="E42" s="152">
        <v>0</v>
      </c>
      <c r="F42" s="151">
        <v>0</v>
      </c>
      <c r="G42" s="152">
        <v>0</v>
      </c>
      <c r="H42" s="151">
        <v>0</v>
      </c>
      <c r="I42" s="152">
        <v>0</v>
      </c>
      <c r="J42" s="151">
        <v>0</v>
      </c>
      <c r="K42" s="152">
        <v>0</v>
      </c>
      <c r="L42" s="151">
        <v>0</v>
      </c>
      <c r="M42" s="152">
        <v>0</v>
      </c>
      <c r="N42" s="151">
        <v>486</v>
      </c>
      <c r="O42" s="152">
        <v>602</v>
      </c>
      <c r="P42" s="151">
        <v>498</v>
      </c>
      <c r="Q42" s="152">
        <v>197</v>
      </c>
      <c r="R42" s="151">
        <v>0</v>
      </c>
      <c r="S42" s="152">
        <v>0</v>
      </c>
      <c r="T42" s="151">
        <v>0</v>
      </c>
      <c r="U42" s="153">
        <v>0</v>
      </c>
      <c r="V42" t="str">
        <f>VLOOKUP(A42,'Projetos ciclo 2018-2022'!$I$8:$I$128,1,FALSE)</f>
        <v>NA</v>
      </c>
    </row>
    <row r="43" spans="1:22" x14ac:dyDescent="0.25">
      <c r="A43" s="21" t="s">
        <v>1230</v>
      </c>
      <c r="B43" s="154" t="s">
        <v>1231</v>
      </c>
      <c r="C43" s="154" t="s">
        <v>1232</v>
      </c>
      <c r="D43" s="155">
        <v>0</v>
      </c>
      <c r="E43" s="158">
        <v>0</v>
      </c>
      <c r="F43" s="155">
        <v>0</v>
      </c>
      <c r="G43" s="158">
        <v>74</v>
      </c>
      <c r="H43" s="155">
        <v>0</v>
      </c>
      <c r="I43" s="158">
        <v>0</v>
      </c>
      <c r="J43" s="155">
        <v>0</v>
      </c>
      <c r="K43" s="158">
        <v>0</v>
      </c>
      <c r="L43" s="155">
        <v>30.149999618530273</v>
      </c>
      <c r="M43" s="158">
        <v>30.149999618530273</v>
      </c>
      <c r="N43" s="155">
        <v>0</v>
      </c>
      <c r="O43" s="158">
        <v>0</v>
      </c>
      <c r="P43" s="155">
        <v>0</v>
      </c>
      <c r="Q43" s="158">
        <v>0</v>
      </c>
      <c r="R43" s="155">
        <v>0</v>
      </c>
      <c r="S43" s="158">
        <v>0</v>
      </c>
      <c r="T43" s="155">
        <v>0</v>
      </c>
      <c r="U43" s="157">
        <v>0</v>
      </c>
      <c r="V43" t="str">
        <f>VLOOKUP(A43,'Projetos ciclo 2018-2022'!$I$8:$I$128,1,FALSE)</f>
        <v>PO00117</v>
      </c>
    </row>
    <row r="44" spans="1:22" x14ac:dyDescent="0.25">
      <c r="A44" s="149" t="s">
        <v>1233</v>
      </c>
      <c r="B44" s="150" t="s">
        <v>1234</v>
      </c>
      <c r="C44" s="150" t="s">
        <v>1235</v>
      </c>
      <c r="D44" s="151">
        <v>0</v>
      </c>
      <c r="E44" s="152">
        <v>0</v>
      </c>
      <c r="F44" s="151">
        <v>0</v>
      </c>
      <c r="G44" s="152">
        <v>270</v>
      </c>
      <c r="H44" s="151">
        <v>0</v>
      </c>
      <c r="I44" s="152">
        <v>9.8500003814697266</v>
      </c>
      <c r="J44" s="151">
        <v>0</v>
      </c>
      <c r="K44" s="152">
        <v>9.8500003814697266</v>
      </c>
      <c r="L44" s="151">
        <v>158.32196044921875</v>
      </c>
      <c r="M44" s="152">
        <v>168.17196083068848</v>
      </c>
      <c r="N44" s="151">
        <v>0</v>
      </c>
      <c r="O44" s="152">
        <v>0</v>
      </c>
      <c r="P44" s="151">
        <v>0</v>
      </c>
      <c r="Q44" s="152">
        <v>0</v>
      </c>
      <c r="R44" s="151">
        <v>0</v>
      </c>
      <c r="S44" s="152">
        <v>0</v>
      </c>
      <c r="T44" s="151">
        <v>0</v>
      </c>
      <c r="U44" s="153">
        <v>0</v>
      </c>
      <c r="V44" t="str">
        <f>VLOOKUP(A44,'Projetos ciclo 2018-2022'!$I$8:$I$128,1,FALSE)</f>
        <v>PO00118</v>
      </c>
    </row>
    <row r="45" spans="1:22" x14ac:dyDescent="0.25">
      <c r="A45" s="21" t="s">
        <v>1199</v>
      </c>
      <c r="B45" s="154" t="s">
        <v>1200</v>
      </c>
      <c r="C45" s="154" t="s">
        <v>59</v>
      </c>
      <c r="D45" s="155">
        <v>0</v>
      </c>
      <c r="E45" s="158">
        <v>0</v>
      </c>
      <c r="F45" s="155">
        <v>0</v>
      </c>
      <c r="G45" s="158">
        <v>0</v>
      </c>
      <c r="H45" s="155">
        <v>0</v>
      </c>
      <c r="I45" s="158">
        <v>0</v>
      </c>
      <c r="J45" s="155">
        <v>0</v>
      </c>
      <c r="K45" s="158">
        <v>0</v>
      </c>
      <c r="L45" s="155">
        <v>0</v>
      </c>
      <c r="M45" s="158">
        <v>0</v>
      </c>
      <c r="N45" s="155">
        <v>0</v>
      </c>
      <c r="O45" s="158">
        <v>0</v>
      </c>
      <c r="P45" s="155">
        <v>0</v>
      </c>
      <c r="Q45" s="158">
        <v>0</v>
      </c>
      <c r="R45" s="155">
        <v>0</v>
      </c>
      <c r="S45" s="158">
        <v>0</v>
      </c>
      <c r="T45" s="155">
        <v>0</v>
      </c>
      <c r="U45" s="157">
        <v>0</v>
      </c>
      <c r="V45" t="e">
        <f>VLOOKUP(A45,'Projetos ciclo 2018-2022'!$I$8:$I$128,1,FALSE)</f>
        <v>#N/A</v>
      </c>
    </row>
    <row r="46" spans="1:22" x14ac:dyDescent="0.25">
      <c r="A46" s="149" t="s">
        <v>1194</v>
      </c>
      <c r="B46" s="150" t="s">
        <v>1195</v>
      </c>
      <c r="C46" s="150" t="s">
        <v>59</v>
      </c>
      <c r="D46" s="151">
        <v>0</v>
      </c>
      <c r="E46" s="152">
        <v>0</v>
      </c>
      <c r="F46" s="151">
        <v>0</v>
      </c>
      <c r="G46" s="152">
        <v>0</v>
      </c>
      <c r="H46" s="151">
        <v>0</v>
      </c>
      <c r="I46" s="152">
        <v>0</v>
      </c>
      <c r="J46" s="151">
        <v>0</v>
      </c>
      <c r="K46" s="152">
        <v>0</v>
      </c>
      <c r="L46" s="151">
        <v>0</v>
      </c>
      <c r="M46" s="152">
        <v>0</v>
      </c>
      <c r="N46" s="151">
        <v>0</v>
      </c>
      <c r="O46" s="152">
        <v>0</v>
      </c>
      <c r="P46" s="151">
        <v>0</v>
      </c>
      <c r="Q46" s="152">
        <v>0</v>
      </c>
      <c r="R46" s="151">
        <v>0</v>
      </c>
      <c r="S46" s="152">
        <v>0</v>
      </c>
      <c r="T46" s="151">
        <v>0</v>
      </c>
      <c r="U46" s="153">
        <v>0</v>
      </c>
      <c r="V46" t="e">
        <f>VLOOKUP(A46,'Projetos ciclo 2018-2022'!$I$8:$I$128,1,FALSE)</f>
        <v>#N/A</v>
      </c>
    </row>
    <row r="47" spans="1:22" x14ac:dyDescent="0.25">
      <c r="A47" s="21" t="s">
        <v>1196</v>
      </c>
      <c r="B47" s="154" t="s">
        <v>1197</v>
      </c>
      <c r="C47" s="154" t="s">
        <v>59</v>
      </c>
      <c r="D47" s="155">
        <v>0</v>
      </c>
      <c r="E47" s="158">
        <v>0</v>
      </c>
      <c r="F47" s="155">
        <v>0</v>
      </c>
      <c r="G47" s="158">
        <v>0</v>
      </c>
      <c r="H47" s="155">
        <v>0</v>
      </c>
      <c r="I47" s="158">
        <v>0</v>
      </c>
      <c r="J47" s="155">
        <v>0</v>
      </c>
      <c r="K47" s="158">
        <v>0</v>
      </c>
      <c r="L47" s="155">
        <v>0</v>
      </c>
      <c r="M47" s="158">
        <v>0</v>
      </c>
      <c r="N47" s="155">
        <v>0</v>
      </c>
      <c r="O47" s="158">
        <v>0</v>
      </c>
      <c r="P47" s="155">
        <v>0</v>
      </c>
      <c r="Q47" s="158">
        <v>0</v>
      </c>
      <c r="R47" s="155">
        <v>0</v>
      </c>
      <c r="S47" s="158">
        <v>0</v>
      </c>
      <c r="T47" s="155">
        <v>0</v>
      </c>
      <c r="U47" s="157">
        <v>0</v>
      </c>
      <c r="V47" t="e">
        <f>VLOOKUP(A47,'Projetos ciclo 2018-2022'!$I$8:$I$128,1,FALSE)</f>
        <v>#N/A</v>
      </c>
    </row>
    <row r="48" spans="1:22" x14ac:dyDescent="0.25">
      <c r="A48" s="149" t="s">
        <v>1453</v>
      </c>
      <c r="B48" s="150" t="s">
        <v>1454</v>
      </c>
      <c r="C48" s="150" t="s">
        <v>1455</v>
      </c>
      <c r="D48" s="151">
        <v>0</v>
      </c>
      <c r="E48" s="152">
        <v>0</v>
      </c>
      <c r="F48" s="151">
        <v>0</v>
      </c>
      <c r="G48" s="152">
        <v>0</v>
      </c>
      <c r="H48" s="151">
        <v>0</v>
      </c>
      <c r="I48" s="152">
        <v>0</v>
      </c>
      <c r="J48" s="151">
        <v>0</v>
      </c>
      <c r="K48" s="152">
        <v>0</v>
      </c>
      <c r="L48" s="151">
        <v>0</v>
      </c>
      <c r="M48" s="152">
        <v>0</v>
      </c>
      <c r="N48" s="151">
        <v>0</v>
      </c>
      <c r="O48" s="152">
        <v>0</v>
      </c>
      <c r="P48" s="151">
        <v>0</v>
      </c>
      <c r="Q48" s="152">
        <v>0</v>
      </c>
      <c r="R48" s="151">
        <v>0</v>
      </c>
      <c r="S48" s="152">
        <v>0</v>
      </c>
      <c r="T48" s="151">
        <v>0</v>
      </c>
      <c r="U48" s="153">
        <v>0</v>
      </c>
      <c r="V48" t="e">
        <f>VLOOKUP(A48,'Projetos ciclo 2018-2022'!$I$8:$I$128,1,FALSE)</f>
        <v>#N/A</v>
      </c>
    </row>
    <row r="49" spans="1:22" x14ac:dyDescent="0.25">
      <c r="A49" s="21" t="s">
        <v>565</v>
      </c>
      <c r="B49" s="154" t="s">
        <v>1198</v>
      </c>
      <c r="C49" s="154" t="s">
        <v>59</v>
      </c>
      <c r="D49" s="155">
        <v>1911</v>
      </c>
      <c r="E49" s="158">
        <v>0</v>
      </c>
      <c r="F49" s="155">
        <v>0</v>
      </c>
      <c r="G49" s="158">
        <v>0</v>
      </c>
      <c r="H49" s="155">
        <v>0</v>
      </c>
      <c r="I49" s="158">
        <v>0</v>
      </c>
      <c r="J49" s="155">
        <v>0</v>
      </c>
      <c r="K49" s="158">
        <v>0</v>
      </c>
      <c r="L49" s="155">
        <v>0</v>
      </c>
      <c r="M49" s="158">
        <v>0</v>
      </c>
      <c r="N49" s="155">
        <v>430</v>
      </c>
      <c r="O49" s="158">
        <v>204</v>
      </c>
      <c r="P49" s="155">
        <v>1251</v>
      </c>
      <c r="Q49" s="158">
        <v>26</v>
      </c>
      <c r="R49" s="155">
        <v>0</v>
      </c>
      <c r="S49" s="158">
        <v>0</v>
      </c>
      <c r="T49" s="155">
        <v>0</v>
      </c>
      <c r="U49" s="157">
        <v>0</v>
      </c>
      <c r="V49" t="str">
        <f>VLOOKUP(A49,'Projetos ciclo 2018-2022'!$I$8:$I$128,1,FALSE)</f>
        <v>NA</v>
      </c>
    </row>
    <row r="50" spans="1:22" x14ac:dyDescent="0.25">
      <c r="A50" s="149" t="s">
        <v>1199</v>
      </c>
      <c r="B50" s="150" t="s">
        <v>1200</v>
      </c>
      <c r="C50" s="150" t="s">
        <v>59</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c r="V50" t="e">
        <f>VLOOKUP(A50,'Projetos ciclo 2018-2022'!$I$8:$I$128,1,FALSE)</f>
        <v>#N/A</v>
      </c>
    </row>
    <row r="51" spans="1:22" x14ac:dyDescent="0.25">
      <c r="A51" s="21" t="s">
        <v>1236</v>
      </c>
      <c r="B51" s="154" t="s">
        <v>1237</v>
      </c>
      <c r="C51" s="154" t="s">
        <v>1238</v>
      </c>
      <c r="D51" s="155">
        <v>0</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c r="V51" t="e">
        <f>VLOOKUP(A51,'Projetos ciclo 2018-2022'!$I$8:$I$128,1,FALSE)</f>
        <v>#N/A</v>
      </c>
    </row>
    <row r="52" spans="1:22" x14ac:dyDescent="0.25">
      <c r="A52" s="149" t="s">
        <v>1239</v>
      </c>
      <c r="B52" s="150" t="s">
        <v>1240</v>
      </c>
      <c r="C52" s="150" t="s">
        <v>1241</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c r="V52" t="e">
        <f>VLOOKUP(A52,'Projetos ciclo 2018-2022'!$I$8:$I$128,1,FALSE)</f>
        <v>#N/A</v>
      </c>
    </row>
    <row r="53" spans="1:22" x14ac:dyDescent="0.25">
      <c r="A53" s="21" t="s">
        <v>1194</v>
      </c>
      <c r="B53" s="154" t="s">
        <v>1201</v>
      </c>
      <c r="C53" s="154" t="s">
        <v>59</v>
      </c>
      <c r="D53" s="155">
        <v>0</v>
      </c>
      <c r="E53" s="158">
        <v>0</v>
      </c>
      <c r="F53" s="155">
        <v>0</v>
      </c>
      <c r="G53" s="158">
        <v>0</v>
      </c>
      <c r="H53" s="155">
        <v>0</v>
      </c>
      <c r="I53" s="158">
        <v>0</v>
      </c>
      <c r="J53" s="155">
        <v>0</v>
      </c>
      <c r="K53" s="158">
        <v>0</v>
      </c>
      <c r="L53" s="155">
        <v>0</v>
      </c>
      <c r="M53" s="158">
        <v>0</v>
      </c>
      <c r="N53" s="155">
        <v>0</v>
      </c>
      <c r="O53" s="158">
        <v>0</v>
      </c>
      <c r="P53" s="155">
        <v>0</v>
      </c>
      <c r="Q53" s="158">
        <v>0</v>
      </c>
      <c r="R53" s="155">
        <v>0</v>
      </c>
      <c r="S53" s="158">
        <v>0</v>
      </c>
      <c r="T53" s="155">
        <v>0</v>
      </c>
      <c r="U53" s="157">
        <v>0</v>
      </c>
      <c r="V53" t="e">
        <f>VLOOKUP(A53,'Projetos ciclo 2018-2022'!$I$8:$I$128,1,FALSE)</f>
        <v>#N/A</v>
      </c>
    </row>
    <row r="54" spans="1:22" x14ac:dyDescent="0.25">
      <c r="A54" s="149" t="s">
        <v>1196</v>
      </c>
      <c r="B54" s="150" t="s">
        <v>1197</v>
      </c>
      <c r="C54" s="150" t="s">
        <v>59</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c r="V54" t="e">
        <f>VLOOKUP(A54,'Projetos ciclo 2018-2022'!$I$8:$I$128,1,FALSE)</f>
        <v>#N/A</v>
      </c>
    </row>
    <row r="55" spans="1:22" x14ac:dyDescent="0.25">
      <c r="A55" s="21" t="s">
        <v>565</v>
      </c>
      <c r="B55" s="154" t="s">
        <v>1198</v>
      </c>
      <c r="C55" s="154" t="s">
        <v>59</v>
      </c>
      <c r="D55" s="155">
        <v>297</v>
      </c>
      <c r="E55" s="158">
        <v>0</v>
      </c>
      <c r="F55" s="155">
        <v>0</v>
      </c>
      <c r="G55" s="158">
        <v>0</v>
      </c>
      <c r="H55" s="155">
        <v>0</v>
      </c>
      <c r="I55" s="158">
        <v>0</v>
      </c>
      <c r="J55" s="155">
        <v>0</v>
      </c>
      <c r="K55" s="158">
        <v>0</v>
      </c>
      <c r="L55" s="155">
        <v>0</v>
      </c>
      <c r="M55" s="158">
        <v>0</v>
      </c>
      <c r="N55" s="155">
        <v>46</v>
      </c>
      <c r="O55" s="158">
        <v>83</v>
      </c>
      <c r="P55" s="155">
        <v>90</v>
      </c>
      <c r="Q55" s="158">
        <v>78</v>
      </c>
      <c r="R55" s="155">
        <v>0</v>
      </c>
      <c r="S55" s="158">
        <v>0</v>
      </c>
      <c r="T55" s="155">
        <v>0</v>
      </c>
      <c r="U55" s="157">
        <v>0</v>
      </c>
      <c r="V55" t="str">
        <f>VLOOKUP(A55,'Projetos ciclo 2018-2022'!$I$8:$I$128,1,FALSE)</f>
        <v>NA</v>
      </c>
    </row>
    <row r="56" spans="1:22" x14ac:dyDescent="0.25">
      <c r="A56" s="149" t="s">
        <v>1199</v>
      </c>
      <c r="B56" s="150" t="s">
        <v>1200</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c r="V56" t="e">
        <f>VLOOKUP(A56,'Projetos ciclo 2018-2022'!$I$8:$I$128,1,FALSE)</f>
        <v>#N/A</v>
      </c>
    </row>
    <row r="57" spans="1:22" x14ac:dyDescent="0.25">
      <c r="A57" s="21" t="s">
        <v>1242</v>
      </c>
      <c r="B57" s="154" t="s">
        <v>1243</v>
      </c>
      <c r="C57" s="154" t="s">
        <v>1244</v>
      </c>
      <c r="D57" s="155">
        <v>142</v>
      </c>
      <c r="E57" s="158">
        <v>0</v>
      </c>
      <c r="F57" s="155">
        <v>142</v>
      </c>
      <c r="G57" s="158">
        <v>0</v>
      </c>
      <c r="H57" s="155">
        <v>0</v>
      </c>
      <c r="I57" s="158">
        <v>0</v>
      </c>
      <c r="J57" s="155">
        <v>0</v>
      </c>
      <c r="K57" s="158">
        <v>0</v>
      </c>
      <c r="L57" s="155">
        <v>0</v>
      </c>
      <c r="M57" s="158">
        <v>0</v>
      </c>
      <c r="N57" s="155">
        <v>0</v>
      </c>
      <c r="O57" s="158">
        <v>0</v>
      </c>
      <c r="P57" s="155">
        <v>0</v>
      </c>
      <c r="Q57" s="158">
        <v>0</v>
      </c>
      <c r="R57" s="155">
        <v>0</v>
      </c>
      <c r="S57" s="158">
        <v>0</v>
      </c>
      <c r="T57" s="155">
        <v>0</v>
      </c>
      <c r="U57" s="157">
        <v>0</v>
      </c>
      <c r="V57" t="e">
        <f>VLOOKUP(A57,'Projetos ciclo 2018-2022'!$I$8:$I$128,1,FALSE)</f>
        <v>#N/A</v>
      </c>
    </row>
    <row r="58" spans="1:22" x14ac:dyDescent="0.25">
      <c r="A58" s="149" t="s">
        <v>1194</v>
      </c>
      <c r="B58" s="150" t="s">
        <v>1245</v>
      </c>
      <c r="C58" s="150" t="s">
        <v>59</v>
      </c>
      <c r="D58" s="151">
        <v>0</v>
      </c>
      <c r="E58" s="152">
        <v>0</v>
      </c>
      <c r="F58" s="151">
        <v>0</v>
      </c>
      <c r="G58" s="152">
        <v>0</v>
      </c>
      <c r="H58" s="151">
        <v>0</v>
      </c>
      <c r="I58" s="152">
        <v>0</v>
      </c>
      <c r="J58" s="151">
        <v>0</v>
      </c>
      <c r="K58" s="152">
        <v>0</v>
      </c>
      <c r="L58" s="151">
        <v>0</v>
      </c>
      <c r="M58" s="152">
        <v>0</v>
      </c>
      <c r="N58" s="151">
        <v>0</v>
      </c>
      <c r="O58" s="152">
        <v>0</v>
      </c>
      <c r="P58" s="151">
        <v>0</v>
      </c>
      <c r="Q58" s="152">
        <v>0</v>
      </c>
      <c r="R58" s="151">
        <v>0</v>
      </c>
      <c r="S58" s="152">
        <v>0</v>
      </c>
      <c r="T58" s="151">
        <v>0</v>
      </c>
      <c r="U58" s="153">
        <v>0</v>
      </c>
      <c r="V58" t="e">
        <f>VLOOKUP(A58,'Projetos ciclo 2018-2022'!$I$8:$I$128,1,FALSE)</f>
        <v>#N/A</v>
      </c>
    </row>
    <row r="59" spans="1:22" x14ac:dyDescent="0.25">
      <c r="A59" s="21" t="s">
        <v>1196</v>
      </c>
      <c r="B59" s="154" t="s">
        <v>1197</v>
      </c>
      <c r="C59" s="154" t="s">
        <v>59</v>
      </c>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c r="V59" t="e">
        <f>VLOOKUP(A59,'Projetos ciclo 2018-2022'!$I$8:$I$128,1,FALSE)</f>
        <v>#N/A</v>
      </c>
    </row>
    <row r="60" spans="1:22" x14ac:dyDescent="0.25">
      <c r="A60" s="149" t="s">
        <v>565</v>
      </c>
      <c r="B60" s="150" t="s">
        <v>1198</v>
      </c>
      <c r="C60" s="150" t="s">
        <v>59</v>
      </c>
      <c r="D60" s="151">
        <v>529</v>
      </c>
      <c r="E60" s="152">
        <v>0</v>
      </c>
      <c r="F60" s="151">
        <v>0</v>
      </c>
      <c r="G60" s="152">
        <v>0</v>
      </c>
      <c r="H60" s="151">
        <v>0</v>
      </c>
      <c r="I60" s="152">
        <v>0</v>
      </c>
      <c r="J60" s="151">
        <v>0</v>
      </c>
      <c r="K60" s="152">
        <v>0</v>
      </c>
      <c r="L60" s="151">
        <v>0</v>
      </c>
      <c r="M60" s="152">
        <v>0</v>
      </c>
      <c r="N60" s="151">
        <v>55</v>
      </c>
      <c r="O60" s="152">
        <v>209</v>
      </c>
      <c r="P60" s="151">
        <v>55</v>
      </c>
      <c r="Q60" s="152">
        <v>210</v>
      </c>
      <c r="R60" s="151">
        <v>0</v>
      </c>
      <c r="S60" s="152">
        <v>0</v>
      </c>
      <c r="T60" s="151">
        <v>0</v>
      </c>
      <c r="U60" s="153">
        <v>0</v>
      </c>
      <c r="V60" t="str">
        <f>VLOOKUP(A60,'Projetos ciclo 2018-2022'!$I$8:$I$128,1,FALSE)</f>
        <v>NA</v>
      </c>
    </row>
    <row r="61" spans="1:22" x14ac:dyDescent="0.25">
      <c r="A61" s="21" t="s">
        <v>1199</v>
      </c>
      <c r="B61" s="154" t="s">
        <v>1200</v>
      </c>
      <c r="C61" s="154" t="s">
        <v>59</v>
      </c>
      <c r="D61" s="155">
        <v>0</v>
      </c>
      <c r="E61" s="158">
        <v>0</v>
      </c>
      <c r="F61" s="155">
        <v>0</v>
      </c>
      <c r="G61" s="158">
        <v>0</v>
      </c>
      <c r="H61" s="155">
        <v>0</v>
      </c>
      <c r="I61" s="158">
        <v>0</v>
      </c>
      <c r="J61" s="155">
        <v>0</v>
      </c>
      <c r="K61" s="158">
        <v>0</v>
      </c>
      <c r="L61" s="155">
        <v>0</v>
      </c>
      <c r="M61" s="158">
        <v>0</v>
      </c>
      <c r="N61" s="155">
        <v>0</v>
      </c>
      <c r="O61" s="158">
        <v>0</v>
      </c>
      <c r="P61" s="155">
        <v>0</v>
      </c>
      <c r="Q61" s="158">
        <v>0</v>
      </c>
      <c r="R61" s="155">
        <v>0</v>
      </c>
      <c r="S61" s="158">
        <v>0</v>
      </c>
      <c r="T61" s="155">
        <v>0</v>
      </c>
      <c r="U61" s="157">
        <v>0</v>
      </c>
      <c r="V61" t="e">
        <f>VLOOKUP(A61,'Projetos ciclo 2018-2022'!$I$8:$I$128,1,FALSE)</f>
        <v>#N/A</v>
      </c>
    </row>
    <row r="62" spans="1:22" x14ac:dyDescent="0.25">
      <c r="A62" s="149" t="s">
        <v>1246</v>
      </c>
      <c r="B62" s="150" t="s">
        <v>1247</v>
      </c>
      <c r="C62" s="150" t="s">
        <v>1248</v>
      </c>
      <c r="D62" s="151">
        <v>415</v>
      </c>
      <c r="E62" s="152">
        <v>0</v>
      </c>
      <c r="F62" s="151">
        <v>415</v>
      </c>
      <c r="G62" s="152">
        <v>0</v>
      </c>
      <c r="H62" s="151">
        <v>0</v>
      </c>
      <c r="I62" s="152">
        <v>0</v>
      </c>
      <c r="J62" s="151">
        <v>0</v>
      </c>
      <c r="K62" s="152">
        <v>0</v>
      </c>
      <c r="L62" s="151">
        <v>0</v>
      </c>
      <c r="M62" s="152">
        <v>0</v>
      </c>
      <c r="N62" s="151">
        <v>0</v>
      </c>
      <c r="O62" s="152">
        <v>0</v>
      </c>
      <c r="P62" s="151">
        <v>0</v>
      </c>
      <c r="Q62" s="152">
        <v>0</v>
      </c>
      <c r="R62" s="151">
        <v>0</v>
      </c>
      <c r="S62" s="152">
        <v>0</v>
      </c>
      <c r="T62" s="151">
        <v>0</v>
      </c>
      <c r="U62" s="153">
        <v>0</v>
      </c>
      <c r="V62" t="e">
        <f>VLOOKUP(A62,'Projetos ciclo 2018-2022'!$I$8:$I$128,1,FALSE)</f>
        <v>#N/A</v>
      </c>
    </row>
    <row r="63" spans="1:22" x14ac:dyDescent="0.25">
      <c r="A63" s="21" t="s">
        <v>1477</v>
      </c>
      <c r="B63" s="154" t="s">
        <v>1463</v>
      </c>
      <c r="C63" s="154" t="s">
        <v>1478</v>
      </c>
      <c r="D63" s="155">
        <v>0</v>
      </c>
      <c r="E63" s="158">
        <v>0</v>
      </c>
      <c r="F63" s="155">
        <v>0</v>
      </c>
      <c r="G63" s="158">
        <v>415</v>
      </c>
      <c r="H63" s="155">
        <v>0</v>
      </c>
      <c r="I63" s="158">
        <v>0</v>
      </c>
      <c r="J63" s="155">
        <v>0</v>
      </c>
      <c r="K63" s="158">
        <v>0</v>
      </c>
      <c r="L63" s="155">
        <v>382</v>
      </c>
      <c r="M63" s="158">
        <v>382</v>
      </c>
      <c r="N63" s="155">
        <v>0</v>
      </c>
      <c r="O63" s="158">
        <v>0</v>
      </c>
      <c r="P63" s="155">
        <v>0</v>
      </c>
      <c r="Q63" s="158">
        <v>0</v>
      </c>
      <c r="R63" s="155">
        <v>0</v>
      </c>
      <c r="S63" s="158">
        <v>0</v>
      </c>
      <c r="T63" s="155">
        <v>0</v>
      </c>
      <c r="U63" s="157">
        <v>0</v>
      </c>
      <c r="V63" t="str">
        <f>VLOOKUP(A63,'Projetos ciclo 2018-2022'!$I$8:$I$128,1,FALSE)</f>
        <v>TI04418</v>
      </c>
    </row>
    <row r="64" spans="1:22" x14ac:dyDescent="0.25">
      <c r="A64" s="149" t="s">
        <v>1194</v>
      </c>
      <c r="B64" s="150" t="s">
        <v>1209</v>
      </c>
      <c r="C64" s="150" t="s">
        <v>59</v>
      </c>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c r="V64" t="e">
        <f>VLOOKUP(A64,'Projetos ciclo 2018-2022'!$I$8:$I$128,1,FALSE)</f>
        <v>#N/A</v>
      </c>
    </row>
    <row r="65" spans="1:22" x14ac:dyDescent="0.25">
      <c r="A65" s="21" t="s">
        <v>1196</v>
      </c>
      <c r="B65" s="154" t="s">
        <v>1197</v>
      </c>
      <c r="C65" s="154" t="s">
        <v>59</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c r="V65" t="e">
        <f>VLOOKUP(A65,'Projetos ciclo 2018-2022'!$I$8:$I$128,1,FALSE)</f>
        <v>#N/A</v>
      </c>
    </row>
    <row r="66" spans="1:22" x14ac:dyDescent="0.25">
      <c r="A66" s="149" t="s">
        <v>565</v>
      </c>
      <c r="B66" s="150" t="s">
        <v>1198</v>
      </c>
      <c r="C66" s="150" t="s">
        <v>59</v>
      </c>
      <c r="D66" s="151">
        <v>514</v>
      </c>
      <c r="E66" s="152">
        <v>0</v>
      </c>
      <c r="F66" s="151">
        <v>0</v>
      </c>
      <c r="G66" s="152">
        <v>0</v>
      </c>
      <c r="H66" s="151">
        <v>0</v>
      </c>
      <c r="I66" s="152">
        <v>0</v>
      </c>
      <c r="J66" s="151">
        <v>0</v>
      </c>
      <c r="K66" s="152">
        <v>0</v>
      </c>
      <c r="L66" s="151">
        <v>0</v>
      </c>
      <c r="M66" s="152">
        <v>0</v>
      </c>
      <c r="N66" s="151">
        <v>128.5</v>
      </c>
      <c r="O66" s="152">
        <v>128.5</v>
      </c>
      <c r="P66" s="151">
        <v>128.5</v>
      </c>
      <c r="Q66" s="152">
        <v>128.5</v>
      </c>
      <c r="R66" s="151">
        <v>0</v>
      </c>
      <c r="S66" s="152">
        <v>0</v>
      </c>
      <c r="T66" s="151">
        <v>0</v>
      </c>
      <c r="U66" s="153">
        <v>0</v>
      </c>
      <c r="V66" t="str">
        <f>VLOOKUP(A66,'Projetos ciclo 2018-2022'!$I$8:$I$128,1,FALSE)</f>
        <v>NA</v>
      </c>
    </row>
    <row r="67" spans="1:22" x14ac:dyDescent="0.25">
      <c r="A67" s="21" t="s">
        <v>1199</v>
      </c>
      <c r="B67" s="154" t="s">
        <v>1200</v>
      </c>
      <c r="C67" s="154" t="s">
        <v>59</v>
      </c>
      <c r="D67" s="155">
        <v>0</v>
      </c>
      <c r="E67" s="158">
        <v>0</v>
      </c>
      <c r="F67" s="155">
        <v>0</v>
      </c>
      <c r="G67" s="158">
        <v>0</v>
      </c>
      <c r="H67" s="155">
        <v>0</v>
      </c>
      <c r="I67" s="158">
        <v>0</v>
      </c>
      <c r="J67" s="155">
        <v>0</v>
      </c>
      <c r="K67" s="158">
        <v>0</v>
      </c>
      <c r="L67" s="155">
        <v>0</v>
      </c>
      <c r="M67" s="158">
        <v>0</v>
      </c>
      <c r="N67" s="155">
        <v>0</v>
      </c>
      <c r="O67" s="158">
        <v>0</v>
      </c>
      <c r="P67" s="155">
        <v>0</v>
      </c>
      <c r="Q67" s="158">
        <v>0</v>
      </c>
      <c r="R67" s="155">
        <v>0</v>
      </c>
      <c r="S67" s="158">
        <v>0</v>
      </c>
      <c r="T67" s="155">
        <v>0</v>
      </c>
      <c r="U67" s="157">
        <v>0</v>
      </c>
      <c r="V67" t="e">
        <f>VLOOKUP(A67,'Projetos ciclo 2018-2022'!$I$8:$I$128,1,FALSE)</f>
        <v>#N/A</v>
      </c>
    </row>
    <row r="68" spans="1:22" x14ac:dyDescent="0.25">
      <c r="A68" s="149" t="s">
        <v>1249</v>
      </c>
      <c r="B68" s="150" t="s">
        <v>1250</v>
      </c>
      <c r="C68" s="150" t="s">
        <v>1251</v>
      </c>
      <c r="D68" s="151">
        <v>129</v>
      </c>
      <c r="E68" s="152">
        <v>0</v>
      </c>
      <c r="F68" s="151">
        <v>129</v>
      </c>
      <c r="G68" s="152">
        <v>0</v>
      </c>
      <c r="H68" s="151">
        <v>0</v>
      </c>
      <c r="I68" s="152">
        <v>0</v>
      </c>
      <c r="J68" s="151">
        <v>0</v>
      </c>
      <c r="K68" s="152">
        <v>0</v>
      </c>
      <c r="L68" s="151">
        <v>0</v>
      </c>
      <c r="M68" s="152">
        <v>0</v>
      </c>
      <c r="N68" s="151">
        <v>0</v>
      </c>
      <c r="O68" s="152">
        <v>0</v>
      </c>
      <c r="P68" s="151">
        <v>0</v>
      </c>
      <c r="Q68" s="152">
        <v>0</v>
      </c>
      <c r="R68" s="151">
        <v>0</v>
      </c>
      <c r="S68" s="152">
        <v>0</v>
      </c>
      <c r="T68" s="151">
        <v>0</v>
      </c>
      <c r="U68" s="153">
        <v>0</v>
      </c>
      <c r="V68" t="e">
        <f>VLOOKUP(A68,'Projetos ciclo 2018-2022'!$I$8:$I$128,1,FALSE)</f>
        <v>#N/A</v>
      </c>
    </row>
    <row r="69" spans="1:22" x14ac:dyDescent="0.25">
      <c r="A69" s="21" t="s">
        <v>1665</v>
      </c>
      <c r="B69" s="154" t="s">
        <v>1666</v>
      </c>
      <c r="C69" s="154" t="s">
        <v>1667</v>
      </c>
      <c r="D69" s="155">
        <v>0</v>
      </c>
      <c r="E69" s="158">
        <v>0</v>
      </c>
      <c r="F69" s="155">
        <v>0</v>
      </c>
      <c r="G69" s="158">
        <v>98</v>
      </c>
      <c r="H69" s="155">
        <v>0</v>
      </c>
      <c r="I69" s="158">
        <v>0</v>
      </c>
      <c r="J69" s="155">
        <v>0</v>
      </c>
      <c r="K69" s="158">
        <v>0</v>
      </c>
      <c r="L69" s="155">
        <v>97.797317504882813</v>
      </c>
      <c r="M69" s="158">
        <v>97.797317504882813</v>
      </c>
      <c r="N69" s="155">
        <v>0</v>
      </c>
      <c r="O69" s="158">
        <v>0</v>
      </c>
      <c r="P69" s="155">
        <v>0</v>
      </c>
      <c r="Q69" s="158">
        <v>0</v>
      </c>
      <c r="R69" s="155">
        <v>0</v>
      </c>
      <c r="S69" s="158">
        <v>0</v>
      </c>
      <c r="T69" s="155">
        <v>0</v>
      </c>
      <c r="U69" s="157">
        <v>0</v>
      </c>
      <c r="V69" t="str">
        <f>VLOOKUP(A69,'Projetos ciclo 2018-2022'!$I$8:$I$128,1,FALSE)</f>
        <v>TI06118</v>
      </c>
    </row>
    <row r="70" spans="1:22" x14ac:dyDescent="0.25">
      <c r="A70" s="149" t="s">
        <v>1194</v>
      </c>
      <c r="B70" s="150" t="s">
        <v>1218</v>
      </c>
      <c r="C70" s="150" t="s">
        <v>59</v>
      </c>
      <c r="D70" s="151">
        <v>0</v>
      </c>
      <c r="E70" s="152">
        <v>0</v>
      </c>
      <c r="F70" s="151">
        <v>0</v>
      </c>
      <c r="G70" s="152">
        <v>0</v>
      </c>
      <c r="H70" s="151">
        <v>0</v>
      </c>
      <c r="I70" s="152">
        <v>0</v>
      </c>
      <c r="J70" s="151">
        <v>0</v>
      </c>
      <c r="K70" s="152">
        <v>0</v>
      </c>
      <c r="L70" s="151">
        <v>0</v>
      </c>
      <c r="M70" s="152">
        <v>0</v>
      </c>
      <c r="N70" s="151">
        <v>0</v>
      </c>
      <c r="O70" s="152">
        <v>0</v>
      </c>
      <c r="P70" s="151">
        <v>0</v>
      </c>
      <c r="Q70" s="152">
        <v>0</v>
      </c>
      <c r="R70" s="151">
        <v>0</v>
      </c>
      <c r="S70" s="152">
        <v>0</v>
      </c>
      <c r="T70" s="151">
        <v>0</v>
      </c>
      <c r="U70" s="153">
        <v>0</v>
      </c>
      <c r="V70" t="e">
        <f>VLOOKUP(A70,'Projetos ciclo 2018-2022'!$I$8:$I$128,1,FALSE)</f>
        <v>#N/A</v>
      </c>
    </row>
    <row r="71" spans="1:22" x14ac:dyDescent="0.25">
      <c r="A71" s="21" t="s">
        <v>1196</v>
      </c>
      <c r="B71" s="154" t="s">
        <v>1197</v>
      </c>
      <c r="C71" s="154" t="s">
        <v>59</v>
      </c>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c r="V71" t="e">
        <f>VLOOKUP(A71,'Projetos ciclo 2018-2022'!$I$8:$I$128,1,FALSE)</f>
        <v>#N/A</v>
      </c>
    </row>
    <row r="72" spans="1:22" x14ac:dyDescent="0.25">
      <c r="A72" s="149" t="s">
        <v>1456</v>
      </c>
      <c r="B72" s="150" t="s">
        <v>1457</v>
      </c>
      <c r="C72" s="150" t="s">
        <v>1458</v>
      </c>
      <c r="D72" s="151">
        <v>3676</v>
      </c>
      <c r="E72" s="152">
        <v>0</v>
      </c>
      <c r="F72" s="151">
        <v>1618</v>
      </c>
      <c r="G72" s="152">
        <v>0</v>
      </c>
      <c r="H72" s="151">
        <v>0</v>
      </c>
      <c r="I72" s="152">
        <v>0</v>
      </c>
      <c r="J72" s="151">
        <v>0</v>
      </c>
      <c r="K72" s="152">
        <v>0</v>
      </c>
      <c r="L72" s="151">
        <v>0</v>
      </c>
      <c r="M72" s="152">
        <v>0</v>
      </c>
      <c r="N72" s="151">
        <v>0</v>
      </c>
      <c r="O72" s="152">
        <v>1050</v>
      </c>
      <c r="P72" s="151">
        <v>1008</v>
      </c>
      <c r="Q72" s="152">
        <v>0</v>
      </c>
      <c r="R72" s="151">
        <v>0</v>
      </c>
      <c r="S72" s="152">
        <v>0</v>
      </c>
      <c r="T72" s="151">
        <v>0</v>
      </c>
      <c r="U72" s="153">
        <v>0</v>
      </c>
      <c r="V72" t="e">
        <f>VLOOKUP(A72,'Projetos ciclo 2018-2022'!$I$8:$I$128,1,FALSE)</f>
        <v>#N/A</v>
      </c>
    </row>
    <row r="73" spans="1:22" x14ac:dyDescent="0.25">
      <c r="A73" s="21" t="s">
        <v>1514</v>
      </c>
      <c r="B73" s="154" t="s">
        <v>1515</v>
      </c>
      <c r="C73" s="154" t="s">
        <v>1516</v>
      </c>
      <c r="D73" s="155">
        <v>0</v>
      </c>
      <c r="E73" s="158">
        <v>0</v>
      </c>
      <c r="F73" s="155">
        <v>0</v>
      </c>
      <c r="G73" s="158">
        <v>1513</v>
      </c>
      <c r="H73" s="155">
        <v>0</v>
      </c>
      <c r="I73" s="158">
        <v>0</v>
      </c>
      <c r="J73" s="155">
        <v>0</v>
      </c>
      <c r="K73" s="158">
        <v>0</v>
      </c>
      <c r="L73" s="155">
        <v>0</v>
      </c>
      <c r="M73" s="158">
        <v>0</v>
      </c>
      <c r="N73" s="155">
        <v>0</v>
      </c>
      <c r="O73" s="158">
        <v>0</v>
      </c>
      <c r="P73" s="155">
        <v>0</v>
      </c>
      <c r="Q73" s="158">
        <v>0</v>
      </c>
      <c r="R73" s="155">
        <v>0</v>
      </c>
      <c r="S73" s="158">
        <v>0</v>
      </c>
      <c r="T73" s="155">
        <v>0</v>
      </c>
      <c r="U73" s="157">
        <v>0</v>
      </c>
      <c r="V73" t="str">
        <f>VLOOKUP(A73,'Projetos ciclo 2018-2022'!$I$8:$I$128,1,FALSE)</f>
        <v>MT00218</v>
      </c>
    </row>
    <row r="74" spans="1:22" x14ac:dyDescent="0.25">
      <c r="A74" s="149" t="s">
        <v>565</v>
      </c>
      <c r="B74" s="150" t="s">
        <v>1198</v>
      </c>
      <c r="C74" s="150" t="s">
        <v>59</v>
      </c>
      <c r="D74" s="151">
        <v>0</v>
      </c>
      <c r="E74" s="152">
        <v>0</v>
      </c>
      <c r="F74" s="151">
        <v>0</v>
      </c>
      <c r="G74" s="152">
        <v>0</v>
      </c>
      <c r="H74" s="151">
        <v>0</v>
      </c>
      <c r="I74" s="152">
        <v>0</v>
      </c>
      <c r="J74" s="151">
        <v>0</v>
      </c>
      <c r="K74" s="152">
        <v>0</v>
      </c>
      <c r="L74" s="151">
        <v>0</v>
      </c>
      <c r="M74" s="152">
        <v>0</v>
      </c>
      <c r="N74" s="151">
        <v>0</v>
      </c>
      <c r="O74" s="152">
        <v>0</v>
      </c>
      <c r="P74" s="151">
        <v>0</v>
      </c>
      <c r="Q74" s="152">
        <v>0</v>
      </c>
      <c r="R74" s="151">
        <v>0</v>
      </c>
      <c r="S74" s="152">
        <v>0</v>
      </c>
      <c r="T74" s="151">
        <v>0</v>
      </c>
      <c r="U74" s="153">
        <v>0</v>
      </c>
      <c r="V74" t="str">
        <f>VLOOKUP(A74,'Projetos ciclo 2018-2022'!$I$8:$I$128,1,FALSE)</f>
        <v>NA</v>
      </c>
    </row>
    <row r="75" spans="1:22" x14ac:dyDescent="0.25">
      <c r="A75" s="21" t="s">
        <v>1199</v>
      </c>
      <c r="B75" s="154" t="s">
        <v>1200</v>
      </c>
      <c r="C75" s="154" t="s">
        <v>59</v>
      </c>
      <c r="D75" s="155">
        <v>9.9999999999909106E-2</v>
      </c>
      <c r="E75" s="158">
        <v>0</v>
      </c>
      <c r="F75" s="155">
        <v>0</v>
      </c>
      <c r="G75" s="158">
        <v>0</v>
      </c>
      <c r="H75" s="155">
        <v>0</v>
      </c>
      <c r="I75" s="158">
        <v>0</v>
      </c>
      <c r="J75" s="155">
        <v>0</v>
      </c>
      <c r="K75" s="158">
        <v>0</v>
      </c>
      <c r="L75" s="155">
        <v>0</v>
      </c>
      <c r="M75" s="158">
        <v>0</v>
      </c>
      <c r="N75" s="155">
        <v>0</v>
      </c>
      <c r="O75" s="158">
        <v>0</v>
      </c>
      <c r="P75" s="155">
        <v>0</v>
      </c>
      <c r="Q75" s="158">
        <v>0</v>
      </c>
      <c r="R75" s="155">
        <v>0</v>
      </c>
      <c r="S75" s="158">
        <v>0</v>
      </c>
      <c r="T75" s="155">
        <v>0</v>
      </c>
      <c r="U75" s="157">
        <v>0</v>
      </c>
      <c r="V75" t="e">
        <f>VLOOKUP(A75,'Projetos ciclo 2018-2022'!$I$8:$I$128,1,FALSE)</f>
        <v>#N/A</v>
      </c>
    </row>
    <row r="76" spans="1:22" x14ac:dyDescent="0.25">
      <c r="A76" s="149" t="s">
        <v>1194</v>
      </c>
      <c r="B76" s="150" t="s">
        <v>1252</v>
      </c>
      <c r="C76" s="150" t="s">
        <v>59</v>
      </c>
      <c r="D76" s="151">
        <v>0</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c r="V76" t="e">
        <f>VLOOKUP(A76,'Projetos ciclo 2018-2022'!$I$8:$I$128,1,FALSE)</f>
        <v>#N/A</v>
      </c>
    </row>
    <row r="77" spans="1:22" x14ac:dyDescent="0.25">
      <c r="A77" s="21" t="s">
        <v>1196</v>
      </c>
      <c r="B77" s="154" t="s">
        <v>1197</v>
      </c>
      <c r="C77" s="154" t="s">
        <v>59</v>
      </c>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c r="V77" t="e">
        <f>VLOOKUP(A77,'Projetos ciclo 2018-2022'!$I$8:$I$128,1,FALSE)</f>
        <v>#N/A</v>
      </c>
    </row>
    <row r="78" spans="1:22" x14ac:dyDescent="0.25">
      <c r="A78" s="149" t="s">
        <v>1459</v>
      </c>
      <c r="B78" s="150" t="s">
        <v>1460</v>
      </c>
      <c r="C78" s="150" t="s">
        <v>1461</v>
      </c>
      <c r="D78" s="151">
        <v>1815</v>
      </c>
      <c r="E78" s="152">
        <v>0</v>
      </c>
      <c r="F78" s="151">
        <v>1815</v>
      </c>
      <c r="G78" s="152">
        <v>0</v>
      </c>
      <c r="H78" s="151">
        <v>98</v>
      </c>
      <c r="I78" s="152">
        <v>0</v>
      </c>
      <c r="J78" s="151">
        <v>0</v>
      </c>
      <c r="K78" s="152">
        <v>0</v>
      </c>
      <c r="L78" s="151">
        <v>0</v>
      </c>
      <c r="M78" s="152">
        <v>0</v>
      </c>
      <c r="N78" s="151">
        <v>0</v>
      </c>
      <c r="O78" s="152">
        <v>0</v>
      </c>
      <c r="P78" s="151">
        <v>0</v>
      </c>
      <c r="Q78" s="152">
        <v>0</v>
      </c>
      <c r="R78" s="151">
        <v>0</v>
      </c>
      <c r="S78" s="152">
        <v>0</v>
      </c>
      <c r="T78" s="151">
        <v>0</v>
      </c>
      <c r="U78" s="153">
        <v>0</v>
      </c>
      <c r="V78" t="e">
        <f>VLOOKUP(A78,'Projetos ciclo 2018-2022'!$I$8:$I$128,1,FALSE)</f>
        <v>#N/A</v>
      </c>
    </row>
    <row r="79" spans="1:22" x14ac:dyDescent="0.25">
      <c r="A79" s="21" t="s">
        <v>1253</v>
      </c>
      <c r="B79" s="154" t="s">
        <v>1254</v>
      </c>
      <c r="C79" s="154" t="s">
        <v>1255</v>
      </c>
      <c r="D79" s="155">
        <v>0</v>
      </c>
      <c r="E79" s="158">
        <v>0</v>
      </c>
      <c r="F79" s="155">
        <v>0</v>
      </c>
      <c r="G79" s="158">
        <v>5</v>
      </c>
      <c r="H79" s="155">
        <v>0</v>
      </c>
      <c r="I79" s="158">
        <v>4.3380299806594849</v>
      </c>
      <c r="J79" s="155">
        <v>0</v>
      </c>
      <c r="K79" s="158">
        <v>4.3380299806594849</v>
      </c>
      <c r="L79" s="155">
        <v>0</v>
      </c>
      <c r="M79" s="158">
        <v>4.3380299806594849</v>
      </c>
      <c r="N79" s="155">
        <v>0</v>
      </c>
      <c r="O79" s="158">
        <v>0</v>
      </c>
      <c r="P79" s="155">
        <v>0</v>
      </c>
      <c r="Q79" s="158">
        <v>0</v>
      </c>
      <c r="R79" s="155">
        <v>0</v>
      </c>
      <c r="S79" s="158">
        <v>0</v>
      </c>
      <c r="T79" s="155">
        <v>0</v>
      </c>
      <c r="U79" s="157">
        <v>0</v>
      </c>
      <c r="V79" t="str">
        <f>VLOOKUP(A79,'Projetos ciclo 2018-2022'!$I$8:$I$128,1,FALSE)</f>
        <v>MT00516</v>
      </c>
    </row>
    <row r="80" spans="1:22" x14ac:dyDescent="0.25">
      <c r="A80" s="149" t="s">
        <v>1256</v>
      </c>
      <c r="B80" s="150" t="s">
        <v>1257</v>
      </c>
      <c r="C80" s="150" t="s">
        <v>1258</v>
      </c>
      <c r="D80" s="151">
        <v>0</v>
      </c>
      <c r="E80" s="152">
        <v>0</v>
      </c>
      <c r="F80" s="151">
        <v>0</v>
      </c>
      <c r="G80" s="152">
        <v>1088</v>
      </c>
      <c r="H80" s="151">
        <v>0</v>
      </c>
      <c r="I80" s="152">
        <v>18.819390416145325</v>
      </c>
      <c r="J80" s="151">
        <v>0</v>
      </c>
      <c r="K80" s="152">
        <v>18.819390416145325</v>
      </c>
      <c r="L80" s="151">
        <v>168.00705242156982</v>
      </c>
      <c r="M80" s="152">
        <v>186.82644283771515</v>
      </c>
      <c r="N80" s="151">
        <v>0</v>
      </c>
      <c r="O80" s="152">
        <v>0</v>
      </c>
      <c r="P80" s="151">
        <v>0</v>
      </c>
      <c r="Q80" s="152">
        <v>0</v>
      </c>
      <c r="R80" s="151">
        <v>0</v>
      </c>
      <c r="S80" s="152">
        <v>0</v>
      </c>
      <c r="T80" s="151">
        <v>0</v>
      </c>
      <c r="U80" s="153">
        <v>0</v>
      </c>
      <c r="V80" t="str">
        <f>VLOOKUP(A80,'Projetos ciclo 2018-2022'!$I$8:$I$128,1,FALSE)</f>
        <v>MT01017</v>
      </c>
    </row>
    <row r="81" spans="1:22" x14ac:dyDescent="0.25">
      <c r="A81" s="21" t="s">
        <v>565</v>
      </c>
      <c r="B81" s="154" t="s">
        <v>1259</v>
      </c>
      <c r="C81" s="154" t="s">
        <v>59</v>
      </c>
      <c r="D81" s="155">
        <v>4823</v>
      </c>
      <c r="E81" s="158">
        <v>0</v>
      </c>
      <c r="F81" s="155">
        <v>0</v>
      </c>
      <c r="G81" s="158">
        <v>0</v>
      </c>
      <c r="H81" s="155">
        <v>0</v>
      </c>
      <c r="I81" s="158">
        <v>0</v>
      </c>
      <c r="J81" s="155">
        <v>0</v>
      </c>
      <c r="K81" s="158">
        <v>0</v>
      </c>
      <c r="L81" s="155">
        <v>0</v>
      </c>
      <c r="M81" s="158">
        <v>0</v>
      </c>
      <c r="N81" s="155">
        <v>1496</v>
      </c>
      <c r="O81" s="158">
        <v>777</v>
      </c>
      <c r="P81" s="155">
        <v>2550</v>
      </c>
      <c r="Q81" s="158">
        <v>0</v>
      </c>
      <c r="R81" s="155">
        <v>0</v>
      </c>
      <c r="S81" s="158">
        <v>0</v>
      </c>
      <c r="T81" s="155">
        <v>0</v>
      </c>
      <c r="U81" s="157">
        <v>0</v>
      </c>
      <c r="V81" t="str">
        <f>VLOOKUP(A81,'Projetos ciclo 2018-2022'!$I$8:$I$128,1,FALSE)</f>
        <v>NA</v>
      </c>
    </row>
    <row r="82" spans="1:22" x14ac:dyDescent="0.25">
      <c r="A82" s="149" t="s">
        <v>1260</v>
      </c>
      <c r="B82" s="150" t="s">
        <v>1261</v>
      </c>
      <c r="C82" s="150" t="s">
        <v>1262</v>
      </c>
      <c r="D82" s="151">
        <v>0</v>
      </c>
      <c r="E82" s="152">
        <v>0</v>
      </c>
      <c r="F82" s="151">
        <v>0</v>
      </c>
      <c r="G82" s="152">
        <v>715</v>
      </c>
      <c r="H82" s="151">
        <v>0</v>
      </c>
      <c r="I82" s="152">
        <v>87.617710113525391</v>
      </c>
      <c r="J82" s="151">
        <v>0</v>
      </c>
      <c r="K82" s="152">
        <v>87.617710113525391</v>
      </c>
      <c r="L82" s="151">
        <v>590.78504490852356</v>
      </c>
      <c r="M82" s="152">
        <v>678.40275502204895</v>
      </c>
      <c r="N82" s="151">
        <v>0</v>
      </c>
      <c r="O82" s="152">
        <v>0</v>
      </c>
      <c r="P82" s="151">
        <v>0</v>
      </c>
      <c r="Q82" s="152">
        <v>0</v>
      </c>
      <c r="R82" s="151">
        <v>0</v>
      </c>
      <c r="S82" s="152">
        <v>0</v>
      </c>
      <c r="T82" s="151">
        <v>0</v>
      </c>
      <c r="U82" s="153">
        <v>0</v>
      </c>
      <c r="V82" t="str">
        <f>VLOOKUP(A82,'Projetos ciclo 2018-2022'!$I$8:$I$128,1,FALSE)</f>
        <v>PO00417</v>
      </c>
    </row>
    <row r="83" spans="1:22" x14ac:dyDescent="0.25">
      <c r="A83" s="21" t="s">
        <v>1199</v>
      </c>
      <c r="B83" s="154" t="s">
        <v>1200</v>
      </c>
      <c r="C83" s="154" t="s">
        <v>59</v>
      </c>
      <c r="D83" s="155">
        <v>9.9920072216264089E-16</v>
      </c>
      <c r="E83" s="158">
        <v>0</v>
      </c>
      <c r="F83" s="155">
        <v>0</v>
      </c>
      <c r="G83" s="158">
        <v>0</v>
      </c>
      <c r="H83" s="155">
        <v>0</v>
      </c>
      <c r="I83" s="158">
        <v>0</v>
      </c>
      <c r="J83" s="155">
        <v>0</v>
      </c>
      <c r="K83" s="158">
        <v>0</v>
      </c>
      <c r="L83" s="155">
        <v>0</v>
      </c>
      <c r="M83" s="158">
        <v>0</v>
      </c>
      <c r="N83" s="155">
        <v>0</v>
      </c>
      <c r="O83" s="158">
        <v>0</v>
      </c>
      <c r="P83" s="155">
        <v>0</v>
      </c>
      <c r="Q83" s="158">
        <v>0</v>
      </c>
      <c r="R83" s="155">
        <v>0</v>
      </c>
      <c r="S83" s="158">
        <v>0</v>
      </c>
      <c r="T83" s="155">
        <v>0</v>
      </c>
      <c r="U83" s="157">
        <v>0</v>
      </c>
      <c r="V83" t="e">
        <f>VLOOKUP(A83,'Projetos ciclo 2018-2022'!$I$8:$I$128,1,FALSE)</f>
        <v>#N/A</v>
      </c>
    </row>
    <row r="84" spans="1:22" x14ac:dyDescent="0.25">
      <c r="A84" s="149" t="s">
        <v>1263</v>
      </c>
      <c r="B84" s="150" t="s">
        <v>1264</v>
      </c>
      <c r="C84" s="150" t="s">
        <v>1265</v>
      </c>
      <c r="D84" s="151">
        <v>0</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c r="V84" t="e">
        <f>VLOOKUP(A84,'Projetos ciclo 2018-2022'!$I$8:$I$128,1,FALSE)</f>
        <v>#N/A</v>
      </c>
    </row>
    <row r="85" spans="1:22" x14ac:dyDescent="0.25">
      <c r="A85" s="21" t="s">
        <v>1266</v>
      </c>
      <c r="B85" s="154" t="s">
        <v>1267</v>
      </c>
      <c r="C85" s="154" t="s">
        <v>1268</v>
      </c>
      <c r="D85" s="155">
        <v>0</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c r="V85" t="e">
        <f>VLOOKUP(A85,'Projetos ciclo 2018-2022'!$I$8:$I$128,1,FALSE)</f>
        <v>#N/A</v>
      </c>
    </row>
    <row r="86" spans="1:22" x14ac:dyDescent="0.25">
      <c r="A86" s="149" t="s">
        <v>1269</v>
      </c>
      <c r="B86" s="150" t="s">
        <v>1270</v>
      </c>
      <c r="C86" s="150" t="s">
        <v>1271</v>
      </c>
      <c r="D86" s="151">
        <v>0</v>
      </c>
      <c r="E86" s="152">
        <v>0</v>
      </c>
      <c r="F86" s="151">
        <v>0</v>
      </c>
      <c r="G86" s="152">
        <v>0</v>
      </c>
      <c r="H86" s="151">
        <v>0</v>
      </c>
      <c r="I86" s="152">
        <v>0</v>
      </c>
      <c r="J86" s="151">
        <v>0</v>
      </c>
      <c r="K86" s="152">
        <v>0</v>
      </c>
      <c r="L86" s="151">
        <v>0</v>
      </c>
      <c r="M86" s="152">
        <v>0</v>
      </c>
      <c r="N86" s="151">
        <v>0</v>
      </c>
      <c r="O86" s="152">
        <v>0</v>
      </c>
      <c r="P86" s="151">
        <v>0</v>
      </c>
      <c r="Q86" s="152">
        <v>0</v>
      </c>
      <c r="R86" s="151">
        <v>0</v>
      </c>
      <c r="S86" s="152">
        <v>0</v>
      </c>
      <c r="T86" s="151">
        <v>0</v>
      </c>
      <c r="U86" s="153">
        <v>0</v>
      </c>
      <c r="V86" t="e">
        <f>VLOOKUP(A86,'Projetos ciclo 2018-2022'!$I$8:$I$128,1,FALSE)</f>
        <v>#N/A</v>
      </c>
    </row>
    <row r="87" spans="1:22" x14ac:dyDescent="0.25">
      <c r="A87" s="21" t="s">
        <v>1272</v>
      </c>
      <c r="B87" s="154" t="s">
        <v>1273</v>
      </c>
      <c r="C87" s="154" t="s">
        <v>1274</v>
      </c>
      <c r="D87" s="155">
        <v>0</v>
      </c>
      <c r="E87" s="158">
        <v>0</v>
      </c>
      <c r="F87" s="155">
        <v>0</v>
      </c>
      <c r="G87" s="158">
        <v>0</v>
      </c>
      <c r="H87" s="155">
        <v>0</v>
      </c>
      <c r="I87" s="158">
        <v>0</v>
      </c>
      <c r="J87" s="155">
        <v>0</v>
      </c>
      <c r="K87" s="158">
        <v>0</v>
      </c>
      <c r="L87" s="155">
        <v>0</v>
      </c>
      <c r="M87" s="158">
        <v>0</v>
      </c>
      <c r="N87" s="155">
        <v>0</v>
      </c>
      <c r="O87" s="158">
        <v>0</v>
      </c>
      <c r="P87" s="155">
        <v>0</v>
      </c>
      <c r="Q87" s="158">
        <v>0</v>
      </c>
      <c r="R87" s="155">
        <v>0</v>
      </c>
      <c r="S87" s="158">
        <v>0</v>
      </c>
      <c r="T87" s="155">
        <v>0</v>
      </c>
      <c r="U87" s="157">
        <v>0</v>
      </c>
      <c r="V87" t="e">
        <f>VLOOKUP(A87,'Projetos ciclo 2018-2022'!$I$8:$I$128,1,FALSE)</f>
        <v>#N/A</v>
      </c>
    </row>
    <row r="88" spans="1:22" x14ac:dyDescent="0.25">
      <c r="A88" s="149" t="s">
        <v>1275</v>
      </c>
      <c r="B88" s="150" t="s">
        <v>1276</v>
      </c>
      <c r="C88" s="150" t="s">
        <v>1277</v>
      </c>
      <c r="D88" s="151">
        <v>0</v>
      </c>
      <c r="E88" s="152">
        <v>0</v>
      </c>
      <c r="F88" s="151">
        <v>0</v>
      </c>
      <c r="G88" s="152">
        <v>0</v>
      </c>
      <c r="H88" s="151">
        <v>0</v>
      </c>
      <c r="I88" s="152">
        <v>0</v>
      </c>
      <c r="J88" s="151">
        <v>0</v>
      </c>
      <c r="K88" s="152">
        <v>0</v>
      </c>
      <c r="L88" s="151">
        <v>0</v>
      </c>
      <c r="M88" s="152">
        <v>0</v>
      </c>
      <c r="N88" s="151">
        <v>0</v>
      </c>
      <c r="O88" s="152">
        <v>0</v>
      </c>
      <c r="P88" s="151">
        <v>0</v>
      </c>
      <c r="Q88" s="152">
        <v>0</v>
      </c>
      <c r="R88" s="151">
        <v>0</v>
      </c>
      <c r="S88" s="152">
        <v>0</v>
      </c>
      <c r="T88" s="151">
        <v>0</v>
      </c>
      <c r="U88" s="153">
        <v>0</v>
      </c>
      <c r="V88" t="e">
        <f>VLOOKUP(A88,'Projetos ciclo 2018-2022'!$I$8:$I$128,1,FALSE)</f>
        <v>#N/A</v>
      </c>
    </row>
    <row r="89" spans="1:22" x14ac:dyDescent="0.25">
      <c r="A89" s="21" t="s">
        <v>1278</v>
      </c>
      <c r="B89" s="154" t="s">
        <v>1279</v>
      </c>
      <c r="C89" s="154" t="s">
        <v>1280</v>
      </c>
      <c r="D89" s="155">
        <v>0</v>
      </c>
      <c r="E89" s="158">
        <v>0</v>
      </c>
      <c r="F89" s="155">
        <v>0</v>
      </c>
      <c r="G89" s="158">
        <v>0</v>
      </c>
      <c r="H89" s="155">
        <v>0</v>
      </c>
      <c r="I89" s="158">
        <v>0</v>
      </c>
      <c r="J89" s="155">
        <v>0</v>
      </c>
      <c r="K89" s="158">
        <v>0</v>
      </c>
      <c r="L89" s="155">
        <v>0</v>
      </c>
      <c r="M89" s="158">
        <v>0</v>
      </c>
      <c r="N89" s="155">
        <v>0</v>
      </c>
      <c r="O89" s="158">
        <v>0</v>
      </c>
      <c r="P89" s="155">
        <v>0</v>
      </c>
      <c r="Q89" s="158">
        <v>0</v>
      </c>
      <c r="R89" s="155">
        <v>0</v>
      </c>
      <c r="S89" s="158">
        <v>0</v>
      </c>
      <c r="T89" s="155">
        <v>0</v>
      </c>
      <c r="U89" s="157">
        <v>0</v>
      </c>
      <c r="V89" t="e">
        <f>VLOOKUP(A89,'Projetos ciclo 2018-2022'!$I$8:$I$128,1,FALSE)</f>
        <v>#N/A</v>
      </c>
    </row>
    <row r="90" spans="1:22" x14ac:dyDescent="0.25">
      <c r="A90" s="149" t="s">
        <v>1281</v>
      </c>
      <c r="B90" s="150" t="s">
        <v>1282</v>
      </c>
      <c r="C90" s="150" t="s">
        <v>1283</v>
      </c>
      <c r="D90" s="151">
        <v>0</v>
      </c>
      <c r="E90" s="152">
        <v>0</v>
      </c>
      <c r="F90" s="151">
        <v>0</v>
      </c>
      <c r="G90" s="152">
        <v>0</v>
      </c>
      <c r="H90" s="151">
        <v>0</v>
      </c>
      <c r="I90" s="152">
        <v>0</v>
      </c>
      <c r="J90" s="151">
        <v>0</v>
      </c>
      <c r="K90" s="152">
        <v>0</v>
      </c>
      <c r="L90" s="151">
        <v>0</v>
      </c>
      <c r="M90" s="152">
        <v>0</v>
      </c>
      <c r="N90" s="151">
        <v>0</v>
      </c>
      <c r="O90" s="152">
        <v>0</v>
      </c>
      <c r="P90" s="151">
        <v>0</v>
      </c>
      <c r="Q90" s="152">
        <v>0</v>
      </c>
      <c r="R90" s="151">
        <v>0</v>
      </c>
      <c r="S90" s="152">
        <v>0</v>
      </c>
      <c r="T90" s="151">
        <v>0</v>
      </c>
      <c r="U90" s="153">
        <v>0</v>
      </c>
      <c r="V90" t="e">
        <f>VLOOKUP(A90,'Projetos ciclo 2018-2022'!$I$8:$I$128,1,FALSE)</f>
        <v>#N/A</v>
      </c>
    </row>
    <row r="91" spans="1:22" x14ac:dyDescent="0.25">
      <c r="A91" s="21" t="s">
        <v>1284</v>
      </c>
      <c r="B91" s="154" t="s">
        <v>1285</v>
      </c>
      <c r="C91" s="154" t="s">
        <v>1286</v>
      </c>
      <c r="D91" s="155">
        <v>0</v>
      </c>
      <c r="E91" s="158">
        <v>0</v>
      </c>
      <c r="F91" s="155">
        <v>0</v>
      </c>
      <c r="G91" s="158">
        <v>0</v>
      </c>
      <c r="H91" s="155">
        <v>0</v>
      </c>
      <c r="I91" s="158">
        <v>0</v>
      </c>
      <c r="J91" s="155">
        <v>0</v>
      </c>
      <c r="K91" s="158">
        <v>0</v>
      </c>
      <c r="L91" s="155">
        <v>0</v>
      </c>
      <c r="M91" s="158">
        <v>0</v>
      </c>
      <c r="N91" s="155">
        <v>0</v>
      </c>
      <c r="O91" s="158">
        <v>0</v>
      </c>
      <c r="P91" s="155">
        <v>0</v>
      </c>
      <c r="Q91" s="158">
        <v>0</v>
      </c>
      <c r="R91" s="155">
        <v>0</v>
      </c>
      <c r="S91" s="158">
        <v>0</v>
      </c>
      <c r="T91" s="155">
        <v>0</v>
      </c>
      <c r="U91" s="157">
        <v>0</v>
      </c>
      <c r="V91" t="e">
        <f>VLOOKUP(A91,'Projetos ciclo 2018-2022'!$I$8:$I$128,1,FALSE)</f>
        <v>#N/A</v>
      </c>
    </row>
    <row r="92" spans="1:22" x14ac:dyDescent="0.25">
      <c r="A92" s="149" t="s">
        <v>1194</v>
      </c>
      <c r="B92" s="150" t="s">
        <v>1287</v>
      </c>
      <c r="C92" s="150" t="s">
        <v>59</v>
      </c>
      <c r="D92" s="151">
        <v>0</v>
      </c>
      <c r="E92" s="152">
        <v>0</v>
      </c>
      <c r="F92" s="151">
        <v>0</v>
      </c>
      <c r="G92" s="152">
        <v>0</v>
      </c>
      <c r="H92" s="151">
        <v>0</v>
      </c>
      <c r="I92" s="152">
        <v>0</v>
      </c>
      <c r="J92" s="151">
        <v>0</v>
      </c>
      <c r="K92" s="152">
        <v>0</v>
      </c>
      <c r="L92" s="151">
        <v>0</v>
      </c>
      <c r="M92" s="152">
        <v>0</v>
      </c>
      <c r="N92" s="151">
        <v>0</v>
      </c>
      <c r="O92" s="152">
        <v>0</v>
      </c>
      <c r="P92" s="151">
        <v>0</v>
      </c>
      <c r="Q92" s="152">
        <v>0</v>
      </c>
      <c r="R92" s="151">
        <v>0</v>
      </c>
      <c r="S92" s="152">
        <v>0</v>
      </c>
      <c r="T92" s="151">
        <v>0</v>
      </c>
      <c r="U92" s="153">
        <v>0</v>
      </c>
      <c r="V92" t="e">
        <f>VLOOKUP(A92,'Projetos ciclo 2018-2022'!$I$8:$I$128,1,FALSE)</f>
        <v>#N/A</v>
      </c>
    </row>
    <row r="93" spans="1:22" x14ac:dyDescent="0.25">
      <c r="A93" s="21" t="s">
        <v>1288</v>
      </c>
      <c r="B93" s="154" t="s">
        <v>1289</v>
      </c>
      <c r="C93" s="154" t="s">
        <v>1290</v>
      </c>
      <c r="D93" s="155">
        <v>0</v>
      </c>
      <c r="E93" s="158">
        <v>0</v>
      </c>
      <c r="F93" s="155">
        <v>0</v>
      </c>
      <c r="G93" s="158">
        <v>0</v>
      </c>
      <c r="H93" s="155">
        <v>0</v>
      </c>
      <c r="I93" s="158">
        <v>0</v>
      </c>
      <c r="J93" s="155">
        <v>0</v>
      </c>
      <c r="K93" s="158">
        <v>0</v>
      </c>
      <c r="L93" s="155">
        <v>0</v>
      </c>
      <c r="M93" s="158">
        <v>0</v>
      </c>
      <c r="N93" s="155">
        <v>0</v>
      </c>
      <c r="O93" s="158">
        <v>0</v>
      </c>
      <c r="P93" s="155">
        <v>0</v>
      </c>
      <c r="Q93" s="158">
        <v>0</v>
      </c>
      <c r="R93" s="155">
        <v>0</v>
      </c>
      <c r="S93" s="158">
        <v>0</v>
      </c>
      <c r="T93" s="155">
        <v>0</v>
      </c>
      <c r="U93" s="157">
        <v>0</v>
      </c>
      <c r="V93" t="e">
        <f>VLOOKUP(A93,'Projetos ciclo 2018-2022'!$I$8:$I$128,1,FALSE)</f>
        <v>#N/A</v>
      </c>
    </row>
    <row r="94" spans="1:22" x14ac:dyDescent="0.25">
      <c r="A94" s="149" t="s">
        <v>1291</v>
      </c>
      <c r="B94" s="150" t="s">
        <v>1292</v>
      </c>
      <c r="C94" s="150" t="s">
        <v>1293</v>
      </c>
      <c r="D94" s="151">
        <v>0</v>
      </c>
      <c r="E94" s="152">
        <v>0</v>
      </c>
      <c r="F94" s="151">
        <v>0</v>
      </c>
      <c r="G94" s="152">
        <v>13</v>
      </c>
      <c r="H94" s="151">
        <v>0</v>
      </c>
      <c r="I94" s="152">
        <v>11.104649901390076</v>
      </c>
      <c r="J94" s="151">
        <v>0</v>
      </c>
      <c r="K94" s="152">
        <v>11.104649901390076</v>
      </c>
      <c r="L94" s="151">
        <v>0</v>
      </c>
      <c r="M94" s="152">
        <v>11.104649901390076</v>
      </c>
      <c r="N94" s="151">
        <v>0</v>
      </c>
      <c r="O94" s="152">
        <v>0</v>
      </c>
      <c r="P94" s="151">
        <v>0</v>
      </c>
      <c r="Q94" s="152">
        <v>0</v>
      </c>
      <c r="R94" s="151">
        <v>0</v>
      </c>
      <c r="S94" s="152">
        <v>0</v>
      </c>
      <c r="T94" s="151">
        <v>0</v>
      </c>
      <c r="U94" s="153">
        <v>0</v>
      </c>
      <c r="V94" t="str">
        <f>VLOOKUP(A94,'Projetos ciclo 2018-2022'!$I$8:$I$128,1,FALSE)</f>
        <v>CD00315</v>
      </c>
    </row>
    <row r="95" spans="1:22" x14ac:dyDescent="0.25">
      <c r="A95" s="21" t="s">
        <v>1196</v>
      </c>
      <c r="B95" s="154" t="s">
        <v>1197</v>
      </c>
      <c r="C95" s="154" t="s">
        <v>59</v>
      </c>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c r="V95" t="e">
        <f>VLOOKUP(A95,'Projetos ciclo 2018-2022'!$I$8:$I$128,1,FALSE)</f>
        <v>#N/A</v>
      </c>
    </row>
    <row r="96" spans="1:22" x14ac:dyDescent="0.25">
      <c r="A96" s="149" t="s">
        <v>1294</v>
      </c>
      <c r="B96" s="150" t="s">
        <v>1295</v>
      </c>
      <c r="C96" s="150" t="s">
        <v>1296</v>
      </c>
      <c r="D96" s="151">
        <v>2417</v>
      </c>
      <c r="E96" s="152">
        <v>0</v>
      </c>
      <c r="F96" s="151">
        <v>2417</v>
      </c>
      <c r="G96" s="152">
        <v>0</v>
      </c>
      <c r="H96" s="151">
        <v>13</v>
      </c>
      <c r="I96" s="152">
        <v>0</v>
      </c>
      <c r="J96" s="151">
        <v>0</v>
      </c>
      <c r="K96" s="152">
        <v>0</v>
      </c>
      <c r="L96" s="151">
        <v>0</v>
      </c>
      <c r="M96" s="152">
        <v>0</v>
      </c>
      <c r="N96" s="151">
        <v>0</v>
      </c>
      <c r="O96" s="152">
        <v>0</v>
      </c>
      <c r="P96" s="151">
        <v>0</v>
      </c>
      <c r="Q96" s="152">
        <v>0</v>
      </c>
      <c r="R96" s="151">
        <v>0</v>
      </c>
      <c r="S96" s="152">
        <v>0</v>
      </c>
      <c r="T96" s="151">
        <v>0</v>
      </c>
      <c r="U96" s="153">
        <v>0</v>
      </c>
      <c r="V96" t="e">
        <f>VLOOKUP(A96,'Projetos ciclo 2018-2022'!$I$8:$I$128,1,FALSE)</f>
        <v>#N/A</v>
      </c>
    </row>
    <row r="97" spans="1:22" x14ac:dyDescent="0.25">
      <c r="A97" s="21" t="s">
        <v>1641</v>
      </c>
      <c r="B97" s="154" t="s">
        <v>1642</v>
      </c>
      <c r="C97" s="154" t="s">
        <v>1643</v>
      </c>
      <c r="D97" s="155">
        <v>0</v>
      </c>
      <c r="E97" s="158">
        <v>0</v>
      </c>
      <c r="F97" s="155">
        <v>0</v>
      </c>
      <c r="G97" s="158">
        <v>350</v>
      </c>
      <c r="H97" s="155">
        <v>0</v>
      </c>
      <c r="I97" s="158">
        <v>0</v>
      </c>
      <c r="J97" s="155">
        <v>0</v>
      </c>
      <c r="K97" s="158">
        <v>0</v>
      </c>
      <c r="L97" s="155">
        <v>0</v>
      </c>
      <c r="M97" s="158">
        <v>0</v>
      </c>
      <c r="N97" s="155">
        <v>0</v>
      </c>
      <c r="O97" s="158">
        <v>0</v>
      </c>
      <c r="P97" s="155">
        <v>0</v>
      </c>
      <c r="Q97" s="158">
        <v>0</v>
      </c>
      <c r="R97" s="155">
        <v>0</v>
      </c>
      <c r="S97" s="158">
        <v>0</v>
      </c>
      <c r="T97" s="155">
        <v>0</v>
      </c>
      <c r="U97" s="157">
        <v>0</v>
      </c>
      <c r="V97" t="str">
        <f>VLOOKUP(A97,'Projetos ciclo 2018-2022'!$I$8:$I$128,1,FALSE)</f>
        <v>GR00118</v>
      </c>
    </row>
    <row r="98" spans="1:22" x14ac:dyDescent="0.25">
      <c r="A98" s="149" t="s">
        <v>1425</v>
      </c>
      <c r="B98" s="150" t="s">
        <v>1075</v>
      </c>
      <c r="C98" s="150" t="s">
        <v>1573</v>
      </c>
      <c r="D98" s="151">
        <v>0</v>
      </c>
      <c r="E98" s="152">
        <v>0</v>
      </c>
      <c r="F98" s="151">
        <v>0</v>
      </c>
      <c r="G98" s="152">
        <v>940</v>
      </c>
      <c r="H98" s="151">
        <v>0</v>
      </c>
      <c r="I98" s="152">
        <v>0</v>
      </c>
      <c r="J98" s="151">
        <v>0</v>
      </c>
      <c r="K98" s="152">
        <v>0</v>
      </c>
      <c r="L98" s="151">
        <v>276</v>
      </c>
      <c r="M98" s="152">
        <v>276</v>
      </c>
      <c r="N98" s="151">
        <v>0</v>
      </c>
      <c r="O98" s="152">
        <v>0</v>
      </c>
      <c r="P98" s="151">
        <v>0</v>
      </c>
      <c r="Q98" s="152">
        <v>0</v>
      </c>
      <c r="R98" s="151">
        <v>0</v>
      </c>
      <c r="S98" s="152">
        <v>0</v>
      </c>
      <c r="T98" s="151">
        <v>0</v>
      </c>
      <c r="U98" s="153">
        <v>0</v>
      </c>
      <c r="V98" t="str">
        <f>VLOOKUP(A98,'Projetos ciclo 2018-2022'!$I$8:$I$128,1,FALSE)</f>
        <v>MD00118</v>
      </c>
    </row>
    <row r="99" spans="1:22" x14ac:dyDescent="0.25">
      <c r="A99" s="21" t="s">
        <v>565</v>
      </c>
      <c r="B99" s="154" t="s">
        <v>1198</v>
      </c>
      <c r="C99" s="154" t="s">
        <v>59</v>
      </c>
      <c r="D99" s="155">
        <v>11667</v>
      </c>
      <c r="E99" s="158">
        <v>0</v>
      </c>
      <c r="F99" s="155">
        <v>0</v>
      </c>
      <c r="G99" s="158">
        <v>0</v>
      </c>
      <c r="H99" s="155">
        <v>0</v>
      </c>
      <c r="I99" s="158">
        <v>0</v>
      </c>
      <c r="J99" s="155">
        <v>0</v>
      </c>
      <c r="K99" s="158">
        <v>0</v>
      </c>
      <c r="L99" s="155">
        <v>0</v>
      </c>
      <c r="M99" s="158">
        <v>0</v>
      </c>
      <c r="N99" s="155">
        <v>2235</v>
      </c>
      <c r="O99" s="158">
        <v>3005</v>
      </c>
      <c r="P99" s="155">
        <v>3898</v>
      </c>
      <c r="Q99" s="158">
        <v>2529</v>
      </c>
      <c r="R99" s="155">
        <v>0</v>
      </c>
      <c r="S99" s="158">
        <v>0</v>
      </c>
      <c r="T99" s="155">
        <v>0</v>
      </c>
      <c r="U99" s="157">
        <v>0</v>
      </c>
      <c r="V99" t="str">
        <f>VLOOKUP(A99,'Projetos ciclo 2018-2022'!$I$8:$I$128,1,FALSE)</f>
        <v>NA</v>
      </c>
    </row>
    <row r="100" spans="1:22" x14ac:dyDescent="0.25">
      <c r="A100" s="149" t="s">
        <v>1570</v>
      </c>
      <c r="B100" s="150" t="s">
        <v>1590</v>
      </c>
      <c r="C100" s="150" t="s">
        <v>1591</v>
      </c>
      <c r="D100" s="151">
        <v>0</v>
      </c>
      <c r="E100" s="152">
        <v>0</v>
      </c>
      <c r="F100" s="151">
        <v>0</v>
      </c>
      <c r="G100" s="152">
        <v>230</v>
      </c>
      <c r="H100" s="151">
        <v>0</v>
      </c>
      <c r="I100" s="152">
        <v>0</v>
      </c>
      <c r="J100" s="151">
        <v>0</v>
      </c>
      <c r="K100" s="152">
        <v>0</v>
      </c>
      <c r="L100" s="151">
        <v>3.4000000953674316</v>
      </c>
      <c r="M100" s="152">
        <v>3.4000000953674316</v>
      </c>
      <c r="N100" s="151">
        <v>0</v>
      </c>
      <c r="O100" s="152">
        <v>0</v>
      </c>
      <c r="P100" s="151">
        <v>0</v>
      </c>
      <c r="Q100" s="152">
        <v>0</v>
      </c>
      <c r="R100" s="151">
        <v>0</v>
      </c>
      <c r="S100" s="152">
        <v>0</v>
      </c>
      <c r="T100" s="151">
        <v>0</v>
      </c>
      <c r="U100" s="153">
        <v>0</v>
      </c>
      <c r="V100" t="str">
        <f>VLOOKUP(A100,'Projetos ciclo 2018-2022'!$I$8:$I$128,1,FALSE)</f>
        <v>RH00218</v>
      </c>
    </row>
    <row r="101" spans="1:22" x14ac:dyDescent="0.25">
      <c r="A101" s="21" t="s">
        <v>1199</v>
      </c>
      <c r="B101" s="154" t="s">
        <v>1200</v>
      </c>
      <c r="C101" s="154" t="s">
        <v>59</v>
      </c>
      <c r="D101" s="155">
        <v>0</v>
      </c>
      <c r="E101" s="158">
        <v>0</v>
      </c>
      <c r="F101" s="155">
        <v>0</v>
      </c>
      <c r="G101" s="158">
        <v>0</v>
      </c>
      <c r="H101" s="155">
        <v>0</v>
      </c>
      <c r="I101" s="158">
        <v>0</v>
      </c>
      <c r="J101" s="155">
        <v>0</v>
      </c>
      <c r="K101" s="158">
        <v>0</v>
      </c>
      <c r="L101" s="155">
        <v>0</v>
      </c>
      <c r="M101" s="158">
        <v>0</v>
      </c>
      <c r="N101" s="155">
        <v>0</v>
      </c>
      <c r="O101" s="158">
        <v>0</v>
      </c>
      <c r="P101" s="155">
        <v>0</v>
      </c>
      <c r="Q101" s="158">
        <v>0</v>
      </c>
      <c r="R101" s="155">
        <v>0</v>
      </c>
      <c r="S101" s="158">
        <v>0</v>
      </c>
      <c r="T101" s="155">
        <v>0</v>
      </c>
      <c r="U101" s="157">
        <v>0</v>
      </c>
      <c r="V101" t="e">
        <f>VLOOKUP(A101,'Projetos ciclo 2018-2022'!$I$8:$I$128,1,FALSE)</f>
        <v>#N/A</v>
      </c>
    </row>
    <row r="102" spans="1:22" x14ac:dyDescent="0.25">
      <c r="A102" s="149" t="s">
        <v>1194</v>
      </c>
      <c r="B102" s="150" t="s">
        <v>1195</v>
      </c>
      <c r="C102" s="150" t="s">
        <v>59</v>
      </c>
      <c r="D102" s="151">
        <v>0</v>
      </c>
      <c r="E102" s="152">
        <v>0</v>
      </c>
      <c r="F102" s="151">
        <v>0</v>
      </c>
      <c r="G102" s="152">
        <v>0</v>
      </c>
      <c r="H102" s="151">
        <v>0</v>
      </c>
      <c r="I102" s="152">
        <v>0</v>
      </c>
      <c r="J102" s="151">
        <v>0</v>
      </c>
      <c r="K102" s="152">
        <v>0</v>
      </c>
      <c r="L102" s="151">
        <v>0</v>
      </c>
      <c r="M102" s="152">
        <v>0</v>
      </c>
      <c r="N102" s="151">
        <v>0</v>
      </c>
      <c r="O102" s="152">
        <v>0</v>
      </c>
      <c r="P102" s="151">
        <v>0</v>
      </c>
      <c r="Q102" s="152">
        <v>0</v>
      </c>
      <c r="R102" s="151">
        <v>0</v>
      </c>
      <c r="S102" s="152">
        <v>0</v>
      </c>
      <c r="T102" s="151">
        <v>0</v>
      </c>
      <c r="U102" s="153">
        <v>0</v>
      </c>
      <c r="V102" t="e">
        <f>VLOOKUP(A102,'Projetos ciclo 2018-2022'!$I$8:$I$128,1,FALSE)</f>
        <v>#N/A</v>
      </c>
    </row>
    <row r="103" spans="1:22" x14ac:dyDescent="0.25">
      <c r="A103" s="21" t="s">
        <v>1297</v>
      </c>
      <c r="B103" s="154" t="s">
        <v>1298</v>
      </c>
      <c r="C103" s="154" t="s">
        <v>1299</v>
      </c>
      <c r="D103" s="155">
        <v>0</v>
      </c>
      <c r="E103" s="158">
        <v>0</v>
      </c>
      <c r="F103" s="155">
        <v>0</v>
      </c>
      <c r="G103" s="158">
        <v>0</v>
      </c>
      <c r="H103" s="155">
        <v>0</v>
      </c>
      <c r="I103" s="158">
        <v>0</v>
      </c>
      <c r="J103" s="155">
        <v>0</v>
      </c>
      <c r="K103" s="158">
        <v>0</v>
      </c>
      <c r="L103" s="155">
        <v>0</v>
      </c>
      <c r="M103" s="158">
        <v>0</v>
      </c>
      <c r="N103" s="155">
        <v>0</v>
      </c>
      <c r="O103" s="158">
        <v>0</v>
      </c>
      <c r="P103" s="155">
        <v>0</v>
      </c>
      <c r="Q103" s="158">
        <v>0</v>
      </c>
      <c r="R103" s="155">
        <v>0</v>
      </c>
      <c r="S103" s="158">
        <v>0</v>
      </c>
      <c r="T103" s="155">
        <v>0</v>
      </c>
      <c r="U103" s="157">
        <v>0</v>
      </c>
      <c r="V103" t="e">
        <f>VLOOKUP(A103,'Projetos ciclo 2018-2022'!$I$8:$I$128,1,FALSE)</f>
        <v>#N/A</v>
      </c>
    </row>
    <row r="104" spans="1:22" x14ac:dyDescent="0.25">
      <c r="A104" s="149" t="s">
        <v>1157</v>
      </c>
      <c r="B104" s="150" t="s">
        <v>1300</v>
      </c>
      <c r="C104" s="150" t="s">
        <v>1158</v>
      </c>
      <c r="D104" s="151">
        <v>0</v>
      </c>
      <c r="E104" s="152">
        <v>0</v>
      </c>
      <c r="F104" s="151">
        <v>0</v>
      </c>
      <c r="G104" s="152">
        <v>56</v>
      </c>
      <c r="H104" s="151">
        <v>0</v>
      </c>
      <c r="I104" s="152">
        <v>54.296999216079712</v>
      </c>
      <c r="J104" s="151">
        <v>0</v>
      </c>
      <c r="K104" s="152">
        <v>54.296999216079712</v>
      </c>
      <c r="L104" s="151">
        <v>0</v>
      </c>
      <c r="M104" s="152">
        <v>54.296999216079712</v>
      </c>
      <c r="N104" s="151">
        <v>0</v>
      </c>
      <c r="O104" s="152">
        <v>0</v>
      </c>
      <c r="P104" s="151">
        <v>0</v>
      </c>
      <c r="Q104" s="152">
        <v>0</v>
      </c>
      <c r="R104" s="151">
        <v>0</v>
      </c>
      <c r="S104" s="152">
        <v>0</v>
      </c>
      <c r="T104" s="151">
        <v>0</v>
      </c>
      <c r="U104" s="153">
        <v>0</v>
      </c>
      <c r="V104" t="e">
        <f>VLOOKUP(A104,'Projetos ciclo 2018-2022'!$I$8:$I$128,1,FALSE)</f>
        <v>#N/A</v>
      </c>
    </row>
    <row r="105" spans="1:22" x14ac:dyDescent="0.25">
      <c r="A105" s="21" t="s">
        <v>1196</v>
      </c>
      <c r="B105" s="154" t="s">
        <v>1197</v>
      </c>
      <c r="C105" s="154" t="s">
        <v>59</v>
      </c>
      <c r="D105" s="155">
        <v>0</v>
      </c>
      <c r="E105" s="158">
        <v>0</v>
      </c>
      <c r="F105" s="155">
        <v>0</v>
      </c>
      <c r="G105" s="158">
        <v>0</v>
      </c>
      <c r="H105" s="155">
        <v>0</v>
      </c>
      <c r="I105" s="158">
        <v>0</v>
      </c>
      <c r="J105" s="155">
        <v>0</v>
      </c>
      <c r="K105" s="158">
        <v>0</v>
      </c>
      <c r="L105" s="155">
        <v>0</v>
      </c>
      <c r="M105" s="158">
        <v>0</v>
      </c>
      <c r="N105" s="155">
        <v>0</v>
      </c>
      <c r="O105" s="158">
        <v>0</v>
      </c>
      <c r="P105" s="155">
        <v>0</v>
      </c>
      <c r="Q105" s="158">
        <v>0</v>
      </c>
      <c r="R105" s="155">
        <v>0</v>
      </c>
      <c r="S105" s="158">
        <v>0</v>
      </c>
      <c r="T105" s="155">
        <v>0</v>
      </c>
      <c r="U105" s="157">
        <v>0</v>
      </c>
      <c r="V105" t="e">
        <f>VLOOKUP(A105,'Projetos ciclo 2018-2022'!$I$8:$I$128,1,FALSE)</f>
        <v>#N/A</v>
      </c>
    </row>
    <row r="106" spans="1:22" x14ac:dyDescent="0.25">
      <c r="A106" s="149" t="s">
        <v>1161</v>
      </c>
      <c r="B106" s="150" t="s">
        <v>1301</v>
      </c>
      <c r="C106" s="150" t="s">
        <v>1302</v>
      </c>
      <c r="D106" s="151">
        <v>0</v>
      </c>
      <c r="E106" s="152">
        <v>0</v>
      </c>
      <c r="F106" s="151">
        <v>0</v>
      </c>
      <c r="G106" s="152">
        <v>9</v>
      </c>
      <c r="H106" s="151">
        <v>0</v>
      </c>
      <c r="I106" s="152">
        <v>1.7749999761581421</v>
      </c>
      <c r="J106" s="151">
        <v>0</v>
      </c>
      <c r="K106" s="152">
        <v>1.7749999761581421</v>
      </c>
      <c r="L106" s="151">
        <v>0</v>
      </c>
      <c r="M106" s="152">
        <v>1.7749999761581421</v>
      </c>
      <c r="N106" s="151">
        <v>0</v>
      </c>
      <c r="O106" s="152">
        <v>0</v>
      </c>
      <c r="P106" s="151">
        <v>0</v>
      </c>
      <c r="Q106" s="152">
        <v>0</v>
      </c>
      <c r="R106" s="151">
        <v>0</v>
      </c>
      <c r="S106" s="152">
        <v>0</v>
      </c>
      <c r="T106" s="151">
        <v>0</v>
      </c>
      <c r="U106" s="153">
        <v>0</v>
      </c>
      <c r="V106" t="e">
        <f>VLOOKUP(A106,'Projetos ciclo 2018-2022'!$I$8:$I$128,1,FALSE)</f>
        <v>#N/A</v>
      </c>
    </row>
    <row r="107" spans="1:22" x14ac:dyDescent="0.25">
      <c r="A107" s="21" t="s">
        <v>1303</v>
      </c>
      <c r="B107" s="154" t="s">
        <v>1304</v>
      </c>
      <c r="C107" s="154" t="s">
        <v>1517</v>
      </c>
      <c r="D107" s="155">
        <v>8474</v>
      </c>
      <c r="E107" s="158">
        <v>0</v>
      </c>
      <c r="F107" s="155">
        <v>6259</v>
      </c>
      <c r="G107" s="158">
        <v>0</v>
      </c>
      <c r="H107" s="155">
        <v>56</v>
      </c>
      <c r="I107" s="158">
        <v>0</v>
      </c>
      <c r="J107" s="155">
        <v>0</v>
      </c>
      <c r="K107" s="158">
        <v>0</v>
      </c>
      <c r="L107" s="155">
        <v>0</v>
      </c>
      <c r="M107" s="158">
        <v>0</v>
      </c>
      <c r="N107" s="155">
        <v>841</v>
      </c>
      <c r="O107" s="158">
        <v>1374</v>
      </c>
      <c r="P107" s="155">
        <v>0</v>
      </c>
      <c r="Q107" s="158">
        <v>0</v>
      </c>
      <c r="R107" s="155">
        <v>0</v>
      </c>
      <c r="S107" s="158">
        <v>0</v>
      </c>
      <c r="T107" s="155">
        <v>0</v>
      </c>
      <c r="U107" s="157">
        <v>0</v>
      </c>
      <c r="V107" t="e">
        <f>VLOOKUP(A107,'Projetos ciclo 2018-2022'!$I$8:$I$128,1,FALSE)</f>
        <v>#N/A</v>
      </c>
    </row>
    <row r="108" spans="1:22" x14ac:dyDescent="0.25">
      <c r="A108" s="149" t="s">
        <v>1613</v>
      </c>
      <c r="B108" s="150" t="s">
        <v>60</v>
      </c>
      <c r="C108" s="150" t="s">
        <v>1614</v>
      </c>
      <c r="D108" s="151">
        <v>0</v>
      </c>
      <c r="E108" s="152">
        <v>0</v>
      </c>
      <c r="F108" s="151">
        <v>0</v>
      </c>
      <c r="G108" s="152">
        <v>479</v>
      </c>
      <c r="H108" s="151">
        <v>0</v>
      </c>
      <c r="I108" s="152">
        <v>0</v>
      </c>
      <c r="J108" s="151">
        <v>0</v>
      </c>
      <c r="K108" s="152">
        <v>0</v>
      </c>
      <c r="L108" s="151">
        <v>48.087001800537109</v>
      </c>
      <c r="M108" s="152">
        <v>48.087001800537109</v>
      </c>
      <c r="N108" s="151">
        <v>0</v>
      </c>
      <c r="O108" s="152">
        <v>0</v>
      </c>
      <c r="P108" s="151">
        <v>0</v>
      </c>
      <c r="Q108" s="152">
        <v>0</v>
      </c>
      <c r="R108" s="151">
        <v>0</v>
      </c>
      <c r="S108" s="152">
        <v>0</v>
      </c>
      <c r="T108" s="151">
        <v>0</v>
      </c>
      <c r="U108" s="153">
        <v>0</v>
      </c>
      <c r="V108" t="str">
        <f>VLOOKUP(A108,'Projetos ciclo 2018-2022'!$I$8:$I$128,1,FALSE)</f>
        <v>GE01018</v>
      </c>
    </row>
    <row r="109" spans="1:22" x14ac:dyDescent="0.25">
      <c r="A109" s="21" t="s">
        <v>565</v>
      </c>
      <c r="B109" s="154" t="s">
        <v>1198</v>
      </c>
      <c r="C109" s="154" t="s">
        <v>59</v>
      </c>
      <c r="D109" s="155">
        <v>31977</v>
      </c>
      <c r="E109" s="158">
        <v>0</v>
      </c>
      <c r="F109" s="155">
        <v>0</v>
      </c>
      <c r="G109" s="158">
        <v>0</v>
      </c>
      <c r="H109" s="155">
        <v>0</v>
      </c>
      <c r="I109" s="158">
        <v>0</v>
      </c>
      <c r="J109" s="155">
        <v>0</v>
      </c>
      <c r="K109" s="158">
        <v>0</v>
      </c>
      <c r="L109" s="155">
        <v>0</v>
      </c>
      <c r="M109" s="158">
        <v>0</v>
      </c>
      <c r="N109" s="155">
        <v>7862</v>
      </c>
      <c r="O109" s="158">
        <v>8462</v>
      </c>
      <c r="P109" s="155">
        <v>9596</v>
      </c>
      <c r="Q109" s="158">
        <v>6057</v>
      </c>
      <c r="R109" s="155">
        <v>0</v>
      </c>
      <c r="S109" s="158">
        <v>0</v>
      </c>
      <c r="T109" s="155">
        <v>0</v>
      </c>
      <c r="U109" s="157">
        <v>0</v>
      </c>
      <c r="V109" t="str">
        <f>VLOOKUP(A109,'Projetos ciclo 2018-2022'!$I$8:$I$128,1,FALSE)</f>
        <v>NA</v>
      </c>
    </row>
    <row r="110" spans="1:22" x14ac:dyDescent="0.25">
      <c r="A110" s="149" t="s">
        <v>1518</v>
      </c>
      <c r="B110" s="150" t="s">
        <v>1519</v>
      </c>
      <c r="C110" s="150" t="s">
        <v>1520</v>
      </c>
      <c r="D110" s="151">
        <v>0</v>
      </c>
      <c r="E110" s="152">
        <v>0</v>
      </c>
      <c r="F110" s="151">
        <v>0</v>
      </c>
      <c r="G110" s="152">
        <v>513</v>
      </c>
      <c r="H110" s="151">
        <v>0</v>
      </c>
      <c r="I110" s="152">
        <v>0</v>
      </c>
      <c r="J110" s="151">
        <v>0</v>
      </c>
      <c r="K110" s="152">
        <v>0</v>
      </c>
      <c r="L110" s="151">
        <v>0</v>
      </c>
      <c r="M110" s="152">
        <v>0</v>
      </c>
      <c r="N110" s="151">
        <v>0</v>
      </c>
      <c r="O110" s="152">
        <v>0</v>
      </c>
      <c r="P110" s="151">
        <v>0</v>
      </c>
      <c r="Q110" s="152">
        <v>0</v>
      </c>
      <c r="R110" s="151">
        <v>0</v>
      </c>
      <c r="S110" s="152">
        <v>0</v>
      </c>
      <c r="T110" s="151">
        <v>0</v>
      </c>
      <c r="U110" s="153">
        <v>0</v>
      </c>
      <c r="V110" t="str">
        <f>VLOOKUP(A110,'Projetos ciclo 2018-2022'!$I$8:$I$128,1,FALSE)</f>
        <v>RH00118</v>
      </c>
    </row>
    <row r="111" spans="1:22" x14ac:dyDescent="0.25">
      <c r="A111" s="21" t="s">
        <v>1153</v>
      </c>
      <c r="B111" s="154" t="s">
        <v>472</v>
      </c>
      <c r="C111" s="154" t="s">
        <v>1306</v>
      </c>
      <c r="D111" s="155">
        <v>0</v>
      </c>
      <c r="E111" s="158">
        <v>0</v>
      </c>
      <c r="F111" s="155">
        <v>0</v>
      </c>
      <c r="G111" s="158">
        <v>250</v>
      </c>
      <c r="H111" s="155">
        <v>0</v>
      </c>
      <c r="I111" s="158">
        <v>0</v>
      </c>
      <c r="J111" s="155">
        <v>0</v>
      </c>
      <c r="K111" s="158">
        <v>0</v>
      </c>
      <c r="L111" s="155">
        <v>51.18402099609375</v>
      </c>
      <c r="M111" s="158">
        <v>51.18402099609375</v>
      </c>
      <c r="N111" s="155">
        <v>0</v>
      </c>
      <c r="O111" s="158">
        <v>0</v>
      </c>
      <c r="P111" s="155">
        <v>0</v>
      </c>
      <c r="Q111" s="158">
        <v>0</v>
      </c>
      <c r="R111" s="155">
        <v>0</v>
      </c>
      <c r="S111" s="158">
        <v>0</v>
      </c>
      <c r="T111" s="155">
        <v>0</v>
      </c>
      <c r="U111" s="157">
        <v>0</v>
      </c>
      <c r="V111" t="e">
        <f>VLOOKUP(A111,'Projetos ciclo 2018-2022'!$I$8:$I$128,1,FALSE)</f>
        <v>#N/A</v>
      </c>
    </row>
    <row r="112" spans="1:22" x14ac:dyDescent="0.25">
      <c r="A112" s="149" t="s">
        <v>1152</v>
      </c>
      <c r="B112" s="150" t="s">
        <v>1585</v>
      </c>
      <c r="C112" s="150" t="s">
        <v>1486</v>
      </c>
      <c r="D112" s="151">
        <v>0</v>
      </c>
      <c r="E112" s="152">
        <v>0</v>
      </c>
      <c r="F112" s="151">
        <v>0</v>
      </c>
      <c r="G112" s="152">
        <v>30</v>
      </c>
      <c r="H112" s="151">
        <v>0</v>
      </c>
      <c r="I112" s="152">
        <v>0</v>
      </c>
      <c r="J112" s="151">
        <v>0</v>
      </c>
      <c r="K112" s="152">
        <v>0</v>
      </c>
      <c r="L112" s="151">
        <v>0</v>
      </c>
      <c r="M112" s="152">
        <v>0</v>
      </c>
      <c r="N112" s="151">
        <v>0</v>
      </c>
      <c r="O112" s="152">
        <v>0</v>
      </c>
      <c r="P112" s="151">
        <v>0</v>
      </c>
      <c r="Q112" s="152">
        <v>0</v>
      </c>
      <c r="R112" s="151">
        <v>0</v>
      </c>
      <c r="S112" s="152">
        <v>0</v>
      </c>
      <c r="T112" s="151">
        <v>0</v>
      </c>
      <c r="U112" s="153">
        <v>0</v>
      </c>
      <c r="V112" t="e">
        <f>VLOOKUP(A112,'Projetos ciclo 2018-2022'!$I$8:$I$128,1,FALSE)</f>
        <v>#N/A</v>
      </c>
    </row>
    <row r="113" spans="1:22" x14ac:dyDescent="0.25">
      <c r="A113" s="21" t="s">
        <v>1534</v>
      </c>
      <c r="B113" s="154" t="s">
        <v>1586</v>
      </c>
      <c r="C113" s="154" t="s">
        <v>1535</v>
      </c>
      <c r="D113" s="155">
        <v>0</v>
      </c>
      <c r="E113" s="158">
        <v>0</v>
      </c>
      <c r="F113" s="155">
        <v>0</v>
      </c>
      <c r="G113" s="158">
        <v>153</v>
      </c>
      <c r="H113" s="155">
        <v>0</v>
      </c>
      <c r="I113" s="158">
        <v>0</v>
      </c>
      <c r="J113" s="155">
        <v>0</v>
      </c>
      <c r="K113" s="158">
        <v>0</v>
      </c>
      <c r="L113" s="155">
        <v>89.426961898803711</v>
      </c>
      <c r="M113" s="158">
        <v>89.426961898803711</v>
      </c>
      <c r="N113" s="155">
        <v>0</v>
      </c>
      <c r="O113" s="158">
        <v>0</v>
      </c>
      <c r="P113" s="155">
        <v>0</v>
      </c>
      <c r="Q113" s="158">
        <v>0</v>
      </c>
      <c r="R113" s="155">
        <v>0</v>
      </c>
      <c r="S113" s="158">
        <v>0</v>
      </c>
      <c r="T113" s="155">
        <v>0</v>
      </c>
      <c r="U113" s="157">
        <v>0</v>
      </c>
      <c r="V113" t="e">
        <f>VLOOKUP(A113,'Projetos ciclo 2018-2022'!$I$8:$I$128,1,FALSE)</f>
        <v>#N/A</v>
      </c>
    </row>
    <row r="114" spans="1:22" x14ac:dyDescent="0.25">
      <c r="A114" s="149" t="s">
        <v>1619</v>
      </c>
      <c r="B114" s="150" t="s">
        <v>1644</v>
      </c>
      <c r="C114" s="150" t="s">
        <v>1620</v>
      </c>
      <c r="D114" s="151">
        <v>0</v>
      </c>
      <c r="E114" s="152">
        <v>0</v>
      </c>
      <c r="F114" s="151">
        <v>0</v>
      </c>
      <c r="G114" s="152">
        <v>23</v>
      </c>
      <c r="H114" s="151">
        <v>0</v>
      </c>
      <c r="I114" s="152">
        <v>0</v>
      </c>
      <c r="J114" s="151">
        <v>0</v>
      </c>
      <c r="K114" s="152">
        <v>0</v>
      </c>
      <c r="L114" s="151">
        <v>0</v>
      </c>
      <c r="M114" s="152">
        <v>0</v>
      </c>
      <c r="N114" s="151">
        <v>0</v>
      </c>
      <c r="O114" s="152">
        <v>0</v>
      </c>
      <c r="P114" s="151">
        <v>0</v>
      </c>
      <c r="Q114" s="152">
        <v>0</v>
      </c>
      <c r="R114" s="151">
        <v>0</v>
      </c>
      <c r="S114" s="152">
        <v>0</v>
      </c>
      <c r="T114" s="151">
        <v>0</v>
      </c>
      <c r="U114" s="153">
        <v>0</v>
      </c>
      <c r="V114" t="e">
        <f>VLOOKUP(A114,'Projetos ciclo 2018-2022'!$I$8:$I$128,1,FALSE)</f>
        <v>#N/A</v>
      </c>
    </row>
    <row r="115" spans="1:22" x14ac:dyDescent="0.25">
      <c r="A115" s="21" t="s">
        <v>1657</v>
      </c>
      <c r="B115" s="154" t="s">
        <v>1659</v>
      </c>
      <c r="C115" s="154" t="s">
        <v>1658</v>
      </c>
      <c r="D115" s="155">
        <v>0</v>
      </c>
      <c r="E115" s="158">
        <v>0</v>
      </c>
      <c r="F115" s="155">
        <v>0</v>
      </c>
      <c r="G115" s="158">
        <v>0</v>
      </c>
      <c r="H115" s="155">
        <v>0</v>
      </c>
      <c r="I115" s="158">
        <v>0</v>
      </c>
      <c r="J115" s="155">
        <v>0</v>
      </c>
      <c r="K115" s="158">
        <v>0</v>
      </c>
      <c r="L115" s="155">
        <v>0</v>
      </c>
      <c r="M115" s="158">
        <v>0</v>
      </c>
      <c r="N115" s="155">
        <v>0</v>
      </c>
      <c r="O115" s="158">
        <v>0</v>
      </c>
      <c r="P115" s="155">
        <v>0</v>
      </c>
      <c r="Q115" s="158">
        <v>0</v>
      </c>
      <c r="R115" s="155">
        <v>0</v>
      </c>
      <c r="S115" s="158">
        <v>0</v>
      </c>
      <c r="T115" s="155">
        <v>0</v>
      </c>
      <c r="U115" s="157">
        <v>0</v>
      </c>
      <c r="V115" t="e">
        <f>VLOOKUP(A115,'Projetos ciclo 2018-2022'!$I$8:$I$128,1,FALSE)</f>
        <v>#N/A</v>
      </c>
    </row>
    <row r="116" spans="1:22" x14ac:dyDescent="0.25">
      <c r="A116" s="149" t="s">
        <v>1199</v>
      </c>
      <c r="B116" s="150" t="s">
        <v>1200</v>
      </c>
      <c r="C116" s="150" t="s">
        <v>59</v>
      </c>
      <c r="D116" s="151">
        <v>0.5</v>
      </c>
      <c r="E116" s="152">
        <v>0</v>
      </c>
      <c r="F116" s="151">
        <v>0</v>
      </c>
      <c r="G116" s="152">
        <v>0</v>
      </c>
      <c r="H116" s="151">
        <v>0</v>
      </c>
      <c r="I116" s="152">
        <v>0</v>
      </c>
      <c r="J116" s="151">
        <v>0</v>
      </c>
      <c r="K116" s="152">
        <v>0</v>
      </c>
      <c r="L116" s="151">
        <v>0</v>
      </c>
      <c r="M116" s="152">
        <v>0</v>
      </c>
      <c r="N116" s="151">
        <v>0</v>
      </c>
      <c r="O116" s="152">
        <v>0</v>
      </c>
      <c r="P116" s="151">
        <v>0</v>
      </c>
      <c r="Q116" s="152">
        <v>0</v>
      </c>
      <c r="R116" s="151">
        <v>0</v>
      </c>
      <c r="S116" s="152">
        <v>0</v>
      </c>
      <c r="T116" s="151">
        <v>0</v>
      </c>
      <c r="U116" s="153">
        <v>0</v>
      </c>
      <c r="V116" t="e">
        <f>VLOOKUP(A116,'Projetos ciclo 2018-2022'!$I$8:$I$128,1,FALSE)</f>
        <v>#N/A</v>
      </c>
    </row>
    <row r="117" spans="1:22" x14ac:dyDescent="0.25">
      <c r="A117" s="21" t="s">
        <v>1538</v>
      </c>
      <c r="B117" s="154" t="s">
        <v>1549</v>
      </c>
      <c r="C117" s="154" t="s">
        <v>1539</v>
      </c>
      <c r="D117" s="155">
        <v>0</v>
      </c>
      <c r="E117" s="158">
        <v>0</v>
      </c>
      <c r="F117" s="155">
        <v>0</v>
      </c>
      <c r="G117" s="158">
        <v>20</v>
      </c>
      <c r="H117" s="155">
        <v>0</v>
      </c>
      <c r="I117" s="158">
        <v>0</v>
      </c>
      <c r="J117" s="155">
        <v>0</v>
      </c>
      <c r="K117" s="158">
        <v>0</v>
      </c>
      <c r="L117" s="155">
        <v>10.010999917984009</v>
      </c>
      <c r="M117" s="158">
        <v>10.010999917984009</v>
      </c>
      <c r="N117" s="155">
        <v>0</v>
      </c>
      <c r="O117" s="158">
        <v>0</v>
      </c>
      <c r="P117" s="155">
        <v>0</v>
      </c>
      <c r="Q117" s="158">
        <v>0</v>
      </c>
      <c r="R117" s="155">
        <v>0</v>
      </c>
      <c r="S117" s="158">
        <v>0</v>
      </c>
      <c r="T117" s="155">
        <v>0</v>
      </c>
      <c r="U117" s="157">
        <v>0</v>
      </c>
      <c r="V117" t="e">
        <f>VLOOKUP(A117,'Projetos ciclo 2018-2022'!$I$8:$I$128,1,FALSE)</f>
        <v>#N/A</v>
      </c>
    </row>
    <row r="118" spans="1:22" x14ac:dyDescent="0.25">
      <c r="A118" s="149" t="s">
        <v>1194</v>
      </c>
      <c r="B118" s="150" t="s">
        <v>1307</v>
      </c>
      <c r="C118" s="150" t="s">
        <v>59</v>
      </c>
      <c r="D118" s="151">
        <v>0</v>
      </c>
      <c r="E118" s="152">
        <v>0</v>
      </c>
      <c r="F118" s="151">
        <v>0</v>
      </c>
      <c r="G118" s="152">
        <v>0</v>
      </c>
      <c r="H118" s="151">
        <v>0</v>
      </c>
      <c r="I118" s="152">
        <v>0</v>
      </c>
      <c r="J118" s="151">
        <v>0</v>
      </c>
      <c r="K118" s="152">
        <v>0</v>
      </c>
      <c r="L118" s="151">
        <v>0</v>
      </c>
      <c r="M118" s="152">
        <v>0</v>
      </c>
      <c r="N118" s="151">
        <v>0</v>
      </c>
      <c r="O118" s="152">
        <v>0</v>
      </c>
      <c r="P118" s="151">
        <v>0</v>
      </c>
      <c r="Q118" s="152">
        <v>0</v>
      </c>
      <c r="R118" s="151">
        <v>0</v>
      </c>
      <c r="S118" s="152">
        <v>0</v>
      </c>
      <c r="T118" s="151">
        <v>0</v>
      </c>
      <c r="U118" s="153">
        <v>0</v>
      </c>
      <c r="V118" t="e">
        <f>VLOOKUP(A118,'Projetos ciclo 2018-2022'!$I$8:$I$128,1,FALSE)</f>
        <v>#N/A</v>
      </c>
    </row>
    <row r="119" spans="1:22" x14ac:dyDescent="0.25">
      <c r="A119" s="21" t="s">
        <v>1196</v>
      </c>
      <c r="B119" s="154" t="s">
        <v>1197</v>
      </c>
      <c r="C119" s="154" t="s">
        <v>59</v>
      </c>
      <c r="D119" s="155">
        <v>0</v>
      </c>
      <c r="E119" s="158">
        <v>0</v>
      </c>
      <c r="F119" s="155">
        <v>0</v>
      </c>
      <c r="G119" s="158">
        <v>0</v>
      </c>
      <c r="H119" s="155">
        <v>0</v>
      </c>
      <c r="I119" s="158">
        <v>0</v>
      </c>
      <c r="J119" s="155">
        <v>0</v>
      </c>
      <c r="K119" s="158">
        <v>0</v>
      </c>
      <c r="L119" s="155">
        <v>0</v>
      </c>
      <c r="M119" s="158">
        <v>0</v>
      </c>
      <c r="N119" s="155">
        <v>0</v>
      </c>
      <c r="O119" s="158">
        <v>0</v>
      </c>
      <c r="P119" s="155">
        <v>0</v>
      </c>
      <c r="Q119" s="158">
        <v>0</v>
      </c>
      <c r="R119" s="155">
        <v>0</v>
      </c>
      <c r="S119" s="158">
        <v>0</v>
      </c>
      <c r="T119" s="155">
        <v>0</v>
      </c>
      <c r="U119" s="157">
        <v>0</v>
      </c>
      <c r="V119" t="e">
        <f>VLOOKUP(A119,'Projetos ciclo 2018-2022'!$I$8:$I$128,1,FALSE)</f>
        <v>#N/A</v>
      </c>
    </row>
    <row r="120" spans="1:22" x14ac:dyDescent="0.25">
      <c r="A120" s="149" t="s">
        <v>565</v>
      </c>
      <c r="B120" s="150" t="s">
        <v>1198</v>
      </c>
      <c r="C120" s="150" t="s">
        <v>59</v>
      </c>
      <c r="D120" s="151">
        <v>0</v>
      </c>
      <c r="E120" s="152">
        <v>0</v>
      </c>
      <c r="F120" s="151">
        <v>0</v>
      </c>
      <c r="G120" s="152">
        <v>0</v>
      </c>
      <c r="H120" s="151">
        <v>0</v>
      </c>
      <c r="I120" s="152">
        <v>0</v>
      </c>
      <c r="J120" s="151">
        <v>0</v>
      </c>
      <c r="K120" s="152">
        <v>0</v>
      </c>
      <c r="L120" s="151">
        <v>0</v>
      </c>
      <c r="M120" s="152">
        <v>0</v>
      </c>
      <c r="N120" s="151">
        <v>0</v>
      </c>
      <c r="O120" s="152">
        <v>0</v>
      </c>
      <c r="P120" s="151">
        <v>0</v>
      </c>
      <c r="Q120" s="152">
        <v>0</v>
      </c>
      <c r="R120" s="151">
        <v>0</v>
      </c>
      <c r="S120" s="152">
        <v>0</v>
      </c>
      <c r="T120" s="151">
        <v>0</v>
      </c>
      <c r="U120" s="153">
        <v>0</v>
      </c>
      <c r="V120" t="str">
        <f>VLOOKUP(A120,'Projetos ciclo 2018-2022'!$I$8:$I$128,1,FALSE)</f>
        <v>NA</v>
      </c>
    </row>
    <row r="121" spans="1:22" x14ac:dyDescent="0.25">
      <c r="A121" s="21" t="s">
        <v>1199</v>
      </c>
      <c r="B121" s="154" t="s">
        <v>1200</v>
      </c>
      <c r="C121" s="154" t="s">
        <v>59</v>
      </c>
      <c r="D121" s="155">
        <v>-1</v>
      </c>
      <c r="E121" s="158">
        <v>0</v>
      </c>
      <c r="F121" s="155">
        <v>0</v>
      </c>
      <c r="G121" s="158">
        <v>0</v>
      </c>
      <c r="H121" s="155">
        <v>0</v>
      </c>
      <c r="I121" s="158">
        <v>0</v>
      </c>
      <c r="J121" s="155">
        <v>0</v>
      </c>
      <c r="K121" s="158">
        <v>0</v>
      </c>
      <c r="L121" s="155">
        <v>0</v>
      </c>
      <c r="M121" s="158">
        <v>0</v>
      </c>
      <c r="N121" s="155">
        <v>0</v>
      </c>
      <c r="O121" s="158">
        <v>0</v>
      </c>
      <c r="P121" s="155">
        <v>0</v>
      </c>
      <c r="Q121" s="158">
        <v>0</v>
      </c>
      <c r="R121" s="155">
        <v>0</v>
      </c>
      <c r="S121" s="158">
        <v>0</v>
      </c>
      <c r="T121" s="155">
        <v>0</v>
      </c>
      <c r="U121" s="157">
        <v>0</v>
      </c>
      <c r="V121" t="e">
        <f>VLOOKUP(A121,'Projetos ciclo 2018-2022'!$I$8:$I$128,1,FALSE)</f>
        <v>#N/A</v>
      </c>
    </row>
    <row r="122" spans="1:22" x14ac:dyDescent="0.25">
      <c r="A122" s="149" t="s">
        <v>1308</v>
      </c>
      <c r="B122" s="150" t="s">
        <v>1309</v>
      </c>
      <c r="C122" s="150" t="s">
        <v>1310</v>
      </c>
      <c r="D122" s="151">
        <v>34563</v>
      </c>
      <c r="E122" s="152">
        <v>0</v>
      </c>
      <c r="F122" s="151">
        <v>4112</v>
      </c>
      <c r="G122" s="152">
        <v>0</v>
      </c>
      <c r="H122" s="151">
        <v>0</v>
      </c>
      <c r="I122" s="152">
        <v>0</v>
      </c>
      <c r="J122" s="151">
        <v>0</v>
      </c>
      <c r="K122" s="152">
        <v>0</v>
      </c>
      <c r="L122" s="151">
        <v>0</v>
      </c>
      <c r="M122" s="152">
        <v>0</v>
      </c>
      <c r="N122" s="151">
        <v>5203</v>
      </c>
      <c r="O122" s="152">
        <v>8313</v>
      </c>
      <c r="P122" s="151">
        <v>9847</v>
      </c>
      <c r="Q122" s="152">
        <v>7088</v>
      </c>
      <c r="R122" s="151">
        <v>0</v>
      </c>
      <c r="S122" s="152">
        <v>0</v>
      </c>
      <c r="T122" s="151">
        <v>0</v>
      </c>
      <c r="U122" s="153">
        <v>0</v>
      </c>
      <c r="V122" t="e">
        <f>VLOOKUP(A122,'Projetos ciclo 2018-2022'!$I$8:$I$128,1,FALSE)</f>
        <v>#N/A</v>
      </c>
    </row>
    <row r="123" spans="1:22" x14ac:dyDescent="0.25">
      <c r="A123" s="21" t="s">
        <v>1192</v>
      </c>
      <c r="B123" s="154" t="s">
        <v>1311</v>
      </c>
      <c r="C123" s="154" t="s">
        <v>1193</v>
      </c>
      <c r="D123" s="155">
        <v>0</v>
      </c>
      <c r="E123" s="158">
        <v>0</v>
      </c>
      <c r="F123" s="155">
        <v>0</v>
      </c>
      <c r="G123" s="158">
        <v>367</v>
      </c>
      <c r="H123" s="155">
        <v>0</v>
      </c>
      <c r="I123" s="158">
        <v>0</v>
      </c>
      <c r="J123" s="155">
        <v>0</v>
      </c>
      <c r="K123" s="158">
        <v>0</v>
      </c>
      <c r="L123" s="155">
        <v>356.9999942779541</v>
      </c>
      <c r="M123" s="158">
        <v>356.9999942779541</v>
      </c>
      <c r="N123" s="155">
        <v>0</v>
      </c>
      <c r="O123" s="158">
        <v>0</v>
      </c>
      <c r="P123" s="155">
        <v>0</v>
      </c>
      <c r="Q123" s="158">
        <v>0</v>
      </c>
      <c r="R123" s="155">
        <v>0</v>
      </c>
      <c r="S123" s="158">
        <v>0</v>
      </c>
      <c r="T123" s="155">
        <v>0</v>
      </c>
      <c r="U123" s="157">
        <v>0</v>
      </c>
      <c r="V123" t="e">
        <f>VLOOKUP(A123,'Projetos ciclo 2018-2022'!$I$8:$I$128,1,FALSE)</f>
        <v>#N/A</v>
      </c>
    </row>
    <row r="124" spans="1:22" x14ac:dyDescent="0.25">
      <c r="A124" s="149" t="s">
        <v>1312</v>
      </c>
      <c r="B124" s="150" t="s">
        <v>1313</v>
      </c>
      <c r="C124" s="150" t="s">
        <v>1314</v>
      </c>
      <c r="D124" s="151">
        <v>0</v>
      </c>
      <c r="E124" s="152">
        <v>0</v>
      </c>
      <c r="F124" s="151">
        <v>0</v>
      </c>
      <c r="G124" s="152">
        <v>108</v>
      </c>
      <c r="H124" s="151">
        <v>0</v>
      </c>
      <c r="I124" s="152">
        <v>0</v>
      </c>
      <c r="J124" s="151">
        <v>0</v>
      </c>
      <c r="K124" s="152">
        <v>0</v>
      </c>
      <c r="L124" s="151">
        <v>22.19502067565918</v>
      </c>
      <c r="M124" s="152">
        <v>22.19502067565918</v>
      </c>
      <c r="N124" s="151">
        <v>0</v>
      </c>
      <c r="O124" s="152">
        <v>0</v>
      </c>
      <c r="P124" s="151">
        <v>0</v>
      </c>
      <c r="Q124" s="152">
        <v>0</v>
      </c>
      <c r="R124" s="151">
        <v>0</v>
      </c>
      <c r="S124" s="152">
        <v>0</v>
      </c>
      <c r="T124" s="151">
        <v>0</v>
      </c>
      <c r="U124" s="153">
        <v>0</v>
      </c>
      <c r="V124" t="e">
        <f>VLOOKUP(A124,'Projetos ciclo 2018-2022'!$I$8:$I$128,1,FALSE)</f>
        <v>#N/A</v>
      </c>
    </row>
    <row r="125" spans="1:22" x14ac:dyDescent="0.25">
      <c r="A125" s="21" t="s">
        <v>1521</v>
      </c>
      <c r="B125" s="154" t="s">
        <v>1000</v>
      </c>
      <c r="C125" s="154" t="s">
        <v>1522</v>
      </c>
      <c r="D125" s="155">
        <v>0</v>
      </c>
      <c r="E125" s="158">
        <v>0</v>
      </c>
      <c r="F125" s="155">
        <v>0</v>
      </c>
      <c r="G125" s="158">
        <v>200</v>
      </c>
      <c r="H125" s="155">
        <v>0</v>
      </c>
      <c r="I125" s="158">
        <v>0</v>
      </c>
      <c r="J125" s="155">
        <v>0</v>
      </c>
      <c r="K125" s="158">
        <v>0</v>
      </c>
      <c r="L125" s="155">
        <v>0</v>
      </c>
      <c r="M125" s="158">
        <v>0</v>
      </c>
      <c r="N125" s="155">
        <v>0</v>
      </c>
      <c r="O125" s="158">
        <v>0</v>
      </c>
      <c r="P125" s="155">
        <v>0</v>
      </c>
      <c r="Q125" s="158">
        <v>0</v>
      </c>
      <c r="R125" s="155">
        <v>0</v>
      </c>
      <c r="S125" s="158">
        <v>0</v>
      </c>
      <c r="T125" s="155">
        <v>0</v>
      </c>
      <c r="U125" s="157">
        <v>0</v>
      </c>
      <c r="V125" t="e">
        <f>VLOOKUP(A125,'Projetos ciclo 2018-2022'!$I$8:$I$128,1,FALSE)</f>
        <v>#N/A</v>
      </c>
    </row>
    <row r="126" spans="1:22" x14ac:dyDescent="0.25">
      <c r="A126" s="149" t="s">
        <v>1668</v>
      </c>
      <c r="B126" s="150" t="s">
        <v>745</v>
      </c>
      <c r="C126" s="150" t="s">
        <v>1669</v>
      </c>
      <c r="D126" s="151">
        <v>0</v>
      </c>
      <c r="E126" s="152">
        <v>0</v>
      </c>
      <c r="F126" s="151">
        <v>0</v>
      </c>
      <c r="G126" s="152">
        <v>2925</v>
      </c>
      <c r="H126" s="151">
        <v>0</v>
      </c>
      <c r="I126" s="152">
        <v>0</v>
      </c>
      <c r="J126" s="151">
        <v>0</v>
      </c>
      <c r="K126" s="152">
        <v>0</v>
      </c>
      <c r="L126" s="151">
        <v>0</v>
      </c>
      <c r="M126" s="152">
        <v>0</v>
      </c>
      <c r="N126" s="151">
        <v>0</v>
      </c>
      <c r="O126" s="152">
        <v>0</v>
      </c>
      <c r="P126" s="151">
        <v>0</v>
      </c>
      <c r="Q126" s="152">
        <v>0</v>
      </c>
      <c r="R126" s="151">
        <v>0</v>
      </c>
      <c r="S126" s="152">
        <v>0</v>
      </c>
      <c r="T126" s="151">
        <v>0</v>
      </c>
      <c r="U126" s="153">
        <v>0</v>
      </c>
      <c r="V126" t="e">
        <f>VLOOKUP(A126,'Projetos ciclo 2018-2022'!$I$8:$I$128,1,FALSE)</f>
        <v>#N/A</v>
      </c>
    </row>
    <row r="127" spans="1:22" x14ac:dyDescent="0.25">
      <c r="A127" s="21" t="s">
        <v>1194</v>
      </c>
      <c r="B127" s="154" t="s">
        <v>1315</v>
      </c>
      <c r="C127" s="154" t="s">
        <v>59</v>
      </c>
      <c r="D127" s="155">
        <v>0</v>
      </c>
      <c r="E127" s="158">
        <v>0</v>
      </c>
      <c r="F127" s="155">
        <v>0</v>
      </c>
      <c r="G127" s="158">
        <v>0</v>
      </c>
      <c r="H127" s="155">
        <v>0</v>
      </c>
      <c r="I127" s="158">
        <v>0</v>
      </c>
      <c r="J127" s="155">
        <v>0</v>
      </c>
      <c r="K127" s="158">
        <v>0</v>
      </c>
      <c r="L127" s="155">
        <v>0</v>
      </c>
      <c r="M127" s="158">
        <v>0</v>
      </c>
      <c r="N127" s="155">
        <v>0</v>
      </c>
      <c r="O127" s="158">
        <v>0</v>
      </c>
      <c r="P127" s="155">
        <v>0</v>
      </c>
      <c r="Q127" s="158">
        <v>0</v>
      </c>
      <c r="R127" s="155">
        <v>0</v>
      </c>
      <c r="S127" s="158">
        <v>0</v>
      </c>
      <c r="T127" s="155">
        <v>0</v>
      </c>
      <c r="U127" s="157">
        <v>0</v>
      </c>
      <c r="V127" t="e">
        <f>VLOOKUP(A127,'Projetos ciclo 2018-2022'!$I$8:$I$128,1,FALSE)</f>
        <v>#N/A</v>
      </c>
    </row>
    <row r="128" spans="1:22" x14ac:dyDescent="0.25">
      <c r="A128" s="149" t="s">
        <v>1196</v>
      </c>
      <c r="B128" s="150" t="s">
        <v>1197</v>
      </c>
      <c r="C128" s="150" t="s">
        <v>59</v>
      </c>
      <c r="D128" s="151">
        <v>0</v>
      </c>
      <c r="E128" s="152">
        <v>0</v>
      </c>
      <c r="F128" s="151">
        <v>0</v>
      </c>
      <c r="G128" s="152">
        <v>0</v>
      </c>
      <c r="H128" s="151">
        <v>0</v>
      </c>
      <c r="I128" s="152">
        <v>0</v>
      </c>
      <c r="J128" s="151">
        <v>0</v>
      </c>
      <c r="K128" s="152">
        <v>0</v>
      </c>
      <c r="L128" s="151">
        <v>0</v>
      </c>
      <c r="M128" s="152">
        <v>0</v>
      </c>
      <c r="N128" s="151">
        <v>0</v>
      </c>
      <c r="O128" s="152">
        <v>0</v>
      </c>
      <c r="P128" s="151">
        <v>0</v>
      </c>
      <c r="Q128" s="152">
        <v>0</v>
      </c>
      <c r="R128" s="151">
        <v>0</v>
      </c>
      <c r="S128" s="152">
        <v>0</v>
      </c>
      <c r="T128" s="151">
        <v>0</v>
      </c>
      <c r="U128" s="153">
        <v>0</v>
      </c>
      <c r="V128" t="e">
        <f>VLOOKUP(A128,'Projetos ciclo 2018-2022'!$I$8:$I$128,1,FALSE)</f>
        <v>#N/A</v>
      </c>
    </row>
    <row r="129" spans="1:22" x14ac:dyDescent="0.25">
      <c r="A129" s="21" t="s">
        <v>565</v>
      </c>
      <c r="B129" s="154" t="s">
        <v>1316</v>
      </c>
      <c r="C129" s="154" t="s">
        <v>59</v>
      </c>
      <c r="D129" s="155">
        <v>0</v>
      </c>
      <c r="E129" s="158">
        <v>0</v>
      </c>
      <c r="F129" s="155">
        <v>0</v>
      </c>
      <c r="G129" s="158">
        <v>0</v>
      </c>
      <c r="H129" s="155">
        <v>0</v>
      </c>
      <c r="I129" s="158">
        <v>0</v>
      </c>
      <c r="J129" s="155">
        <v>0</v>
      </c>
      <c r="K129" s="158">
        <v>0</v>
      </c>
      <c r="L129" s="155">
        <v>0</v>
      </c>
      <c r="M129" s="158">
        <v>0</v>
      </c>
      <c r="N129" s="155">
        <v>0</v>
      </c>
      <c r="O129" s="158">
        <v>0</v>
      </c>
      <c r="P129" s="155">
        <v>0</v>
      </c>
      <c r="Q129" s="158">
        <v>0</v>
      </c>
      <c r="R129" s="155">
        <v>0</v>
      </c>
      <c r="S129" s="158">
        <v>0</v>
      </c>
      <c r="T129" s="155">
        <v>0</v>
      </c>
      <c r="U129" s="157">
        <v>0</v>
      </c>
      <c r="V129" t="str">
        <f>VLOOKUP(A129,'Projetos ciclo 2018-2022'!$I$8:$I$128,1,FALSE)</f>
        <v>NA</v>
      </c>
    </row>
    <row r="130" spans="1:22" x14ac:dyDescent="0.25">
      <c r="A130" s="149" t="s">
        <v>1199</v>
      </c>
      <c r="B130" s="150" t="s">
        <v>1200</v>
      </c>
      <c r="C130" s="150" t="s">
        <v>59</v>
      </c>
      <c r="D130" s="151">
        <v>0</v>
      </c>
      <c r="E130" s="152">
        <v>0</v>
      </c>
      <c r="F130" s="151">
        <v>0</v>
      </c>
      <c r="G130" s="152">
        <v>0</v>
      </c>
      <c r="H130" s="151">
        <v>0</v>
      </c>
      <c r="I130" s="152">
        <v>0</v>
      </c>
      <c r="J130" s="151">
        <v>0</v>
      </c>
      <c r="K130" s="152">
        <v>0</v>
      </c>
      <c r="L130" s="151">
        <v>0</v>
      </c>
      <c r="M130" s="152">
        <v>0</v>
      </c>
      <c r="N130" s="151">
        <v>0</v>
      </c>
      <c r="O130" s="152">
        <v>0</v>
      </c>
      <c r="P130" s="151">
        <v>0</v>
      </c>
      <c r="Q130" s="152">
        <v>0</v>
      </c>
      <c r="R130" s="151">
        <v>0</v>
      </c>
      <c r="S130" s="152">
        <v>0</v>
      </c>
      <c r="T130" s="151">
        <v>0</v>
      </c>
      <c r="U130" s="153">
        <v>0</v>
      </c>
      <c r="V130" t="e">
        <f>VLOOKUP(A130,'Projetos ciclo 2018-2022'!$I$8:$I$128,1,FALSE)</f>
        <v>#N/A</v>
      </c>
    </row>
    <row r="131" spans="1:22" x14ac:dyDescent="0.25">
      <c r="A131" s="21" t="s">
        <v>1317</v>
      </c>
      <c r="B131" s="154" t="s">
        <v>1318</v>
      </c>
      <c r="C131" s="154" t="s">
        <v>1319</v>
      </c>
      <c r="D131" s="155">
        <v>25864</v>
      </c>
      <c r="E131" s="158">
        <v>0</v>
      </c>
      <c r="F131" s="155">
        <v>4684</v>
      </c>
      <c r="G131" s="158">
        <v>0</v>
      </c>
      <c r="H131" s="155">
        <v>0</v>
      </c>
      <c r="I131" s="158">
        <v>0</v>
      </c>
      <c r="J131" s="155">
        <v>0</v>
      </c>
      <c r="K131" s="158">
        <v>0</v>
      </c>
      <c r="L131" s="155">
        <v>0</v>
      </c>
      <c r="M131" s="158">
        <v>0</v>
      </c>
      <c r="N131" s="155">
        <v>15470</v>
      </c>
      <c r="O131" s="158">
        <v>2660</v>
      </c>
      <c r="P131" s="155">
        <v>390</v>
      </c>
      <c r="Q131" s="158">
        <v>2660</v>
      </c>
      <c r="R131" s="155">
        <v>0</v>
      </c>
      <c r="S131" s="158">
        <v>0</v>
      </c>
      <c r="T131" s="155">
        <v>0</v>
      </c>
      <c r="U131" s="157">
        <v>0</v>
      </c>
      <c r="V131" t="e">
        <f>VLOOKUP(A131,'Projetos ciclo 2018-2022'!$I$8:$I$128,1,FALSE)</f>
        <v>#N/A</v>
      </c>
    </row>
    <row r="132" spans="1:22" x14ac:dyDescent="0.25">
      <c r="A132" s="149" t="s">
        <v>711</v>
      </c>
      <c r="B132" s="150" t="s">
        <v>1320</v>
      </c>
      <c r="C132" s="150" t="s">
        <v>1321</v>
      </c>
      <c r="D132" s="151">
        <v>0</v>
      </c>
      <c r="E132" s="152">
        <v>0</v>
      </c>
      <c r="F132" s="151">
        <v>0</v>
      </c>
      <c r="G132" s="152">
        <v>280</v>
      </c>
      <c r="H132" s="151">
        <v>0</v>
      </c>
      <c r="I132" s="152">
        <v>0</v>
      </c>
      <c r="J132" s="151">
        <v>0</v>
      </c>
      <c r="K132" s="152">
        <v>0</v>
      </c>
      <c r="L132" s="151">
        <v>280</v>
      </c>
      <c r="M132" s="152">
        <v>280</v>
      </c>
      <c r="N132" s="151">
        <v>0</v>
      </c>
      <c r="O132" s="152">
        <v>0</v>
      </c>
      <c r="P132" s="151">
        <v>0</v>
      </c>
      <c r="Q132" s="152">
        <v>0</v>
      </c>
      <c r="R132" s="151">
        <v>0</v>
      </c>
      <c r="S132" s="152">
        <v>0</v>
      </c>
      <c r="T132" s="151">
        <v>0</v>
      </c>
      <c r="U132" s="153">
        <v>0</v>
      </c>
      <c r="V132" t="e">
        <f>VLOOKUP(A132,'Projetos ciclo 2018-2022'!$I$8:$I$128,1,FALSE)</f>
        <v>#N/A</v>
      </c>
    </row>
    <row r="133" spans="1:22" x14ac:dyDescent="0.25">
      <c r="A133" s="21" t="s">
        <v>1462</v>
      </c>
      <c r="B133" s="154" t="s">
        <v>1463</v>
      </c>
      <c r="C133" s="154" t="s">
        <v>1464</v>
      </c>
      <c r="D133" s="155">
        <v>0</v>
      </c>
      <c r="E133" s="158">
        <v>0</v>
      </c>
      <c r="F133" s="155">
        <v>0</v>
      </c>
      <c r="G133" s="158">
        <v>4184</v>
      </c>
      <c r="H133" s="155">
        <v>0</v>
      </c>
      <c r="I133" s="158">
        <v>0</v>
      </c>
      <c r="J133" s="155">
        <v>0</v>
      </c>
      <c r="K133" s="158">
        <v>0</v>
      </c>
      <c r="L133" s="155">
        <v>4157.25</v>
      </c>
      <c r="M133" s="158">
        <v>4157.25</v>
      </c>
      <c r="N133" s="155">
        <v>0</v>
      </c>
      <c r="O133" s="158">
        <v>0</v>
      </c>
      <c r="P133" s="155">
        <v>0</v>
      </c>
      <c r="Q133" s="158">
        <v>0</v>
      </c>
      <c r="R133" s="155">
        <v>0</v>
      </c>
      <c r="S133" s="158">
        <v>0</v>
      </c>
      <c r="T133" s="155">
        <v>0</v>
      </c>
      <c r="U133" s="157">
        <v>0</v>
      </c>
      <c r="V133" t="e">
        <f>VLOOKUP(A133,'Projetos ciclo 2018-2022'!$I$8:$I$128,1,FALSE)</f>
        <v>#N/A</v>
      </c>
    </row>
    <row r="134" spans="1:22" x14ac:dyDescent="0.25">
      <c r="A134" s="149" t="s">
        <v>1523</v>
      </c>
      <c r="B134" s="150" t="s">
        <v>1524</v>
      </c>
      <c r="C134" s="150" t="s">
        <v>1525</v>
      </c>
      <c r="D134" s="151">
        <v>0</v>
      </c>
      <c r="E134" s="152">
        <v>0</v>
      </c>
      <c r="F134" s="151">
        <v>0</v>
      </c>
      <c r="G134" s="152">
        <v>55</v>
      </c>
      <c r="H134" s="151">
        <v>0</v>
      </c>
      <c r="I134" s="152">
        <v>16.69773006439209</v>
      </c>
      <c r="J134" s="151">
        <v>0</v>
      </c>
      <c r="K134" s="152">
        <v>16.69773006439209</v>
      </c>
      <c r="L134" s="151">
        <v>35.170589447021484</v>
      </c>
      <c r="M134" s="152">
        <v>51.868319511413574</v>
      </c>
      <c r="N134" s="151">
        <v>0</v>
      </c>
      <c r="O134" s="152">
        <v>0</v>
      </c>
      <c r="P134" s="151">
        <v>0</v>
      </c>
      <c r="Q134" s="152">
        <v>0</v>
      </c>
      <c r="R134" s="151">
        <v>0</v>
      </c>
      <c r="S134" s="152">
        <v>0</v>
      </c>
      <c r="T134" s="151">
        <v>0</v>
      </c>
      <c r="U134" s="153">
        <v>0</v>
      </c>
      <c r="V134" t="e">
        <f>VLOOKUP(A134,'Projetos ciclo 2018-2022'!$I$8:$I$128,1,FALSE)</f>
        <v>#N/A</v>
      </c>
    </row>
    <row r="135" spans="1:22" x14ac:dyDescent="0.25">
      <c r="A135" s="21" t="s">
        <v>1194</v>
      </c>
      <c r="B135" s="154" t="s">
        <v>1322</v>
      </c>
      <c r="C135" s="154" t="s">
        <v>59</v>
      </c>
      <c r="D135" s="155">
        <v>0</v>
      </c>
      <c r="E135" s="158">
        <v>0</v>
      </c>
      <c r="F135" s="155">
        <v>0</v>
      </c>
      <c r="G135" s="158">
        <v>0</v>
      </c>
      <c r="H135" s="155">
        <v>0</v>
      </c>
      <c r="I135" s="158">
        <v>0</v>
      </c>
      <c r="J135" s="155">
        <v>0</v>
      </c>
      <c r="K135" s="158">
        <v>0</v>
      </c>
      <c r="L135" s="155">
        <v>0</v>
      </c>
      <c r="M135" s="158">
        <v>0</v>
      </c>
      <c r="N135" s="155">
        <v>0</v>
      </c>
      <c r="O135" s="158">
        <v>0</v>
      </c>
      <c r="P135" s="155">
        <v>0</v>
      </c>
      <c r="Q135" s="158">
        <v>0</v>
      </c>
      <c r="R135" s="155">
        <v>0</v>
      </c>
      <c r="S135" s="158">
        <v>0</v>
      </c>
      <c r="T135" s="155">
        <v>0</v>
      </c>
      <c r="U135" s="157">
        <v>0</v>
      </c>
      <c r="V135" t="e">
        <f>VLOOKUP(A135,'Projetos ciclo 2018-2022'!$I$8:$I$128,1,FALSE)</f>
        <v>#N/A</v>
      </c>
    </row>
    <row r="136" spans="1:22" x14ac:dyDescent="0.25">
      <c r="A136" s="149" t="s">
        <v>1196</v>
      </c>
      <c r="B136" s="150" t="s">
        <v>1197</v>
      </c>
      <c r="C136" s="150" t="s">
        <v>59</v>
      </c>
      <c r="D136" s="151">
        <v>0</v>
      </c>
      <c r="E136" s="152">
        <v>0</v>
      </c>
      <c r="F136" s="151">
        <v>0</v>
      </c>
      <c r="G136" s="152">
        <v>0</v>
      </c>
      <c r="H136" s="151">
        <v>0</v>
      </c>
      <c r="I136" s="152">
        <v>0</v>
      </c>
      <c r="J136" s="151">
        <v>0</v>
      </c>
      <c r="K136" s="152">
        <v>0</v>
      </c>
      <c r="L136" s="151">
        <v>0</v>
      </c>
      <c r="M136" s="152">
        <v>0</v>
      </c>
      <c r="N136" s="151">
        <v>0</v>
      </c>
      <c r="O136" s="152">
        <v>0</v>
      </c>
      <c r="P136" s="151">
        <v>0</v>
      </c>
      <c r="Q136" s="152">
        <v>0</v>
      </c>
      <c r="R136" s="151">
        <v>0</v>
      </c>
      <c r="S136" s="152">
        <v>0</v>
      </c>
      <c r="T136" s="151">
        <v>0</v>
      </c>
      <c r="U136" s="153">
        <v>0</v>
      </c>
      <c r="V136" t="e">
        <f>VLOOKUP(A136,'Projetos ciclo 2018-2022'!$I$8:$I$128,1,FALSE)</f>
        <v>#N/A</v>
      </c>
    </row>
    <row r="137" spans="1:22" x14ac:dyDescent="0.25">
      <c r="A137" s="21" t="s">
        <v>565</v>
      </c>
      <c r="B137" s="154" t="s">
        <v>1323</v>
      </c>
      <c r="C137" s="154" t="s">
        <v>59</v>
      </c>
      <c r="D137" s="155">
        <v>134891</v>
      </c>
      <c r="E137" s="158">
        <v>0</v>
      </c>
      <c r="F137" s="155">
        <v>0</v>
      </c>
      <c r="G137" s="158">
        <v>0</v>
      </c>
      <c r="H137" s="155">
        <v>0</v>
      </c>
      <c r="I137" s="158">
        <v>0</v>
      </c>
      <c r="J137" s="155">
        <v>0</v>
      </c>
      <c r="K137" s="158">
        <v>0</v>
      </c>
      <c r="L137" s="155">
        <v>0</v>
      </c>
      <c r="M137" s="158">
        <v>0</v>
      </c>
      <c r="N137" s="155">
        <v>43164</v>
      </c>
      <c r="O137" s="158">
        <v>45931</v>
      </c>
      <c r="P137" s="155">
        <v>19449</v>
      </c>
      <c r="Q137" s="158">
        <v>26347</v>
      </c>
      <c r="R137" s="155">
        <v>0</v>
      </c>
      <c r="S137" s="158">
        <v>0</v>
      </c>
      <c r="T137" s="155">
        <v>0</v>
      </c>
      <c r="U137" s="157">
        <v>0</v>
      </c>
      <c r="V137" t="str">
        <f>VLOOKUP(A137,'Projetos ciclo 2018-2022'!$I$8:$I$128,1,FALSE)</f>
        <v>NA</v>
      </c>
    </row>
    <row r="138" spans="1:22" x14ac:dyDescent="0.25">
      <c r="A138" s="149" t="s">
        <v>1199</v>
      </c>
      <c r="B138" s="150" t="s">
        <v>1200</v>
      </c>
      <c r="C138" s="150" t="s">
        <v>59</v>
      </c>
      <c r="D138" s="151">
        <v>0</v>
      </c>
      <c r="E138" s="152">
        <v>0</v>
      </c>
      <c r="F138" s="151">
        <v>0</v>
      </c>
      <c r="G138" s="152">
        <v>0</v>
      </c>
      <c r="H138" s="151">
        <v>0</v>
      </c>
      <c r="I138" s="152">
        <v>0</v>
      </c>
      <c r="J138" s="151">
        <v>0</v>
      </c>
      <c r="K138" s="152">
        <v>0</v>
      </c>
      <c r="L138" s="151">
        <v>0</v>
      </c>
      <c r="M138" s="152">
        <v>0</v>
      </c>
      <c r="N138" s="151">
        <v>0</v>
      </c>
      <c r="O138" s="152">
        <v>0</v>
      </c>
      <c r="P138" s="151">
        <v>0</v>
      </c>
      <c r="Q138" s="152">
        <v>0</v>
      </c>
      <c r="R138" s="151">
        <v>0</v>
      </c>
      <c r="S138" s="152">
        <v>0</v>
      </c>
      <c r="T138" s="151">
        <v>0</v>
      </c>
      <c r="U138" s="153">
        <v>0</v>
      </c>
      <c r="V138" t="e">
        <f>VLOOKUP(A138,'Projetos ciclo 2018-2022'!$I$8:$I$128,1,FALSE)</f>
        <v>#N/A</v>
      </c>
    </row>
    <row r="139" spans="1:22" x14ac:dyDescent="0.25">
      <c r="A139" s="21" t="s">
        <v>1136</v>
      </c>
      <c r="B139" s="154" t="s">
        <v>1210</v>
      </c>
      <c r="C139" s="154" t="s">
        <v>1324</v>
      </c>
      <c r="D139" s="155">
        <v>0</v>
      </c>
      <c r="E139" s="158">
        <v>0</v>
      </c>
      <c r="F139" s="155">
        <v>0</v>
      </c>
      <c r="G139" s="158">
        <v>479</v>
      </c>
      <c r="H139" s="155">
        <v>0</v>
      </c>
      <c r="I139" s="158">
        <v>479.32675170898437</v>
      </c>
      <c r="J139" s="155">
        <v>0</v>
      </c>
      <c r="K139" s="158">
        <v>479.32675170898437</v>
      </c>
      <c r="L139" s="155">
        <v>0</v>
      </c>
      <c r="M139" s="158">
        <v>479.32675170898437</v>
      </c>
      <c r="N139" s="155">
        <v>0</v>
      </c>
      <c r="O139" s="158">
        <v>0</v>
      </c>
      <c r="P139" s="155">
        <v>0</v>
      </c>
      <c r="Q139" s="158">
        <v>0</v>
      </c>
      <c r="R139" s="155">
        <v>0</v>
      </c>
      <c r="S139" s="158">
        <v>0</v>
      </c>
      <c r="T139" s="155">
        <v>0</v>
      </c>
      <c r="U139" s="157">
        <v>0</v>
      </c>
      <c r="V139" t="e">
        <f>VLOOKUP(A139,'Projetos ciclo 2018-2022'!$I$8:$I$128,1,FALSE)</f>
        <v>#N/A</v>
      </c>
    </row>
    <row r="140" spans="1:22" x14ac:dyDescent="0.25">
      <c r="A140" s="149" t="s">
        <v>1177</v>
      </c>
      <c r="B140" s="150" t="s">
        <v>1179</v>
      </c>
      <c r="C140" s="150" t="s">
        <v>1178</v>
      </c>
      <c r="D140" s="151">
        <v>0</v>
      </c>
      <c r="E140" s="152">
        <v>0</v>
      </c>
      <c r="F140" s="151">
        <v>0</v>
      </c>
      <c r="G140" s="152">
        <v>14</v>
      </c>
      <c r="H140" s="151">
        <v>0</v>
      </c>
      <c r="I140" s="152">
        <v>14.010740280151367</v>
      </c>
      <c r="J140" s="151">
        <v>0</v>
      </c>
      <c r="K140" s="152">
        <v>14.010740280151367</v>
      </c>
      <c r="L140" s="151">
        <v>0</v>
      </c>
      <c r="M140" s="152">
        <v>14.010740280151367</v>
      </c>
      <c r="N140" s="151">
        <v>0</v>
      </c>
      <c r="O140" s="152">
        <v>0</v>
      </c>
      <c r="P140" s="151">
        <v>0</v>
      </c>
      <c r="Q140" s="152">
        <v>0</v>
      </c>
      <c r="R140" s="151">
        <v>0</v>
      </c>
      <c r="S140" s="152">
        <v>0</v>
      </c>
      <c r="T140" s="151">
        <v>0</v>
      </c>
      <c r="U140" s="153">
        <v>0</v>
      </c>
      <c r="V140" t="e">
        <f>VLOOKUP(A140,'Projetos ciclo 2018-2022'!$I$8:$I$128,1,FALSE)</f>
        <v>#N/A</v>
      </c>
    </row>
    <row r="141" spans="1:22" x14ac:dyDescent="0.25">
      <c r="A141" s="21" t="s">
        <v>1185</v>
      </c>
      <c r="B141" s="154" t="s">
        <v>1187</v>
      </c>
      <c r="C141" s="154" t="s">
        <v>1186</v>
      </c>
      <c r="D141" s="155">
        <v>0</v>
      </c>
      <c r="E141" s="158">
        <v>0</v>
      </c>
      <c r="F141" s="155">
        <v>0</v>
      </c>
      <c r="G141" s="158">
        <v>10</v>
      </c>
      <c r="H141" s="155">
        <v>0</v>
      </c>
      <c r="I141" s="158">
        <v>9.5870800018310547</v>
      </c>
      <c r="J141" s="155">
        <v>0</v>
      </c>
      <c r="K141" s="158">
        <v>9.5870800018310547</v>
      </c>
      <c r="L141" s="155">
        <v>0</v>
      </c>
      <c r="M141" s="158">
        <v>9.5870800018310547</v>
      </c>
      <c r="N141" s="155">
        <v>0</v>
      </c>
      <c r="O141" s="158">
        <v>0</v>
      </c>
      <c r="P141" s="155">
        <v>0</v>
      </c>
      <c r="Q141" s="158">
        <v>0</v>
      </c>
      <c r="R141" s="155">
        <v>0</v>
      </c>
      <c r="S141" s="158">
        <v>0</v>
      </c>
      <c r="T141" s="155">
        <v>0</v>
      </c>
      <c r="U141" s="157">
        <v>0</v>
      </c>
      <c r="V141" t="e">
        <f>VLOOKUP(A141,'Projetos ciclo 2018-2022'!$I$8:$I$128,1,FALSE)</f>
        <v>#N/A</v>
      </c>
    </row>
    <row r="142" spans="1:22" x14ac:dyDescent="0.25">
      <c r="A142" s="149" t="s">
        <v>1181</v>
      </c>
      <c r="B142" s="150" t="s">
        <v>1183</v>
      </c>
      <c r="C142" s="150" t="s">
        <v>1182</v>
      </c>
      <c r="D142" s="151">
        <v>0</v>
      </c>
      <c r="E142" s="152">
        <v>0</v>
      </c>
      <c r="F142" s="151">
        <v>0</v>
      </c>
      <c r="G142" s="152">
        <v>11</v>
      </c>
      <c r="H142" s="151">
        <v>0</v>
      </c>
      <c r="I142" s="152">
        <v>10.502650260925293</v>
      </c>
      <c r="J142" s="151">
        <v>0</v>
      </c>
      <c r="K142" s="152">
        <v>10.502650260925293</v>
      </c>
      <c r="L142" s="151">
        <v>0</v>
      </c>
      <c r="M142" s="152">
        <v>10.502650260925293</v>
      </c>
      <c r="N142" s="151">
        <v>0</v>
      </c>
      <c r="O142" s="152">
        <v>0</v>
      </c>
      <c r="P142" s="151">
        <v>0</v>
      </c>
      <c r="Q142" s="152">
        <v>0</v>
      </c>
      <c r="R142" s="151">
        <v>0</v>
      </c>
      <c r="S142" s="152">
        <v>0</v>
      </c>
      <c r="T142" s="151">
        <v>0</v>
      </c>
      <c r="U142" s="153">
        <v>0</v>
      </c>
      <c r="V142" t="e">
        <f>VLOOKUP(A142,'Projetos ciclo 2018-2022'!$I$8:$I$128,1,FALSE)</f>
        <v>#N/A</v>
      </c>
    </row>
    <row r="143" spans="1:22" x14ac:dyDescent="0.25">
      <c r="A143" s="21" t="s">
        <v>758</v>
      </c>
      <c r="B143" s="154" t="s">
        <v>1325</v>
      </c>
      <c r="C143" s="154" t="s">
        <v>1326</v>
      </c>
      <c r="D143" s="155">
        <v>0</v>
      </c>
      <c r="E143" s="158">
        <v>0</v>
      </c>
      <c r="F143" s="155">
        <v>0</v>
      </c>
      <c r="G143" s="158">
        <v>101</v>
      </c>
      <c r="H143" s="155">
        <v>0</v>
      </c>
      <c r="I143" s="158">
        <v>52.566009163856506</v>
      </c>
      <c r="J143" s="155">
        <v>0</v>
      </c>
      <c r="K143" s="158">
        <v>52.566009163856506</v>
      </c>
      <c r="L143" s="155">
        <v>0</v>
      </c>
      <c r="M143" s="158">
        <v>52.566009163856506</v>
      </c>
      <c r="N143" s="155">
        <v>0</v>
      </c>
      <c r="O143" s="158">
        <v>0</v>
      </c>
      <c r="P143" s="155">
        <v>0</v>
      </c>
      <c r="Q143" s="158">
        <v>0</v>
      </c>
      <c r="R143" s="155">
        <v>0</v>
      </c>
      <c r="S143" s="158">
        <v>0</v>
      </c>
      <c r="T143" s="155">
        <v>0</v>
      </c>
      <c r="U143" s="157">
        <v>0</v>
      </c>
      <c r="V143" t="e">
        <f>VLOOKUP(A143,'Projetos ciclo 2018-2022'!$I$8:$I$128,1,FALSE)</f>
        <v>#N/A</v>
      </c>
    </row>
    <row r="144" spans="1:22" x14ac:dyDescent="0.25">
      <c r="A144" s="149" t="s">
        <v>1327</v>
      </c>
      <c r="B144" s="150" t="s">
        <v>1328</v>
      </c>
      <c r="C144" s="150" t="s">
        <v>1329</v>
      </c>
      <c r="D144" s="151">
        <v>0</v>
      </c>
      <c r="E144" s="152">
        <v>0</v>
      </c>
      <c r="F144" s="151">
        <v>0</v>
      </c>
      <c r="G144" s="152">
        <v>0</v>
      </c>
      <c r="H144" s="151">
        <v>0</v>
      </c>
      <c r="I144" s="152">
        <v>0</v>
      </c>
      <c r="J144" s="151">
        <v>0</v>
      </c>
      <c r="K144" s="152">
        <v>0</v>
      </c>
      <c r="L144" s="151">
        <v>0</v>
      </c>
      <c r="M144" s="152">
        <v>0</v>
      </c>
      <c r="N144" s="151">
        <v>0</v>
      </c>
      <c r="O144" s="152">
        <v>0</v>
      </c>
      <c r="P144" s="151">
        <v>0</v>
      </c>
      <c r="Q144" s="152">
        <v>0</v>
      </c>
      <c r="R144" s="151">
        <v>0</v>
      </c>
      <c r="S144" s="152">
        <v>0</v>
      </c>
      <c r="T144" s="151">
        <v>0</v>
      </c>
      <c r="U144" s="153">
        <v>0</v>
      </c>
      <c r="V144" t="e">
        <f>VLOOKUP(A144,'Projetos ciclo 2018-2022'!$I$8:$I$128,1,FALSE)</f>
        <v>#N/A</v>
      </c>
    </row>
    <row r="145" spans="1:22" x14ac:dyDescent="0.25">
      <c r="A145" s="21" t="s">
        <v>757</v>
      </c>
      <c r="B145" s="154" t="s">
        <v>341</v>
      </c>
      <c r="C145" s="154" t="s">
        <v>1330</v>
      </c>
      <c r="D145" s="155">
        <v>0</v>
      </c>
      <c r="E145" s="158">
        <v>0</v>
      </c>
      <c r="F145" s="155">
        <v>0</v>
      </c>
      <c r="G145" s="158">
        <v>122</v>
      </c>
      <c r="H145" s="155">
        <v>0</v>
      </c>
      <c r="I145" s="158">
        <v>64.575159072875977</v>
      </c>
      <c r="J145" s="155">
        <v>0</v>
      </c>
      <c r="K145" s="158">
        <v>64.575159072875977</v>
      </c>
      <c r="L145" s="155">
        <v>0</v>
      </c>
      <c r="M145" s="158">
        <v>64.575159072875977</v>
      </c>
      <c r="N145" s="155">
        <v>0</v>
      </c>
      <c r="O145" s="158">
        <v>0</v>
      </c>
      <c r="P145" s="155">
        <v>0</v>
      </c>
      <c r="Q145" s="158">
        <v>0</v>
      </c>
      <c r="R145" s="155">
        <v>0</v>
      </c>
      <c r="S145" s="158">
        <v>0</v>
      </c>
      <c r="T145" s="155">
        <v>0</v>
      </c>
      <c r="U145" s="157">
        <v>0</v>
      </c>
      <c r="V145" t="e">
        <f>VLOOKUP(A145,'Projetos ciclo 2018-2022'!$I$8:$I$128,1,FALSE)</f>
        <v>#N/A</v>
      </c>
    </row>
    <row r="146" spans="1:22" x14ac:dyDescent="0.25">
      <c r="A146" s="149" t="s">
        <v>755</v>
      </c>
      <c r="B146" s="150" t="s">
        <v>1331</v>
      </c>
      <c r="C146" s="150" t="s">
        <v>1332</v>
      </c>
      <c r="D146" s="151">
        <v>0</v>
      </c>
      <c r="E146" s="152">
        <v>0</v>
      </c>
      <c r="F146" s="151">
        <v>0</v>
      </c>
      <c r="G146" s="152">
        <v>440</v>
      </c>
      <c r="H146" s="151">
        <v>0</v>
      </c>
      <c r="I146" s="152">
        <v>159.43008804321289</v>
      </c>
      <c r="J146" s="151">
        <v>0</v>
      </c>
      <c r="K146" s="152">
        <v>159.43008804321289</v>
      </c>
      <c r="L146" s="151">
        <v>278.73110961914062</v>
      </c>
      <c r="M146" s="152">
        <v>438.16119766235352</v>
      </c>
      <c r="N146" s="151">
        <v>0</v>
      </c>
      <c r="O146" s="152">
        <v>0</v>
      </c>
      <c r="P146" s="151">
        <v>0</v>
      </c>
      <c r="Q146" s="152">
        <v>0</v>
      </c>
      <c r="R146" s="151">
        <v>0</v>
      </c>
      <c r="S146" s="152">
        <v>0</v>
      </c>
      <c r="T146" s="151">
        <v>0</v>
      </c>
      <c r="U146" s="153">
        <v>0</v>
      </c>
      <c r="V146" t="e">
        <f>VLOOKUP(A146,'Projetos ciclo 2018-2022'!$I$8:$I$128,1,FALSE)</f>
        <v>#N/A</v>
      </c>
    </row>
    <row r="147" spans="1:22" x14ac:dyDescent="0.25">
      <c r="A147" s="21" t="s">
        <v>1333</v>
      </c>
      <c r="B147" s="154" t="s">
        <v>1334</v>
      </c>
      <c r="C147" s="154" t="s">
        <v>1335</v>
      </c>
      <c r="D147" s="155">
        <v>0</v>
      </c>
      <c r="E147" s="158">
        <v>0</v>
      </c>
      <c r="F147" s="155">
        <v>0</v>
      </c>
      <c r="G147" s="158">
        <v>0</v>
      </c>
      <c r="H147" s="155">
        <v>0</v>
      </c>
      <c r="I147" s="158">
        <v>0</v>
      </c>
      <c r="J147" s="155">
        <v>0</v>
      </c>
      <c r="K147" s="158">
        <v>0</v>
      </c>
      <c r="L147" s="155">
        <v>0</v>
      </c>
      <c r="M147" s="158">
        <v>0</v>
      </c>
      <c r="N147" s="155">
        <v>0</v>
      </c>
      <c r="O147" s="158">
        <v>0</v>
      </c>
      <c r="P147" s="155">
        <v>0</v>
      </c>
      <c r="Q147" s="158">
        <v>0</v>
      </c>
      <c r="R147" s="155">
        <v>0</v>
      </c>
      <c r="S147" s="158">
        <v>0</v>
      </c>
      <c r="T147" s="155">
        <v>0</v>
      </c>
      <c r="U147" s="157">
        <v>0</v>
      </c>
      <c r="V147" t="e">
        <f>VLOOKUP(A147,'Projetos ciclo 2018-2022'!$I$8:$I$128,1,FALSE)</f>
        <v>#N/A</v>
      </c>
    </row>
    <row r="148" spans="1:22" x14ac:dyDescent="0.25">
      <c r="A148" s="149" t="s">
        <v>1336</v>
      </c>
      <c r="B148" s="150" t="s">
        <v>823</v>
      </c>
      <c r="C148" s="150" t="s">
        <v>1337</v>
      </c>
      <c r="D148" s="151">
        <v>0</v>
      </c>
      <c r="E148" s="152">
        <v>0</v>
      </c>
      <c r="F148" s="151">
        <v>0</v>
      </c>
      <c r="G148" s="152">
        <v>0</v>
      </c>
      <c r="H148" s="151">
        <v>0</v>
      </c>
      <c r="I148" s="152">
        <v>0</v>
      </c>
      <c r="J148" s="151">
        <v>0</v>
      </c>
      <c r="K148" s="152">
        <v>0</v>
      </c>
      <c r="L148" s="151">
        <v>0</v>
      </c>
      <c r="M148" s="152">
        <v>0</v>
      </c>
      <c r="N148" s="151">
        <v>0</v>
      </c>
      <c r="O148" s="152">
        <v>0</v>
      </c>
      <c r="P148" s="151">
        <v>0</v>
      </c>
      <c r="Q148" s="152">
        <v>0</v>
      </c>
      <c r="R148" s="151">
        <v>0</v>
      </c>
      <c r="S148" s="152">
        <v>0</v>
      </c>
      <c r="T148" s="151">
        <v>0</v>
      </c>
      <c r="U148" s="153">
        <v>0</v>
      </c>
      <c r="V148" t="e">
        <f>VLOOKUP(A148,'Projetos ciclo 2018-2022'!$I$8:$I$128,1,FALSE)</f>
        <v>#N/A</v>
      </c>
    </row>
    <row r="149" spans="1:22" x14ac:dyDescent="0.25">
      <c r="A149" s="21" t="s">
        <v>1189</v>
      </c>
      <c r="B149" s="154" t="s">
        <v>1338</v>
      </c>
      <c r="C149" s="154" t="s">
        <v>1190</v>
      </c>
      <c r="D149" s="155">
        <v>0</v>
      </c>
      <c r="E149" s="158">
        <v>0</v>
      </c>
      <c r="F149" s="155">
        <v>0</v>
      </c>
      <c r="G149" s="158">
        <v>1</v>
      </c>
      <c r="H149" s="155">
        <v>0</v>
      </c>
      <c r="I149" s="158">
        <v>0.70901525020599365</v>
      </c>
      <c r="J149" s="155">
        <v>0</v>
      </c>
      <c r="K149" s="158">
        <v>0.70901525020599365</v>
      </c>
      <c r="L149" s="155">
        <v>0</v>
      </c>
      <c r="M149" s="158">
        <v>0.70901525020599365</v>
      </c>
      <c r="N149" s="155">
        <v>0</v>
      </c>
      <c r="O149" s="158">
        <v>0</v>
      </c>
      <c r="P149" s="155">
        <v>0</v>
      </c>
      <c r="Q149" s="158">
        <v>0</v>
      </c>
      <c r="R149" s="155">
        <v>0</v>
      </c>
      <c r="S149" s="158">
        <v>0</v>
      </c>
      <c r="T149" s="155">
        <v>0</v>
      </c>
      <c r="U149" s="157">
        <v>0</v>
      </c>
      <c r="V149" t="e">
        <f>VLOOKUP(A149,'Projetos ciclo 2018-2022'!$I$8:$I$128,1,FALSE)</f>
        <v>#N/A</v>
      </c>
    </row>
    <row r="150" spans="1:22" x14ac:dyDescent="0.25">
      <c r="A150" s="149" t="s">
        <v>1339</v>
      </c>
      <c r="B150" s="150" t="s">
        <v>1003</v>
      </c>
      <c r="C150" s="150" t="s">
        <v>1340</v>
      </c>
      <c r="D150" s="151">
        <v>0</v>
      </c>
      <c r="E150" s="152">
        <v>0</v>
      </c>
      <c r="F150" s="151">
        <v>0</v>
      </c>
      <c r="G150" s="152">
        <v>0</v>
      </c>
      <c r="H150" s="151">
        <v>0</v>
      </c>
      <c r="I150" s="152">
        <v>0</v>
      </c>
      <c r="J150" s="151">
        <v>0</v>
      </c>
      <c r="K150" s="152">
        <v>0</v>
      </c>
      <c r="L150" s="151">
        <v>0</v>
      </c>
      <c r="M150" s="152">
        <v>0</v>
      </c>
      <c r="N150" s="151">
        <v>0</v>
      </c>
      <c r="O150" s="152">
        <v>0</v>
      </c>
      <c r="P150" s="151">
        <v>0</v>
      </c>
      <c r="Q150" s="152">
        <v>0</v>
      </c>
      <c r="R150" s="151">
        <v>0</v>
      </c>
      <c r="S150" s="152">
        <v>0</v>
      </c>
      <c r="T150" s="151">
        <v>0</v>
      </c>
      <c r="U150" s="153">
        <v>0</v>
      </c>
      <c r="V150" t="e">
        <f>VLOOKUP(A150,'Projetos ciclo 2018-2022'!$I$8:$I$128,1,FALSE)</f>
        <v>#N/A</v>
      </c>
    </row>
    <row r="151" spans="1:22" x14ac:dyDescent="0.25">
      <c r="A151" s="21" t="s">
        <v>564</v>
      </c>
      <c r="B151" s="154" t="s">
        <v>1341</v>
      </c>
      <c r="C151" s="154" t="s">
        <v>1342</v>
      </c>
      <c r="D151" s="155">
        <v>0</v>
      </c>
      <c r="E151" s="158">
        <v>0</v>
      </c>
      <c r="F151" s="155">
        <v>0</v>
      </c>
      <c r="G151" s="158">
        <v>2954</v>
      </c>
      <c r="H151" s="155">
        <v>0</v>
      </c>
      <c r="I151" s="158">
        <v>126.48376083374023</v>
      </c>
      <c r="J151" s="155">
        <v>0</v>
      </c>
      <c r="K151" s="158">
        <v>126.48376083374023</v>
      </c>
      <c r="L151" s="155">
        <v>786.53277587890625</v>
      </c>
      <c r="M151" s="158">
        <v>913.01653671264648</v>
      </c>
      <c r="N151" s="155">
        <v>0</v>
      </c>
      <c r="O151" s="158">
        <v>0</v>
      </c>
      <c r="P151" s="155">
        <v>0</v>
      </c>
      <c r="Q151" s="158">
        <v>0</v>
      </c>
      <c r="R151" s="155">
        <v>0</v>
      </c>
      <c r="S151" s="158">
        <v>0</v>
      </c>
      <c r="T151" s="155">
        <v>0</v>
      </c>
      <c r="U151" s="157">
        <v>0</v>
      </c>
      <c r="V151" t="e">
        <f>VLOOKUP(A151,'Projetos ciclo 2018-2022'!$I$8:$I$128,1,FALSE)</f>
        <v>#N/A</v>
      </c>
    </row>
    <row r="152" spans="1:22" x14ac:dyDescent="0.25">
      <c r="A152" s="149" t="s">
        <v>1343</v>
      </c>
      <c r="B152" s="150" t="s">
        <v>1344</v>
      </c>
      <c r="C152" s="150" t="s">
        <v>1345</v>
      </c>
      <c r="D152" s="151">
        <v>0</v>
      </c>
      <c r="E152" s="152">
        <v>0</v>
      </c>
      <c r="F152" s="151">
        <v>0</v>
      </c>
      <c r="G152" s="152">
        <v>0</v>
      </c>
      <c r="H152" s="151">
        <v>0</v>
      </c>
      <c r="I152" s="152">
        <v>0</v>
      </c>
      <c r="J152" s="151">
        <v>0</v>
      </c>
      <c r="K152" s="152">
        <v>0</v>
      </c>
      <c r="L152" s="151">
        <v>0</v>
      </c>
      <c r="M152" s="152">
        <v>0</v>
      </c>
      <c r="N152" s="151">
        <v>0</v>
      </c>
      <c r="O152" s="152">
        <v>0</v>
      </c>
      <c r="P152" s="151">
        <v>0</v>
      </c>
      <c r="Q152" s="152">
        <v>0</v>
      </c>
      <c r="R152" s="151">
        <v>0</v>
      </c>
      <c r="S152" s="152">
        <v>0</v>
      </c>
      <c r="T152" s="151">
        <v>0</v>
      </c>
      <c r="U152" s="153">
        <v>0</v>
      </c>
      <c r="V152" t="e">
        <f>VLOOKUP(A152,'Projetos ciclo 2018-2022'!$I$8:$I$128,1,FALSE)</f>
        <v>#N/A</v>
      </c>
    </row>
    <row r="153" spans="1:22" x14ac:dyDescent="0.25">
      <c r="A153" s="21" t="s">
        <v>1167</v>
      </c>
      <c r="B153" s="154" t="s">
        <v>1346</v>
      </c>
      <c r="C153" s="154" t="s">
        <v>1168</v>
      </c>
      <c r="D153" s="155">
        <v>0</v>
      </c>
      <c r="E153" s="158">
        <v>0</v>
      </c>
      <c r="F153" s="155">
        <v>0</v>
      </c>
      <c r="G153" s="158">
        <v>1606</v>
      </c>
      <c r="H153" s="155">
        <v>0</v>
      </c>
      <c r="I153" s="158">
        <v>1236.459716796875</v>
      </c>
      <c r="J153" s="155">
        <v>0</v>
      </c>
      <c r="K153" s="158">
        <v>1236.459716796875</v>
      </c>
      <c r="L153" s="155">
        <v>0</v>
      </c>
      <c r="M153" s="158">
        <v>1236.459716796875</v>
      </c>
      <c r="N153" s="155">
        <v>0</v>
      </c>
      <c r="O153" s="158">
        <v>0</v>
      </c>
      <c r="P153" s="155">
        <v>0</v>
      </c>
      <c r="Q153" s="158">
        <v>0</v>
      </c>
      <c r="R153" s="155">
        <v>0</v>
      </c>
      <c r="S153" s="158">
        <v>0</v>
      </c>
      <c r="T153" s="155">
        <v>0</v>
      </c>
      <c r="U153" s="157">
        <v>0</v>
      </c>
      <c r="V153" t="e">
        <f>VLOOKUP(A153,'Projetos ciclo 2018-2022'!$I$8:$I$128,1,FALSE)</f>
        <v>#N/A</v>
      </c>
    </row>
    <row r="154" spans="1:22" x14ac:dyDescent="0.25">
      <c r="A154" s="149" t="s">
        <v>1347</v>
      </c>
      <c r="B154" s="150" t="s">
        <v>1348</v>
      </c>
      <c r="C154" s="150" t="s">
        <v>1349</v>
      </c>
      <c r="D154" s="151">
        <v>0</v>
      </c>
      <c r="E154" s="152">
        <v>0</v>
      </c>
      <c r="F154" s="151">
        <v>0</v>
      </c>
      <c r="G154" s="152">
        <v>0</v>
      </c>
      <c r="H154" s="151">
        <v>0</v>
      </c>
      <c r="I154" s="152">
        <v>-0.51274001598358154</v>
      </c>
      <c r="J154" s="151">
        <v>0</v>
      </c>
      <c r="K154" s="152">
        <v>-0.51274001598358154</v>
      </c>
      <c r="L154" s="151">
        <v>0</v>
      </c>
      <c r="M154" s="152">
        <v>-0.51274001598358154</v>
      </c>
      <c r="N154" s="151">
        <v>0</v>
      </c>
      <c r="O154" s="152">
        <v>0</v>
      </c>
      <c r="P154" s="151">
        <v>0</v>
      </c>
      <c r="Q154" s="152">
        <v>0</v>
      </c>
      <c r="R154" s="151">
        <v>0</v>
      </c>
      <c r="S154" s="152">
        <v>0</v>
      </c>
      <c r="T154" s="151">
        <v>0</v>
      </c>
      <c r="U154" s="153">
        <v>0</v>
      </c>
      <c r="V154" t="e">
        <f>VLOOKUP(A154,'Projetos ciclo 2018-2022'!$I$8:$I$128,1,FALSE)</f>
        <v>#N/A</v>
      </c>
    </row>
    <row r="155" spans="1:22" x14ac:dyDescent="0.25">
      <c r="A155" s="21" t="s">
        <v>1350</v>
      </c>
      <c r="B155" s="154" t="s">
        <v>1351</v>
      </c>
      <c r="C155" s="154" t="s">
        <v>1352</v>
      </c>
      <c r="D155" s="155">
        <v>0</v>
      </c>
      <c r="E155" s="158">
        <v>0</v>
      </c>
      <c r="F155" s="155">
        <v>0</v>
      </c>
      <c r="G155" s="158">
        <v>0</v>
      </c>
      <c r="H155" s="155">
        <v>0</v>
      </c>
      <c r="I155" s="158">
        <v>0</v>
      </c>
      <c r="J155" s="155">
        <v>0</v>
      </c>
      <c r="K155" s="158">
        <v>0</v>
      </c>
      <c r="L155" s="155">
        <v>0</v>
      </c>
      <c r="M155" s="158">
        <v>0</v>
      </c>
      <c r="N155" s="155">
        <v>0</v>
      </c>
      <c r="O155" s="158">
        <v>0</v>
      </c>
      <c r="P155" s="155">
        <v>0</v>
      </c>
      <c r="Q155" s="158">
        <v>0</v>
      </c>
      <c r="R155" s="155">
        <v>0</v>
      </c>
      <c r="S155" s="158">
        <v>0</v>
      </c>
      <c r="T155" s="155">
        <v>0</v>
      </c>
      <c r="U155" s="157">
        <v>0</v>
      </c>
      <c r="V155" t="e">
        <f>VLOOKUP(A155,'Projetos ciclo 2018-2022'!$I$8:$I$128,1,FALSE)</f>
        <v>#N/A</v>
      </c>
    </row>
    <row r="156" spans="1:22" x14ac:dyDescent="0.25">
      <c r="A156" s="149" t="s">
        <v>759</v>
      </c>
      <c r="B156" s="150" t="s">
        <v>347</v>
      </c>
      <c r="C156" s="150" t="s">
        <v>1353</v>
      </c>
      <c r="D156" s="151">
        <v>0</v>
      </c>
      <c r="E156" s="152">
        <v>0</v>
      </c>
      <c r="F156" s="151">
        <v>0</v>
      </c>
      <c r="G156" s="152">
        <v>217</v>
      </c>
      <c r="H156" s="151">
        <v>0</v>
      </c>
      <c r="I156" s="152">
        <v>141.84867095947266</v>
      </c>
      <c r="J156" s="151">
        <v>0</v>
      </c>
      <c r="K156" s="152">
        <v>141.84867095947266</v>
      </c>
      <c r="L156" s="151">
        <v>56.086551666259766</v>
      </c>
      <c r="M156" s="152">
        <v>197.93522262573242</v>
      </c>
      <c r="N156" s="151">
        <v>0</v>
      </c>
      <c r="O156" s="152">
        <v>0</v>
      </c>
      <c r="P156" s="151">
        <v>0</v>
      </c>
      <c r="Q156" s="152">
        <v>0</v>
      </c>
      <c r="R156" s="151">
        <v>0</v>
      </c>
      <c r="S156" s="152">
        <v>0</v>
      </c>
      <c r="T156" s="151">
        <v>0</v>
      </c>
      <c r="U156" s="153">
        <v>0</v>
      </c>
      <c r="V156" t="e">
        <f>VLOOKUP(A156,'Projetos ciclo 2018-2022'!$I$8:$I$128,1,FALSE)</f>
        <v>#N/A</v>
      </c>
    </row>
    <row r="157" spans="1:22" x14ac:dyDescent="0.25">
      <c r="A157" s="21" t="s">
        <v>1354</v>
      </c>
      <c r="B157" s="154" t="s">
        <v>1355</v>
      </c>
      <c r="C157" s="154" t="s">
        <v>1356</v>
      </c>
      <c r="D157" s="155">
        <v>69204</v>
      </c>
      <c r="E157" s="158">
        <v>0</v>
      </c>
      <c r="F157" s="155">
        <v>54226</v>
      </c>
      <c r="G157" s="158">
        <v>0</v>
      </c>
      <c r="H157" s="155">
        <v>12885</v>
      </c>
      <c r="I157" s="158">
        <v>0</v>
      </c>
      <c r="J157" s="155">
        <v>0</v>
      </c>
      <c r="K157" s="158">
        <v>0</v>
      </c>
      <c r="L157" s="155">
        <v>0</v>
      </c>
      <c r="M157" s="158">
        <v>0</v>
      </c>
      <c r="N157" s="155">
        <v>8147</v>
      </c>
      <c r="O157" s="158">
        <v>3690</v>
      </c>
      <c r="P157" s="155">
        <v>3141</v>
      </c>
      <c r="Q157" s="158">
        <v>0</v>
      </c>
      <c r="R157" s="155">
        <v>0</v>
      </c>
      <c r="S157" s="158">
        <v>0</v>
      </c>
      <c r="T157" s="155">
        <v>0</v>
      </c>
      <c r="U157" s="157">
        <v>0</v>
      </c>
      <c r="V157" t="e">
        <f>VLOOKUP(A157,'Projetos ciclo 2018-2022'!$I$8:$I$128,1,FALSE)</f>
        <v>#N/A</v>
      </c>
    </row>
    <row r="158" spans="1:22" x14ac:dyDescent="0.25">
      <c r="A158" s="149" t="s">
        <v>1357</v>
      </c>
      <c r="B158" s="150" t="s">
        <v>1358</v>
      </c>
      <c r="C158" s="150" t="s">
        <v>1359</v>
      </c>
      <c r="D158" s="151">
        <v>0</v>
      </c>
      <c r="E158" s="152">
        <v>0</v>
      </c>
      <c r="F158" s="151">
        <v>0</v>
      </c>
      <c r="G158" s="152">
        <v>0</v>
      </c>
      <c r="H158" s="151">
        <v>0</v>
      </c>
      <c r="I158" s="152">
        <v>0</v>
      </c>
      <c r="J158" s="151">
        <v>0</v>
      </c>
      <c r="K158" s="152">
        <v>0</v>
      </c>
      <c r="L158" s="151">
        <v>0</v>
      </c>
      <c r="M158" s="152">
        <v>0</v>
      </c>
      <c r="N158" s="151">
        <v>0</v>
      </c>
      <c r="O158" s="152">
        <v>0</v>
      </c>
      <c r="P158" s="151">
        <v>0</v>
      </c>
      <c r="Q158" s="152">
        <v>0</v>
      </c>
      <c r="R158" s="151">
        <v>0</v>
      </c>
      <c r="S158" s="152">
        <v>0</v>
      </c>
      <c r="T158" s="151">
        <v>0</v>
      </c>
      <c r="U158" s="153">
        <v>0</v>
      </c>
      <c r="V158" t="e">
        <f>VLOOKUP(A158,'Projetos ciclo 2018-2022'!$I$8:$I$128,1,FALSE)</f>
        <v>#N/A</v>
      </c>
    </row>
    <row r="159" spans="1:22" x14ac:dyDescent="0.25">
      <c r="A159" s="21" t="s">
        <v>752</v>
      </c>
      <c r="B159" s="154" t="s">
        <v>329</v>
      </c>
      <c r="C159" s="154" t="s">
        <v>1360</v>
      </c>
      <c r="D159" s="155">
        <v>0</v>
      </c>
      <c r="E159" s="158">
        <v>0</v>
      </c>
      <c r="F159" s="155">
        <v>0</v>
      </c>
      <c r="G159" s="158">
        <v>5268</v>
      </c>
      <c r="H159" s="155">
        <v>0</v>
      </c>
      <c r="I159" s="158">
        <v>3489.3745973110199</v>
      </c>
      <c r="J159" s="155">
        <v>0</v>
      </c>
      <c r="K159" s="158">
        <v>3489.3745973110199</v>
      </c>
      <c r="L159" s="155">
        <v>0</v>
      </c>
      <c r="M159" s="158">
        <v>3489.3745973110199</v>
      </c>
      <c r="N159" s="155">
        <v>0</v>
      </c>
      <c r="O159" s="158">
        <v>0</v>
      </c>
      <c r="P159" s="155">
        <v>0</v>
      </c>
      <c r="Q159" s="158">
        <v>0</v>
      </c>
      <c r="R159" s="155">
        <v>0</v>
      </c>
      <c r="S159" s="158">
        <v>0</v>
      </c>
      <c r="T159" s="155">
        <v>0</v>
      </c>
      <c r="U159" s="157">
        <v>0</v>
      </c>
      <c r="V159" t="e">
        <f>VLOOKUP(A159,'Projetos ciclo 2018-2022'!$I$8:$I$128,1,FALSE)</f>
        <v>#N/A</v>
      </c>
    </row>
    <row r="160" spans="1:22" x14ac:dyDescent="0.25">
      <c r="A160" s="149" t="s">
        <v>763</v>
      </c>
      <c r="B160" s="150" t="s">
        <v>1361</v>
      </c>
      <c r="C160" s="150" t="s">
        <v>1362</v>
      </c>
      <c r="D160" s="151">
        <v>0</v>
      </c>
      <c r="E160" s="152">
        <v>0</v>
      </c>
      <c r="F160" s="151">
        <v>0</v>
      </c>
      <c r="G160" s="152">
        <v>684</v>
      </c>
      <c r="H160" s="151">
        <v>0</v>
      </c>
      <c r="I160" s="152">
        <v>133.71533203125</v>
      </c>
      <c r="J160" s="151">
        <v>0</v>
      </c>
      <c r="K160" s="152">
        <v>133.71533203125</v>
      </c>
      <c r="L160" s="151">
        <v>0</v>
      </c>
      <c r="M160" s="152">
        <v>133.71533203125</v>
      </c>
      <c r="N160" s="151">
        <v>0</v>
      </c>
      <c r="O160" s="152">
        <v>0</v>
      </c>
      <c r="P160" s="151">
        <v>0</v>
      </c>
      <c r="Q160" s="152">
        <v>0</v>
      </c>
      <c r="R160" s="151">
        <v>0</v>
      </c>
      <c r="S160" s="152">
        <v>0</v>
      </c>
      <c r="T160" s="151">
        <v>0</v>
      </c>
      <c r="U160" s="153">
        <v>0</v>
      </c>
      <c r="V160" t="e">
        <f>VLOOKUP(A160,'Projetos ciclo 2018-2022'!$I$8:$I$128,1,FALSE)</f>
        <v>#N/A</v>
      </c>
    </row>
    <row r="161" spans="1:22" x14ac:dyDescent="0.25">
      <c r="A161" s="21" t="s">
        <v>563</v>
      </c>
      <c r="B161" s="154" t="s">
        <v>1363</v>
      </c>
      <c r="C161" s="154" t="s">
        <v>1364</v>
      </c>
      <c r="D161" s="155">
        <v>0</v>
      </c>
      <c r="E161" s="158">
        <v>0</v>
      </c>
      <c r="F161" s="155">
        <v>0</v>
      </c>
      <c r="G161" s="158">
        <v>6163</v>
      </c>
      <c r="H161" s="155">
        <v>0</v>
      </c>
      <c r="I161" s="158">
        <v>456.630859375</v>
      </c>
      <c r="J161" s="155">
        <v>0</v>
      </c>
      <c r="K161" s="158">
        <v>456.630859375</v>
      </c>
      <c r="L161" s="155">
        <v>14.13325023651123</v>
      </c>
      <c r="M161" s="158">
        <v>470.76410961151123</v>
      </c>
      <c r="N161" s="155">
        <v>0</v>
      </c>
      <c r="O161" s="158">
        <v>0</v>
      </c>
      <c r="P161" s="155">
        <v>0</v>
      </c>
      <c r="Q161" s="158">
        <v>0</v>
      </c>
      <c r="R161" s="155">
        <v>0</v>
      </c>
      <c r="S161" s="158">
        <v>0</v>
      </c>
      <c r="T161" s="155">
        <v>0</v>
      </c>
      <c r="U161" s="157">
        <v>0</v>
      </c>
      <c r="V161" t="e">
        <f>VLOOKUP(A161,'Projetos ciclo 2018-2022'!$I$8:$I$128,1,FALSE)</f>
        <v>#N/A</v>
      </c>
    </row>
    <row r="162" spans="1:22" x14ac:dyDescent="0.25">
      <c r="A162" s="149" t="s">
        <v>767</v>
      </c>
      <c r="B162" s="150" t="s">
        <v>768</v>
      </c>
      <c r="C162" s="150" t="s">
        <v>1365</v>
      </c>
      <c r="D162" s="151">
        <v>0</v>
      </c>
      <c r="E162" s="152">
        <v>0</v>
      </c>
      <c r="F162" s="151">
        <v>0</v>
      </c>
      <c r="G162" s="152">
        <v>0</v>
      </c>
      <c r="H162" s="151">
        <v>0</v>
      </c>
      <c r="I162" s="152">
        <v>0</v>
      </c>
      <c r="J162" s="151">
        <v>0</v>
      </c>
      <c r="K162" s="152">
        <v>0</v>
      </c>
      <c r="L162" s="151">
        <v>0</v>
      </c>
      <c r="M162" s="152">
        <v>0</v>
      </c>
      <c r="N162" s="151">
        <v>0</v>
      </c>
      <c r="O162" s="152">
        <v>0</v>
      </c>
      <c r="P162" s="151">
        <v>0</v>
      </c>
      <c r="Q162" s="152">
        <v>0</v>
      </c>
      <c r="R162" s="151">
        <v>0</v>
      </c>
      <c r="S162" s="152">
        <v>0</v>
      </c>
      <c r="T162" s="151">
        <v>0</v>
      </c>
      <c r="U162" s="153">
        <v>0</v>
      </c>
      <c r="V162" t="e">
        <f>VLOOKUP(A162,'Projetos ciclo 2018-2022'!$I$8:$I$128,1,FALSE)</f>
        <v>#N/A</v>
      </c>
    </row>
    <row r="163" spans="1:22" x14ac:dyDescent="0.25">
      <c r="A163" s="21" t="s">
        <v>754</v>
      </c>
      <c r="B163" s="154" t="s">
        <v>1366</v>
      </c>
      <c r="C163" s="154" t="s">
        <v>1367</v>
      </c>
      <c r="D163" s="155">
        <v>0</v>
      </c>
      <c r="E163" s="158">
        <v>0</v>
      </c>
      <c r="F163" s="155">
        <v>0</v>
      </c>
      <c r="G163" s="158">
        <v>0</v>
      </c>
      <c r="H163" s="155">
        <v>0</v>
      </c>
      <c r="I163" s="158">
        <v>0</v>
      </c>
      <c r="J163" s="155">
        <v>0</v>
      </c>
      <c r="K163" s="158">
        <v>0</v>
      </c>
      <c r="L163" s="155">
        <v>0</v>
      </c>
      <c r="M163" s="158">
        <v>0</v>
      </c>
      <c r="N163" s="155">
        <v>0</v>
      </c>
      <c r="O163" s="158">
        <v>0</v>
      </c>
      <c r="P163" s="155">
        <v>0</v>
      </c>
      <c r="Q163" s="158">
        <v>0</v>
      </c>
      <c r="R163" s="155">
        <v>0</v>
      </c>
      <c r="S163" s="158">
        <v>0</v>
      </c>
      <c r="T163" s="155">
        <v>0</v>
      </c>
      <c r="U163" s="157">
        <v>0</v>
      </c>
      <c r="V163" t="e">
        <f>VLOOKUP(A163,'Projetos ciclo 2018-2022'!$I$8:$I$128,1,FALSE)</f>
        <v>#N/A</v>
      </c>
    </row>
    <row r="164" spans="1:22" x14ac:dyDescent="0.25">
      <c r="A164" s="149" t="s">
        <v>1175</v>
      </c>
      <c r="B164" s="150" t="s">
        <v>1173</v>
      </c>
      <c r="C164" s="150" t="s">
        <v>1176</v>
      </c>
      <c r="D164" s="151">
        <v>0</v>
      </c>
      <c r="E164" s="152">
        <v>0</v>
      </c>
      <c r="F164" s="151">
        <v>0</v>
      </c>
      <c r="G164" s="152">
        <v>300</v>
      </c>
      <c r="H164" s="151">
        <v>0</v>
      </c>
      <c r="I164" s="152">
        <v>0</v>
      </c>
      <c r="J164" s="151">
        <v>0</v>
      </c>
      <c r="K164" s="152">
        <v>0</v>
      </c>
      <c r="L164" s="151">
        <v>0</v>
      </c>
      <c r="M164" s="152">
        <v>0</v>
      </c>
      <c r="N164" s="151">
        <v>0</v>
      </c>
      <c r="O164" s="152">
        <v>0</v>
      </c>
      <c r="P164" s="151">
        <v>0</v>
      </c>
      <c r="Q164" s="152">
        <v>0</v>
      </c>
      <c r="R164" s="151">
        <v>0</v>
      </c>
      <c r="S164" s="152">
        <v>0</v>
      </c>
      <c r="T164" s="151">
        <v>0</v>
      </c>
      <c r="U164" s="153">
        <v>0</v>
      </c>
      <c r="V164" t="e">
        <f>VLOOKUP(A164,'Projetos ciclo 2018-2022'!$I$8:$I$128,1,FALSE)</f>
        <v>#N/A</v>
      </c>
    </row>
    <row r="165" spans="1:22" x14ac:dyDescent="0.25">
      <c r="A165" s="21" t="s">
        <v>1368</v>
      </c>
      <c r="B165" s="154" t="s">
        <v>1369</v>
      </c>
      <c r="C165" s="154" t="s">
        <v>1370</v>
      </c>
      <c r="D165" s="155">
        <v>0</v>
      </c>
      <c r="E165" s="158">
        <v>0</v>
      </c>
      <c r="F165" s="155">
        <v>0</v>
      </c>
      <c r="G165" s="158">
        <v>373</v>
      </c>
      <c r="H165" s="155">
        <v>0</v>
      </c>
      <c r="I165" s="158">
        <v>69.509599685668945</v>
      </c>
      <c r="J165" s="155">
        <v>0</v>
      </c>
      <c r="K165" s="158">
        <v>69.509599685668945</v>
      </c>
      <c r="L165" s="155">
        <v>176.40750122070312</v>
      </c>
      <c r="M165" s="158">
        <v>245.91710090637207</v>
      </c>
      <c r="N165" s="155">
        <v>0</v>
      </c>
      <c r="O165" s="158">
        <v>0</v>
      </c>
      <c r="P165" s="155">
        <v>0</v>
      </c>
      <c r="Q165" s="158">
        <v>0</v>
      </c>
      <c r="R165" s="155">
        <v>0</v>
      </c>
      <c r="S165" s="158">
        <v>0</v>
      </c>
      <c r="T165" s="155">
        <v>0</v>
      </c>
      <c r="U165" s="157">
        <v>0</v>
      </c>
      <c r="V165" t="e">
        <f>VLOOKUP(A165,'Projetos ciclo 2018-2022'!$I$8:$I$128,1,FALSE)</f>
        <v>#N/A</v>
      </c>
    </row>
    <row r="166" spans="1:22" x14ac:dyDescent="0.25">
      <c r="A166" s="149" t="s">
        <v>1171</v>
      </c>
      <c r="B166" s="150" t="s">
        <v>764</v>
      </c>
      <c r="C166" s="150" t="s">
        <v>1172</v>
      </c>
      <c r="D166" s="151">
        <v>0</v>
      </c>
      <c r="E166" s="152">
        <v>0</v>
      </c>
      <c r="F166" s="151">
        <v>0</v>
      </c>
      <c r="G166" s="152">
        <v>693</v>
      </c>
      <c r="H166" s="151">
        <v>0</v>
      </c>
      <c r="I166" s="152">
        <v>693.4403076171875</v>
      </c>
      <c r="J166" s="151">
        <v>0</v>
      </c>
      <c r="K166" s="152">
        <v>693.4403076171875</v>
      </c>
      <c r="L166" s="151">
        <v>0</v>
      </c>
      <c r="M166" s="152">
        <v>693.4403076171875</v>
      </c>
      <c r="N166" s="151">
        <v>0</v>
      </c>
      <c r="O166" s="152">
        <v>0</v>
      </c>
      <c r="P166" s="151">
        <v>0</v>
      </c>
      <c r="Q166" s="152">
        <v>0</v>
      </c>
      <c r="R166" s="151">
        <v>0</v>
      </c>
      <c r="S166" s="152">
        <v>0</v>
      </c>
      <c r="T166" s="151">
        <v>0</v>
      </c>
      <c r="U166" s="153">
        <v>0</v>
      </c>
      <c r="V166" t="e">
        <f>VLOOKUP(A166,'Projetos ciclo 2018-2022'!$I$8:$I$128,1,FALSE)</f>
        <v>#N/A</v>
      </c>
    </row>
    <row r="167" spans="1:22" x14ac:dyDescent="0.25">
      <c r="A167" s="21" t="s">
        <v>753</v>
      </c>
      <c r="B167" s="154" t="s">
        <v>1371</v>
      </c>
      <c r="C167" s="154" t="s">
        <v>1372</v>
      </c>
      <c r="D167" s="155">
        <v>0</v>
      </c>
      <c r="E167" s="158">
        <v>0</v>
      </c>
      <c r="F167" s="155">
        <v>0</v>
      </c>
      <c r="G167" s="158">
        <v>350</v>
      </c>
      <c r="H167" s="155">
        <v>0</v>
      </c>
      <c r="I167" s="158">
        <v>41.252120971679688</v>
      </c>
      <c r="J167" s="155">
        <v>0</v>
      </c>
      <c r="K167" s="158">
        <v>41.252120971679688</v>
      </c>
      <c r="L167" s="155">
        <v>0</v>
      </c>
      <c r="M167" s="158">
        <v>41.252120971679688</v>
      </c>
      <c r="N167" s="155">
        <v>0</v>
      </c>
      <c r="O167" s="158">
        <v>0</v>
      </c>
      <c r="P167" s="155">
        <v>0</v>
      </c>
      <c r="Q167" s="158">
        <v>0</v>
      </c>
      <c r="R167" s="155">
        <v>0</v>
      </c>
      <c r="S167" s="158">
        <v>0</v>
      </c>
      <c r="T167" s="155">
        <v>0</v>
      </c>
      <c r="U167" s="157">
        <v>0</v>
      </c>
      <c r="V167" t="e">
        <f>VLOOKUP(A167,'Projetos ciclo 2018-2022'!$I$8:$I$128,1,FALSE)</f>
        <v>#N/A</v>
      </c>
    </row>
    <row r="168" spans="1:22" x14ac:dyDescent="0.25">
      <c r="A168" s="149" t="s">
        <v>566</v>
      </c>
      <c r="B168" s="150" t="s">
        <v>1373</v>
      </c>
      <c r="C168" s="150" t="s">
        <v>1374</v>
      </c>
      <c r="D168" s="151">
        <v>0</v>
      </c>
      <c r="E168" s="152">
        <v>0</v>
      </c>
      <c r="F168" s="151">
        <v>0</v>
      </c>
      <c r="G168" s="152">
        <v>0</v>
      </c>
      <c r="H168" s="151">
        <v>0</v>
      </c>
      <c r="I168" s="152">
        <v>0</v>
      </c>
      <c r="J168" s="151">
        <v>0</v>
      </c>
      <c r="K168" s="152">
        <v>0</v>
      </c>
      <c r="L168" s="151">
        <v>0</v>
      </c>
      <c r="M168" s="152">
        <v>0</v>
      </c>
      <c r="N168" s="151">
        <v>0</v>
      </c>
      <c r="O168" s="152">
        <v>0</v>
      </c>
      <c r="P168" s="151">
        <v>0</v>
      </c>
      <c r="Q168" s="152">
        <v>0</v>
      </c>
      <c r="R168" s="151">
        <v>0</v>
      </c>
      <c r="S168" s="152">
        <v>0</v>
      </c>
      <c r="T168" s="151">
        <v>0</v>
      </c>
      <c r="U168" s="153">
        <v>0</v>
      </c>
      <c r="V168" t="e">
        <f>VLOOKUP(A168,'Projetos ciclo 2018-2022'!$I$8:$I$128,1,FALSE)</f>
        <v>#N/A</v>
      </c>
    </row>
    <row r="169" spans="1:22" x14ac:dyDescent="0.25">
      <c r="A169" s="21" t="s">
        <v>568</v>
      </c>
      <c r="B169" s="154" t="s">
        <v>567</v>
      </c>
      <c r="C169" s="154" t="s">
        <v>1375</v>
      </c>
      <c r="D169" s="155">
        <v>0</v>
      </c>
      <c r="E169" s="158">
        <v>0</v>
      </c>
      <c r="F169" s="155">
        <v>0</v>
      </c>
      <c r="G169" s="158">
        <v>0</v>
      </c>
      <c r="H169" s="155">
        <v>0</v>
      </c>
      <c r="I169" s="158">
        <v>0</v>
      </c>
      <c r="J169" s="155">
        <v>0</v>
      </c>
      <c r="K169" s="158">
        <v>0</v>
      </c>
      <c r="L169" s="155">
        <v>0</v>
      </c>
      <c r="M169" s="158">
        <v>0</v>
      </c>
      <c r="N169" s="155">
        <v>0</v>
      </c>
      <c r="O169" s="158">
        <v>0</v>
      </c>
      <c r="P169" s="155">
        <v>0</v>
      </c>
      <c r="Q169" s="158">
        <v>0</v>
      </c>
      <c r="R169" s="155">
        <v>0</v>
      </c>
      <c r="S169" s="158">
        <v>0</v>
      </c>
      <c r="T169" s="155">
        <v>0</v>
      </c>
      <c r="U169" s="157">
        <v>0</v>
      </c>
      <c r="V169" t="e">
        <f>VLOOKUP(A169,'Projetos ciclo 2018-2022'!$I$8:$I$128,1,FALSE)</f>
        <v>#N/A</v>
      </c>
    </row>
    <row r="170" spans="1:22" x14ac:dyDescent="0.25">
      <c r="A170" s="149" t="s">
        <v>1164</v>
      </c>
      <c r="B170" s="150" t="s">
        <v>1376</v>
      </c>
      <c r="C170" s="150" t="s">
        <v>1165</v>
      </c>
      <c r="D170" s="151">
        <v>0</v>
      </c>
      <c r="E170" s="152">
        <v>0</v>
      </c>
      <c r="F170" s="151">
        <v>0</v>
      </c>
      <c r="G170" s="152">
        <v>1225</v>
      </c>
      <c r="H170" s="151">
        <v>0</v>
      </c>
      <c r="I170" s="152">
        <v>0</v>
      </c>
      <c r="J170" s="151">
        <v>0</v>
      </c>
      <c r="K170" s="152">
        <v>0</v>
      </c>
      <c r="L170" s="151">
        <v>1080</v>
      </c>
      <c r="M170" s="152">
        <v>1080</v>
      </c>
      <c r="N170" s="151">
        <v>0</v>
      </c>
      <c r="O170" s="152">
        <v>0</v>
      </c>
      <c r="P170" s="151">
        <v>0</v>
      </c>
      <c r="Q170" s="152">
        <v>0</v>
      </c>
      <c r="R170" s="151">
        <v>0</v>
      </c>
      <c r="S170" s="152">
        <v>0</v>
      </c>
      <c r="T170" s="151">
        <v>0</v>
      </c>
      <c r="U170" s="153">
        <v>0</v>
      </c>
      <c r="V170" t="e">
        <f>VLOOKUP(A170,'Projetos ciclo 2018-2022'!$I$8:$I$128,1,FALSE)</f>
        <v>#N/A</v>
      </c>
    </row>
    <row r="171" spans="1:22" x14ac:dyDescent="0.25">
      <c r="A171" s="21" t="s">
        <v>1377</v>
      </c>
      <c r="B171" s="154" t="s">
        <v>1378</v>
      </c>
      <c r="C171" s="154" t="s">
        <v>1379</v>
      </c>
      <c r="D171" s="155">
        <v>0</v>
      </c>
      <c r="E171" s="158">
        <v>0</v>
      </c>
      <c r="F171" s="155">
        <v>0</v>
      </c>
      <c r="G171" s="158">
        <v>3223</v>
      </c>
      <c r="H171" s="155">
        <v>0</v>
      </c>
      <c r="I171" s="158">
        <v>28.273269653320313</v>
      </c>
      <c r="J171" s="155">
        <v>0</v>
      </c>
      <c r="K171" s="158">
        <v>28.273269653320313</v>
      </c>
      <c r="L171" s="155">
        <v>2843.8819100856781</v>
      </c>
      <c r="M171" s="158">
        <v>2872.1551797389984</v>
      </c>
      <c r="N171" s="155">
        <v>0</v>
      </c>
      <c r="O171" s="158">
        <v>0</v>
      </c>
      <c r="P171" s="155">
        <v>0</v>
      </c>
      <c r="Q171" s="158">
        <v>0</v>
      </c>
      <c r="R171" s="155">
        <v>0</v>
      </c>
      <c r="S171" s="158">
        <v>0</v>
      </c>
      <c r="T171" s="155">
        <v>0</v>
      </c>
      <c r="U171" s="157">
        <v>0</v>
      </c>
      <c r="V171" t="e">
        <f>VLOOKUP(A171,'Projetos ciclo 2018-2022'!$I$8:$I$128,1,FALSE)</f>
        <v>#N/A</v>
      </c>
    </row>
    <row r="172" spans="1:22" x14ac:dyDescent="0.25">
      <c r="A172" s="149" t="s">
        <v>1010</v>
      </c>
      <c r="B172" s="150" t="s">
        <v>1011</v>
      </c>
      <c r="C172" s="150" t="s">
        <v>1380</v>
      </c>
      <c r="D172" s="151">
        <v>0</v>
      </c>
      <c r="E172" s="152">
        <v>0</v>
      </c>
      <c r="F172" s="151">
        <v>0</v>
      </c>
      <c r="G172" s="152">
        <v>600</v>
      </c>
      <c r="H172" s="151">
        <v>0</v>
      </c>
      <c r="I172" s="152">
        <v>599.97772216796875</v>
      </c>
      <c r="J172" s="151">
        <v>0</v>
      </c>
      <c r="K172" s="152">
        <v>599.97772216796875</v>
      </c>
      <c r="L172" s="151">
        <v>0</v>
      </c>
      <c r="M172" s="152">
        <v>599.97772216796875</v>
      </c>
      <c r="N172" s="151">
        <v>0</v>
      </c>
      <c r="O172" s="152">
        <v>0</v>
      </c>
      <c r="P172" s="151">
        <v>0</v>
      </c>
      <c r="Q172" s="152">
        <v>0</v>
      </c>
      <c r="R172" s="151">
        <v>0</v>
      </c>
      <c r="S172" s="152">
        <v>0</v>
      </c>
      <c r="T172" s="151">
        <v>0</v>
      </c>
      <c r="U172" s="153">
        <v>0</v>
      </c>
      <c r="V172" t="e">
        <f>VLOOKUP(A172,'Projetos ciclo 2018-2022'!$I$8:$I$128,1,FALSE)</f>
        <v>#N/A</v>
      </c>
    </row>
    <row r="173" spans="1:22" x14ac:dyDescent="0.25">
      <c r="A173" s="21" t="s">
        <v>1163</v>
      </c>
      <c r="B173" s="154" t="s">
        <v>335</v>
      </c>
      <c r="C173" s="154" t="s">
        <v>1381</v>
      </c>
      <c r="D173" s="155">
        <v>0</v>
      </c>
      <c r="E173" s="158">
        <v>0</v>
      </c>
      <c r="F173" s="155">
        <v>0</v>
      </c>
      <c r="G173" s="158">
        <v>504</v>
      </c>
      <c r="H173" s="155">
        <v>0</v>
      </c>
      <c r="I173" s="158">
        <v>96.815998077392578</v>
      </c>
      <c r="J173" s="155">
        <v>0</v>
      </c>
      <c r="K173" s="158">
        <v>96.815998077392578</v>
      </c>
      <c r="L173" s="155">
        <v>407.36207246780396</v>
      </c>
      <c r="M173" s="158">
        <v>504.17807054519653</v>
      </c>
      <c r="N173" s="155">
        <v>0</v>
      </c>
      <c r="O173" s="158">
        <v>0</v>
      </c>
      <c r="P173" s="155">
        <v>0</v>
      </c>
      <c r="Q173" s="158">
        <v>0</v>
      </c>
      <c r="R173" s="155">
        <v>0</v>
      </c>
      <c r="S173" s="158">
        <v>0</v>
      </c>
      <c r="T173" s="155">
        <v>0</v>
      </c>
      <c r="U173" s="157">
        <v>0</v>
      </c>
      <c r="V173" t="e">
        <f>VLOOKUP(A173,'Projetos ciclo 2018-2022'!$I$8:$I$128,1,FALSE)</f>
        <v>#N/A</v>
      </c>
    </row>
    <row r="174" spans="1:22" x14ac:dyDescent="0.25">
      <c r="A174" s="149" t="s">
        <v>1144</v>
      </c>
      <c r="B174" s="150" t="s">
        <v>1382</v>
      </c>
      <c r="C174" s="150" t="s">
        <v>1383</v>
      </c>
      <c r="D174" s="151">
        <v>0</v>
      </c>
      <c r="E174" s="152">
        <v>0</v>
      </c>
      <c r="F174" s="151">
        <v>0</v>
      </c>
      <c r="G174" s="152">
        <v>216</v>
      </c>
      <c r="H174" s="151">
        <v>0</v>
      </c>
      <c r="I174" s="152">
        <v>11.423999786376953</v>
      </c>
      <c r="J174" s="151">
        <v>0</v>
      </c>
      <c r="K174" s="152">
        <v>11.423999786376953</v>
      </c>
      <c r="L174" s="151">
        <v>204.57600402832031</v>
      </c>
      <c r="M174" s="152">
        <v>216.00000381469727</v>
      </c>
      <c r="N174" s="151">
        <v>0</v>
      </c>
      <c r="O174" s="152">
        <v>0</v>
      </c>
      <c r="P174" s="151">
        <v>0</v>
      </c>
      <c r="Q174" s="152">
        <v>0</v>
      </c>
      <c r="R174" s="151">
        <v>0</v>
      </c>
      <c r="S174" s="152">
        <v>0</v>
      </c>
      <c r="T174" s="151">
        <v>0</v>
      </c>
      <c r="U174" s="153">
        <v>0</v>
      </c>
      <c r="V174" t="e">
        <f>VLOOKUP(A174,'Projetos ciclo 2018-2022'!$I$8:$I$128,1,FALSE)</f>
        <v>#N/A</v>
      </c>
    </row>
    <row r="175" spans="1:22" x14ac:dyDescent="0.25">
      <c r="A175" s="21" t="s">
        <v>1049</v>
      </c>
      <c r="B175" s="154" t="s">
        <v>1338</v>
      </c>
      <c r="C175" s="154" t="s">
        <v>1384</v>
      </c>
      <c r="D175" s="155">
        <v>0</v>
      </c>
      <c r="E175" s="158">
        <v>0</v>
      </c>
      <c r="F175" s="155">
        <v>0</v>
      </c>
      <c r="G175" s="158">
        <v>1500</v>
      </c>
      <c r="H175" s="155">
        <v>0</v>
      </c>
      <c r="I175" s="158">
        <v>0</v>
      </c>
      <c r="J175" s="155">
        <v>0</v>
      </c>
      <c r="K175" s="158">
        <v>0</v>
      </c>
      <c r="L175" s="155">
        <v>1496.0580673217773</v>
      </c>
      <c r="M175" s="158">
        <v>1496.0580673217773</v>
      </c>
      <c r="N175" s="155">
        <v>0</v>
      </c>
      <c r="O175" s="158">
        <v>0</v>
      </c>
      <c r="P175" s="155">
        <v>0</v>
      </c>
      <c r="Q175" s="158">
        <v>0</v>
      </c>
      <c r="R175" s="155">
        <v>0</v>
      </c>
      <c r="S175" s="158">
        <v>0</v>
      </c>
      <c r="T175" s="155">
        <v>0</v>
      </c>
      <c r="U175" s="157">
        <v>0</v>
      </c>
      <c r="V175" t="e">
        <f>VLOOKUP(A175,'Projetos ciclo 2018-2022'!$I$8:$I$128,1,FALSE)</f>
        <v>#N/A</v>
      </c>
    </row>
    <row r="176" spans="1:22" x14ac:dyDescent="0.25">
      <c r="A176" s="149" t="s">
        <v>1051</v>
      </c>
      <c r="B176" s="150" t="s">
        <v>1024</v>
      </c>
      <c r="C176" s="150" t="s">
        <v>1385</v>
      </c>
      <c r="D176" s="151">
        <v>0</v>
      </c>
      <c r="E176" s="152">
        <v>0</v>
      </c>
      <c r="F176" s="151">
        <v>0</v>
      </c>
      <c r="G176" s="152">
        <v>278</v>
      </c>
      <c r="H176" s="151">
        <v>0</v>
      </c>
      <c r="I176" s="152">
        <v>108.51967239379883</v>
      </c>
      <c r="J176" s="151">
        <v>0</v>
      </c>
      <c r="K176" s="152">
        <v>108.51967239379883</v>
      </c>
      <c r="L176" s="151">
        <v>169.582275390625</v>
      </c>
      <c r="M176" s="152">
        <v>278.10194778442383</v>
      </c>
      <c r="N176" s="151">
        <v>0</v>
      </c>
      <c r="O176" s="152">
        <v>0</v>
      </c>
      <c r="P176" s="151">
        <v>0</v>
      </c>
      <c r="Q176" s="152">
        <v>0</v>
      </c>
      <c r="R176" s="151">
        <v>0</v>
      </c>
      <c r="S176" s="152">
        <v>0</v>
      </c>
      <c r="T176" s="151">
        <v>0</v>
      </c>
      <c r="U176" s="153">
        <v>0</v>
      </c>
      <c r="V176" t="e">
        <f>VLOOKUP(A176,'Projetos ciclo 2018-2022'!$I$8:$I$128,1,FALSE)</f>
        <v>#N/A</v>
      </c>
    </row>
    <row r="177" spans="1:22" x14ac:dyDescent="0.25">
      <c r="A177" s="21" t="s">
        <v>1465</v>
      </c>
      <c r="B177" s="154" t="s">
        <v>1466</v>
      </c>
      <c r="C177" s="154" t="s">
        <v>1467</v>
      </c>
      <c r="D177" s="155">
        <v>0</v>
      </c>
      <c r="E177" s="158">
        <v>0</v>
      </c>
      <c r="F177" s="155">
        <v>0</v>
      </c>
      <c r="G177" s="158">
        <v>245</v>
      </c>
      <c r="H177" s="155">
        <v>0</v>
      </c>
      <c r="I177" s="158">
        <v>0</v>
      </c>
      <c r="J177" s="155">
        <v>0</v>
      </c>
      <c r="K177" s="158">
        <v>0</v>
      </c>
      <c r="L177" s="155">
        <v>232.37596130371094</v>
      </c>
      <c r="M177" s="158">
        <v>232.37596130371094</v>
      </c>
      <c r="N177" s="155">
        <v>0</v>
      </c>
      <c r="O177" s="158">
        <v>0</v>
      </c>
      <c r="P177" s="155">
        <v>0</v>
      </c>
      <c r="Q177" s="158">
        <v>0</v>
      </c>
      <c r="R177" s="155">
        <v>0</v>
      </c>
      <c r="S177" s="158">
        <v>0</v>
      </c>
      <c r="T177" s="155">
        <v>0</v>
      </c>
      <c r="U177" s="157">
        <v>0</v>
      </c>
      <c r="V177" t="e">
        <f>VLOOKUP(A177,'Projetos ciclo 2018-2022'!$I$8:$I$128,1,FALSE)</f>
        <v>#N/A</v>
      </c>
    </row>
    <row r="178" spans="1:22" x14ac:dyDescent="0.25">
      <c r="A178" s="149" t="s">
        <v>1140</v>
      </c>
      <c r="B178" s="150" t="s">
        <v>1386</v>
      </c>
      <c r="C178" s="150" t="s">
        <v>1387</v>
      </c>
      <c r="D178" s="151">
        <v>0</v>
      </c>
      <c r="E178" s="152">
        <v>0</v>
      </c>
      <c r="F178" s="151">
        <v>0</v>
      </c>
      <c r="G178" s="152">
        <v>814</v>
      </c>
      <c r="H178" s="151">
        <v>0</v>
      </c>
      <c r="I178" s="152">
        <v>813.67767333984375</v>
      </c>
      <c r="J178" s="151">
        <v>0</v>
      </c>
      <c r="K178" s="152">
        <v>813.67767333984375</v>
      </c>
      <c r="L178" s="151">
        <v>0</v>
      </c>
      <c r="M178" s="152">
        <v>813.67767333984375</v>
      </c>
      <c r="N178" s="151">
        <v>0</v>
      </c>
      <c r="O178" s="152">
        <v>0</v>
      </c>
      <c r="P178" s="151">
        <v>0</v>
      </c>
      <c r="Q178" s="152">
        <v>0</v>
      </c>
      <c r="R178" s="151">
        <v>0</v>
      </c>
      <c r="S178" s="152">
        <v>0</v>
      </c>
      <c r="T178" s="151">
        <v>0</v>
      </c>
      <c r="U178" s="153">
        <v>0</v>
      </c>
      <c r="V178" t="e">
        <f>VLOOKUP(A178,'Projetos ciclo 2018-2022'!$I$8:$I$128,1,FALSE)</f>
        <v>#N/A</v>
      </c>
    </row>
    <row r="179" spans="1:22" x14ac:dyDescent="0.25">
      <c r="A179" s="21" t="s">
        <v>1147</v>
      </c>
      <c r="B179" s="154" t="s">
        <v>1023</v>
      </c>
      <c r="C179" s="154" t="s">
        <v>1388</v>
      </c>
      <c r="D179" s="155">
        <v>0</v>
      </c>
      <c r="E179" s="158">
        <v>0</v>
      </c>
      <c r="F179" s="155">
        <v>0</v>
      </c>
      <c r="G179" s="158">
        <v>155</v>
      </c>
      <c r="H179" s="155">
        <v>0</v>
      </c>
      <c r="I179" s="158">
        <v>0</v>
      </c>
      <c r="J179" s="155">
        <v>0</v>
      </c>
      <c r="K179" s="158">
        <v>0</v>
      </c>
      <c r="L179" s="155">
        <v>154.5</v>
      </c>
      <c r="M179" s="158">
        <v>154.5</v>
      </c>
      <c r="N179" s="155">
        <v>0</v>
      </c>
      <c r="O179" s="158">
        <v>0</v>
      </c>
      <c r="P179" s="155">
        <v>0</v>
      </c>
      <c r="Q179" s="158">
        <v>0</v>
      </c>
      <c r="R179" s="155">
        <v>0</v>
      </c>
      <c r="S179" s="158">
        <v>0</v>
      </c>
      <c r="T179" s="155">
        <v>0</v>
      </c>
      <c r="U179" s="157">
        <v>0</v>
      </c>
      <c r="V179" t="e">
        <f>VLOOKUP(A179,'Projetos ciclo 2018-2022'!$I$8:$I$128,1,FALSE)</f>
        <v>#N/A</v>
      </c>
    </row>
    <row r="180" spans="1:22" x14ac:dyDescent="0.25">
      <c r="A180" s="149" t="s">
        <v>1050</v>
      </c>
      <c r="B180" s="150" t="s">
        <v>1022</v>
      </c>
      <c r="C180" s="150" t="s">
        <v>1389</v>
      </c>
      <c r="D180" s="151">
        <v>0</v>
      </c>
      <c r="E180" s="152">
        <v>0</v>
      </c>
      <c r="F180" s="151">
        <v>0</v>
      </c>
      <c r="G180" s="152">
        <v>247</v>
      </c>
      <c r="H180" s="151">
        <v>0</v>
      </c>
      <c r="I180" s="152">
        <v>0</v>
      </c>
      <c r="J180" s="151">
        <v>0</v>
      </c>
      <c r="K180" s="152">
        <v>0</v>
      </c>
      <c r="L180" s="151">
        <v>247.19999694824219</v>
      </c>
      <c r="M180" s="152">
        <v>247.19999694824219</v>
      </c>
      <c r="N180" s="151">
        <v>0</v>
      </c>
      <c r="O180" s="152">
        <v>0</v>
      </c>
      <c r="P180" s="151">
        <v>0</v>
      </c>
      <c r="Q180" s="152">
        <v>0</v>
      </c>
      <c r="R180" s="151">
        <v>0</v>
      </c>
      <c r="S180" s="152">
        <v>0</v>
      </c>
      <c r="T180" s="151">
        <v>0</v>
      </c>
      <c r="U180" s="153">
        <v>0</v>
      </c>
      <c r="V180" t="e">
        <f>VLOOKUP(A180,'Projetos ciclo 2018-2022'!$I$8:$I$128,1,FALSE)</f>
        <v>#N/A</v>
      </c>
    </row>
    <row r="181" spans="1:22" x14ac:dyDescent="0.25">
      <c r="A181" s="21" t="s">
        <v>1143</v>
      </c>
      <c r="B181" s="154" t="s">
        <v>1390</v>
      </c>
      <c r="C181" s="154" t="s">
        <v>1391</v>
      </c>
      <c r="D181" s="155">
        <v>0</v>
      </c>
      <c r="E181" s="158">
        <v>0</v>
      </c>
      <c r="F181" s="155">
        <v>0</v>
      </c>
      <c r="G181" s="158">
        <v>871</v>
      </c>
      <c r="H181" s="155">
        <v>0</v>
      </c>
      <c r="I181" s="158">
        <v>0</v>
      </c>
      <c r="J181" s="155">
        <v>0</v>
      </c>
      <c r="K181" s="158">
        <v>0</v>
      </c>
      <c r="L181" s="155">
        <v>384.39999389648437</v>
      </c>
      <c r="M181" s="158">
        <v>384.39999389648437</v>
      </c>
      <c r="N181" s="155">
        <v>0</v>
      </c>
      <c r="O181" s="158">
        <v>0</v>
      </c>
      <c r="P181" s="155">
        <v>0</v>
      </c>
      <c r="Q181" s="158">
        <v>0</v>
      </c>
      <c r="R181" s="155">
        <v>0</v>
      </c>
      <c r="S181" s="158">
        <v>0</v>
      </c>
      <c r="T181" s="155">
        <v>0</v>
      </c>
      <c r="U181" s="157">
        <v>0</v>
      </c>
      <c r="V181" t="e">
        <f>VLOOKUP(A181,'Projetos ciclo 2018-2022'!$I$8:$I$128,1,FALSE)</f>
        <v>#N/A</v>
      </c>
    </row>
    <row r="182" spans="1:22" x14ac:dyDescent="0.25">
      <c r="A182" s="149" t="s">
        <v>1550</v>
      </c>
      <c r="B182" s="150" t="s">
        <v>1551</v>
      </c>
      <c r="C182" s="150" t="s">
        <v>1552</v>
      </c>
      <c r="D182" s="151">
        <v>0</v>
      </c>
      <c r="E182" s="152">
        <v>0</v>
      </c>
      <c r="F182" s="151">
        <v>0</v>
      </c>
      <c r="G182" s="152">
        <v>150</v>
      </c>
      <c r="H182" s="151">
        <v>0</v>
      </c>
      <c r="I182" s="152">
        <v>0</v>
      </c>
      <c r="J182" s="151">
        <v>0</v>
      </c>
      <c r="K182" s="152">
        <v>0</v>
      </c>
      <c r="L182" s="151">
        <v>0</v>
      </c>
      <c r="M182" s="152">
        <v>0</v>
      </c>
      <c r="N182" s="151">
        <v>0</v>
      </c>
      <c r="O182" s="152">
        <v>0</v>
      </c>
      <c r="P182" s="151">
        <v>0</v>
      </c>
      <c r="Q182" s="152">
        <v>0</v>
      </c>
      <c r="R182" s="151">
        <v>0</v>
      </c>
      <c r="S182" s="152">
        <v>0</v>
      </c>
      <c r="T182" s="151">
        <v>0</v>
      </c>
      <c r="U182" s="153">
        <v>0</v>
      </c>
      <c r="V182" t="e">
        <f>VLOOKUP(A182,'Projetos ciclo 2018-2022'!$I$8:$I$128,1,FALSE)</f>
        <v>#N/A</v>
      </c>
    </row>
    <row r="183" spans="1:22" x14ac:dyDescent="0.25">
      <c r="A183" s="21" t="s">
        <v>1479</v>
      </c>
      <c r="B183" s="154" t="s">
        <v>1480</v>
      </c>
      <c r="C183" s="154" t="s">
        <v>1481</v>
      </c>
      <c r="D183" s="155">
        <v>0</v>
      </c>
      <c r="E183" s="158">
        <v>0</v>
      </c>
      <c r="F183" s="155">
        <v>0</v>
      </c>
      <c r="G183" s="158">
        <v>141</v>
      </c>
      <c r="H183" s="155">
        <v>0</v>
      </c>
      <c r="I183" s="158">
        <v>0</v>
      </c>
      <c r="J183" s="155">
        <v>0</v>
      </c>
      <c r="K183" s="158">
        <v>0</v>
      </c>
      <c r="L183" s="155">
        <v>141.22349548339844</v>
      </c>
      <c r="M183" s="158">
        <v>141.22349548339844</v>
      </c>
      <c r="N183" s="155">
        <v>0</v>
      </c>
      <c r="O183" s="158">
        <v>0</v>
      </c>
      <c r="P183" s="155">
        <v>0</v>
      </c>
      <c r="Q183" s="158">
        <v>0</v>
      </c>
      <c r="R183" s="155">
        <v>0</v>
      </c>
      <c r="S183" s="158">
        <v>0</v>
      </c>
      <c r="T183" s="155">
        <v>0</v>
      </c>
      <c r="U183" s="157">
        <v>0</v>
      </c>
      <c r="V183" t="e">
        <f>VLOOKUP(A183,'Projetos ciclo 2018-2022'!$I$8:$I$128,1,FALSE)</f>
        <v>#N/A</v>
      </c>
    </row>
    <row r="184" spans="1:22" x14ac:dyDescent="0.25">
      <c r="A184" s="149" t="s">
        <v>1587</v>
      </c>
      <c r="B184" s="150" t="s">
        <v>1588</v>
      </c>
      <c r="C184" s="150" t="s">
        <v>1589</v>
      </c>
      <c r="D184" s="151">
        <v>0</v>
      </c>
      <c r="E184" s="152">
        <v>0</v>
      </c>
      <c r="F184" s="151">
        <v>0</v>
      </c>
      <c r="G184" s="152">
        <v>420</v>
      </c>
      <c r="H184" s="151">
        <v>0</v>
      </c>
      <c r="I184" s="152">
        <v>0</v>
      </c>
      <c r="J184" s="151">
        <v>0</v>
      </c>
      <c r="K184" s="152">
        <v>0</v>
      </c>
      <c r="L184" s="151">
        <v>420.44839477539062</v>
      </c>
      <c r="M184" s="152">
        <v>420.44839477539062</v>
      </c>
      <c r="N184" s="151">
        <v>0</v>
      </c>
      <c r="O184" s="152">
        <v>0</v>
      </c>
      <c r="P184" s="151">
        <v>0</v>
      </c>
      <c r="Q184" s="152">
        <v>0</v>
      </c>
      <c r="R184" s="151">
        <v>0</v>
      </c>
      <c r="S184" s="152">
        <v>0</v>
      </c>
      <c r="T184" s="151">
        <v>0</v>
      </c>
      <c r="U184" s="153">
        <v>0</v>
      </c>
      <c r="V184" t="e">
        <f>VLOOKUP(A184,'Projetos ciclo 2018-2022'!$I$8:$I$128,1,FALSE)</f>
        <v>#N/A</v>
      </c>
    </row>
    <row r="185" spans="1:22" x14ac:dyDescent="0.25">
      <c r="A185" s="21" t="s">
        <v>1615</v>
      </c>
      <c r="B185" s="154" t="s">
        <v>1616</v>
      </c>
      <c r="C185" s="154" t="s">
        <v>1617</v>
      </c>
      <c r="D185" s="155">
        <v>0</v>
      </c>
      <c r="E185" s="158">
        <v>0</v>
      </c>
      <c r="F185" s="155">
        <v>0</v>
      </c>
      <c r="G185" s="158">
        <v>800</v>
      </c>
      <c r="H185" s="155">
        <v>0</v>
      </c>
      <c r="I185" s="158">
        <v>0</v>
      </c>
      <c r="J185" s="155">
        <v>0</v>
      </c>
      <c r="K185" s="158">
        <v>0</v>
      </c>
      <c r="L185" s="155">
        <v>800</v>
      </c>
      <c r="M185" s="158">
        <v>800</v>
      </c>
      <c r="N185" s="155">
        <v>0</v>
      </c>
      <c r="O185" s="158">
        <v>0</v>
      </c>
      <c r="P185" s="155">
        <v>0</v>
      </c>
      <c r="Q185" s="158">
        <v>0</v>
      </c>
      <c r="R185" s="155">
        <v>0</v>
      </c>
      <c r="S185" s="158">
        <v>0</v>
      </c>
      <c r="T185" s="155">
        <v>0</v>
      </c>
      <c r="U185" s="157">
        <v>0</v>
      </c>
      <c r="V185" t="e">
        <f>VLOOKUP(A185,'Projetos ciclo 2018-2022'!$I$8:$I$128,1,FALSE)</f>
        <v>#N/A</v>
      </c>
    </row>
    <row r="186" spans="1:22" x14ac:dyDescent="0.25">
      <c r="A186" s="149" t="s">
        <v>1645</v>
      </c>
      <c r="B186" s="150" t="s">
        <v>1605</v>
      </c>
      <c r="C186" s="150" t="s">
        <v>1646</v>
      </c>
      <c r="D186" s="151">
        <v>0</v>
      </c>
      <c r="E186" s="152">
        <v>0</v>
      </c>
      <c r="F186" s="151">
        <v>0</v>
      </c>
      <c r="G186" s="152">
        <v>500</v>
      </c>
      <c r="H186" s="151">
        <v>0</v>
      </c>
      <c r="I186" s="152">
        <v>0</v>
      </c>
      <c r="J186" s="151">
        <v>0</v>
      </c>
      <c r="K186" s="152">
        <v>0</v>
      </c>
      <c r="L186" s="151">
        <v>0</v>
      </c>
      <c r="M186" s="152">
        <v>0</v>
      </c>
      <c r="N186" s="151">
        <v>0</v>
      </c>
      <c r="O186" s="152">
        <v>0</v>
      </c>
      <c r="P186" s="151">
        <v>0</v>
      </c>
      <c r="Q186" s="152">
        <v>0</v>
      </c>
      <c r="R186" s="151">
        <v>0</v>
      </c>
      <c r="S186" s="152">
        <v>0</v>
      </c>
      <c r="T186" s="151">
        <v>0</v>
      </c>
      <c r="U186" s="153">
        <v>0</v>
      </c>
      <c r="V186" t="e">
        <f>VLOOKUP(A186,'Projetos ciclo 2018-2022'!$I$8:$I$128,1,FALSE)</f>
        <v>#N/A</v>
      </c>
    </row>
    <row r="187" spans="1:22" x14ac:dyDescent="0.25">
      <c r="A187" s="21" t="s">
        <v>1647</v>
      </c>
      <c r="B187" s="154" t="s">
        <v>1574</v>
      </c>
      <c r="C187" s="154" t="s">
        <v>1648</v>
      </c>
      <c r="D187" s="155">
        <v>0</v>
      </c>
      <c r="E187" s="158">
        <v>0</v>
      </c>
      <c r="F187" s="155">
        <v>0</v>
      </c>
      <c r="G187" s="158">
        <v>1165</v>
      </c>
      <c r="H187" s="155">
        <v>0</v>
      </c>
      <c r="I187" s="158">
        <v>0</v>
      </c>
      <c r="J187" s="155">
        <v>0</v>
      </c>
      <c r="K187" s="158">
        <v>0</v>
      </c>
      <c r="L187" s="155">
        <v>0</v>
      </c>
      <c r="M187" s="158">
        <v>0</v>
      </c>
      <c r="N187" s="155">
        <v>0</v>
      </c>
      <c r="O187" s="158">
        <v>0</v>
      </c>
      <c r="P187" s="155">
        <v>0</v>
      </c>
      <c r="Q187" s="158">
        <v>0</v>
      </c>
      <c r="R187" s="155">
        <v>0</v>
      </c>
      <c r="S187" s="158">
        <v>0</v>
      </c>
      <c r="T187" s="155">
        <v>0</v>
      </c>
      <c r="U187" s="157">
        <v>0</v>
      </c>
      <c r="V187" t="e">
        <f>VLOOKUP(A187,'Projetos ciclo 2018-2022'!$I$8:$I$128,1,FALSE)</f>
        <v>#N/A</v>
      </c>
    </row>
    <row r="188" spans="1:22" x14ac:dyDescent="0.25">
      <c r="A188" s="149" t="s">
        <v>1649</v>
      </c>
      <c r="B188" s="150" t="s">
        <v>843</v>
      </c>
      <c r="C188" s="150" t="s">
        <v>1650</v>
      </c>
      <c r="D188" s="151">
        <v>0</v>
      </c>
      <c r="E188" s="152">
        <v>0</v>
      </c>
      <c r="F188" s="151">
        <v>0</v>
      </c>
      <c r="G188" s="152">
        <v>1460</v>
      </c>
      <c r="H188" s="151">
        <v>0</v>
      </c>
      <c r="I188" s="152">
        <v>0</v>
      </c>
      <c r="J188" s="151">
        <v>0</v>
      </c>
      <c r="K188" s="152">
        <v>0</v>
      </c>
      <c r="L188" s="151">
        <v>0</v>
      </c>
      <c r="M188" s="152">
        <v>0</v>
      </c>
      <c r="N188" s="151">
        <v>0</v>
      </c>
      <c r="O188" s="152">
        <v>0</v>
      </c>
      <c r="P188" s="151">
        <v>0</v>
      </c>
      <c r="Q188" s="152">
        <v>0</v>
      </c>
      <c r="R188" s="151">
        <v>0</v>
      </c>
      <c r="S188" s="152">
        <v>0</v>
      </c>
      <c r="T188" s="151">
        <v>0</v>
      </c>
      <c r="U188" s="153">
        <v>0</v>
      </c>
      <c r="V188" t="e">
        <f>VLOOKUP(A188,'Projetos ciclo 2018-2022'!$I$8:$I$128,1,FALSE)</f>
        <v>#N/A</v>
      </c>
    </row>
    <row r="189" spans="1:22" x14ac:dyDescent="0.25">
      <c r="A189" s="21" t="s">
        <v>1651</v>
      </c>
      <c r="B189" s="154" t="s">
        <v>1652</v>
      </c>
      <c r="C189" s="154" t="s">
        <v>1653</v>
      </c>
      <c r="D189" s="155">
        <v>0</v>
      </c>
      <c r="E189" s="158">
        <v>0</v>
      </c>
      <c r="F189" s="155">
        <v>0</v>
      </c>
      <c r="G189" s="158">
        <v>179</v>
      </c>
      <c r="H189" s="155">
        <v>0</v>
      </c>
      <c r="I189" s="158">
        <v>0</v>
      </c>
      <c r="J189" s="155">
        <v>0</v>
      </c>
      <c r="K189" s="158">
        <v>0</v>
      </c>
      <c r="L189" s="155">
        <v>0</v>
      </c>
      <c r="M189" s="158">
        <v>0</v>
      </c>
      <c r="N189" s="155">
        <v>0</v>
      </c>
      <c r="O189" s="158">
        <v>0</v>
      </c>
      <c r="P189" s="155">
        <v>0</v>
      </c>
      <c r="Q189" s="158">
        <v>0</v>
      </c>
      <c r="R189" s="155">
        <v>0</v>
      </c>
      <c r="S189" s="158">
        <v>0</v>
      </c>
      <c r="T189" s="155">
        <v>0</v>
      </c>
      <c r="U189" s="157">
        <v>0</v>
      </c>
      <c r="V189" t="e">
        <f>VLOOKUP(A189,'Projetos ciclo 2018-2022'!$I$8:$I$128,1,FALSE)</f>
        <v>#N/A</v>
      </c>
    </row>
    <row r="190" spans="1:22" x14ac:dyDescent="0.25">
      <c r="A190" s="149" t="s">
        <v>1194</v>
      </c>
      <c r="B190" s="150" t="s">
        <v>1392</v>
      </c>
      <c r="C190" s="150" t="s">
        <v>59</v>
      </c>
      <c r="D190" s="151">
        <v>0</v>
      </c>
      <c r="E190" s="152">
        <v>0</v>
      </c>
      <c r="F190" s="151">
        <v>0</v>
      </c>
      <c r="G190" s="152">
        <v>0</v>
      </c>
      <c r="H190" s="151">
        <v>0</v>
      </c>
      <c r="I190" s="152">
        <v>0</v>
      </c>
      <c r="J190" s="151">
        <v>0</v>
      </c>
      <c r="K190" s="152">
        <v>0</v>
      </c>
      <c r="L190" s="151">
        <v>0</v>
      </c>
      <c r="M190" s="152">
        <v>0</v>
      </c>
      <c r="N190" s="151">
        <v>0</v>
      </c>
      <c r="O190" s="152">
        <v>0</v>
      </c>
      <c r="P190" s="151">
        <v>0</v>
      </c>
      <c r="Q190" s="152">
        <v>0</v>
      </c>
      <c r="R190" s="151">
        <v>0</v>
      </c>
      <c r="S190" s="152">
        <v>0</v>
      </c>
      <c r="T190" s="151">
        <v>0</v>
      </c>
      <c r="U190" s="153">
        <v>0</v>
      </c>
      <c r="V190" t="e">
        <f>VLOOKUP(A190,'Projetos ciclo 2018-2022'!$I$8:$I$128,1,FALSE)</f>
        <v>#N/A</v>
      </c>
    </row>
    <row r="191" spans="1:22" x14ac:dyDescent="0.25">
      <c r="A191" s="21" t="s">
        <v>1196</v>
      </c>
      <c r="B191" s="154" t="s">
        <v>1197</v>
      </c>
      <c r="C191" s="154" t="s">
        <v>59</v>
      </c>
      <c r="D191" s="155">
        <v>0</v>
      </c>
      <c r="E191" s="158">
        <v>0</v>
      </c>
      <c r="F191" s="155">
        <v>0</v>
      </c>
      <c r="G191" s="158">
        <v>0</v>
      </c>
      <c r="H191" s="155">
        <v>0</v>
      </c>
      <c r="I191" s="158">
        <v>0</v>
      </c>
      <c r="J191" s="155">
        <v>0</v>
      </c>
      <c r="K191" s="158">
        <v>0</v>
      </c>
      <c r="L191" s="155">
        <v>0</v>
      </c>
      <c r="M191" s="158">
        <v>0</v>
      </c>
      <c r="N191" s="155">
        <v>0</v>
      </c>
      <c r="O191" s="158">
        <v>0</v>
      </c>
      <c r="P191" s="155">
        <v>0</v>
      </c>
      <c r="Q191" s="158">
        <v>0</v>
      </c>
      <c r="R191" s="155">
        <v>0</v>
      </c>
      <c r="S191" s="158">
        <v>0</v>
      </c>
      <c r="T191" s="155">
        <v>0</v>
      </c>
      <c r="U191" s="157">
        <v>0</v>
      </c>
    </row>
    <row r="192" spans="1:22" x14ac:dyDescent="0.25">
      <c r="A192" s="149" t="s">
        <v>1393</v>
      </c>
      <c r="B192" s="150" t="s">
        <v>1394</v>
      </c>
      <c r="C192" s="150" t="s">
        <v>1510</v>
      </c>
      <c r="D192" s="151">
        <v>3182</v>
      </c>
      <c r="E192" s="152">
        <v>0</v>
      </c>
      <c r="F192" s="151">
        <v>3182</v>
      </c>
      <c r="G192" s="152">
        <v>0</v>
      </c>
      <c r="H192" s="151">
        <v>0</v>
      </c>
      <c r="I192" s="152">
        <v>0</v>
      </c>
      <c r="J192" s="151">
        <v>0</v>
      </c>
      <c r="K192" s="152">
        <v>0</v>
      </c>
      <c r="L192" s="151">
        <v>0</v>
      </c>
      <c r="M192" s="152">
        <v>0</v>
      </c>
      <c r="N192" s="151">
        <v>0</v>
      </c>
      <c r="O192" s="152">
        <v>0</v>
      </c>
      <c r="P192" s="151">
        <v>0</v>
      </c>
      <c r="Q192" s="152">
        <v>0</v>
      </c>
      <c r="R192" s="151">
        <v>0</v>
      </c>
      <c r="S192" s="152">
        <v>0</v>
      </c>
      <c r="T192" s="151">
        <v>0</v>
      </c>
      <c r="U192" s="153">
        <v>0</v>
      </c>
    </row>
    <row r="193" spans="1:21" x14ac:dyDescent="0.25">
      <c r="A193" s="21" t="s">
        <v>1426</v>
      </c>
      <c r="B193" s="154" t="s">
        <v>1511</v>
      </c>
      <c r="C193" s="154" t="s">
        <v>1512</v>
      </c>
      <c r="D193" s="155">
        <v>0</v>
      </c>
      <c r="E193" s="158">
        <v>0</v>
      </c>
      <c r="F193" s="155">
        <v>0</v>
      </c>
      <c r="G193" s="158">
        <v>720</v>
      </c>
      <c r="H193" s="155">
        <v>0</v>
      </c>
      <c r="I193" s="158">
        <v>0</v>
      </c>
      <c r="J193" s="155">
        <v>0</v>
      </c>
      <c r="K193" s="158">
        <v>0</v>
      </c>
      <c r="L193" s="155">
        <v>0</v>
      </c>
      <c r="M193" s="158">
        <v>0</v>
      </c>
      <c r="N193" s="155">
        <v>0</v>
      </c>
      <c r="O193" s="158">
        <v>0</v>
      </c>
      <c r="P193" s="155">
        <v>0</v>
      </c>
      <c r="Q193" s="158">
        <v>0</v>
      </c>
      <c r="R193" s="155">
        <v>0</v>
      </c>
      <c r="S193" s="158">
        <v>0</v>
      </c>
      <c r="T193" s="155">
        <v>0</v>
      </c>
      <c r="U193" s="157">
        <v>0</v>
      </c>
    </row>
    <row r="194" spans="1:21" x14ac:dyDescent="0.25">
      <c r="A194" s="149" t="s">
        <v>1427</v>
      </c>
      <c r="B194" s="150" t="s">
        <v>698</v>
      </c>
      <c r="C194" s="150" t="s">
        <v>1513</v>
      </c>
      <c r="D194" s="151">
        <v>0</v>
      </c>
      <c r="E194" s="152">
        <v>0</v>
      </c>
      <c r="F194" s="151">
        <v>0</v>
      </c>
      <c r="G194" s="152">
        <v>500</v>
      </c>
      <c r="H194" s="151">
        <v>0</v>
      </c>
      <c r="I194" s="152">
        <v>0</v>
      </c>
      <c r="J194" s="151">
        <v>0</v>
      </c>
      <c r="K194" s="152">
        <v>0</v>
      </c>
      <c r="L194" s="151">
        <v>0</v>
      </c>
      <c r="M194" s="152">
        <v>0</v>
      </c>
      <c r="N194" s="151">
        <v>0</v>
      </c>
      <c r="O194" s="152">
        <v>0</v>
      </c>
      <c r="P194" s="151">
        <v>0</v>
      </c>
      <c r="Q194" s="152">
        <v>0</v>
      </c>
      <c r="R194" s="151">
        <v>0</v>
      </c>
      <c r="S194" s="152">
        <v>0</v>
      </c>
      <c r="T194" s="151">
        <v>0</v>
      </c>
      <c r="U194" s="153">
        <v>0</v>
      </c>
    </row>
    <row r="195" spans="1:21" x14ac:dyDescent="0.25">
      <c r="A195" s="21" t="s">
        <v>565</v>
      </c>
      <c r="B195" s="154" t="s">
        <v>1198</v>
      </c>
      <c r="C195" s="154" t="s">
        <v>59</v>
      </c>
      <c r="D195" s="155">
        <v>5366</v>
      </c>
      <c r="E195" s="158">
        <v>0</v>
      </c>
      <c r="F195" s="155">
        <v>0</v>
      </c>
      <c r="G195" s="158">
        <v>0</v>
      </c>
      <c r="H195" s="155">
        <v>0</v>
      </c>
      <c r="I195" s="158">
        <v>0</v>
      </c>
      <c r="J195" s="155">
        <v>0</v>
      </c>
      <c r="K195" s="158">
        <v>0</v>
      </c>
      <c r="L195" s="155">
        <v>0</v>
      </c>
      <c r="M195" s="158">
        <v>0</v>
      </c>
      <c r="N195" s="155">
        <v>1864</v>
      </c>
      <c r="O195" s="158">
        <v>2982</v>
      </c>
      <c r="P195" s="155">
        <v>350</v>
      </c>
      <c r="Q195" s="158">
        <v>170</v>
      </c>
      <c r="R195" s="155">
        <v>0</v>
      </c>
      <c r="S195" s="158">
        <v>0</v>
      </c>
      <c r="T195" s="155">
        <v>0</v>
      </c>
      <c r="U195" s="157">
        <v>0</v>
      </c>
    </row>
    <row r="196" spans="1:21" x14ac:dyDescent="0.25">
      <c r="A196" s="149" t="s">
        <v>1199</v>
      </c>
      <c r="B196" s="150" t="s">
        <v>1200</v>
      </c>
      <c r="C196" s="150" t="s">
        <v>59</v>
      </c>
      <c r="D196" s="151">
        <v>0</v>
      </c>
      <c r="E196" s="152">
        <v>0</v>
      </c>
      <c r="F196" s="151">
        <v>0</v>
      </c>
      <c r="G196" s="152">
        <v>0</v>
      </c>
      <c r="H196" s="151">
        <v>0</v>
      </c>
      <c r="I196" s="152">
        <v>0</v>
      </c>
      <c r="J196" s="151">
        <v>0</v>
      </c>
      <c r="K196" s="152">
        <v>0</v>
      </c>
      <c r="L196" s="151">
        <v>0</v>
      </c>
      <c r="M196" s="152">
        <v>0</v>
      </c>
      <c r="N196" s="151">
        <v>0</v>
      </c>
      <c r="O196" s="152">
        <v>0</v>
      </c>
      <c r="P196" s="151">
        <v>0</v>
      </c>
      <c r="Q196" s="152">
        <v>0</v>
      </c>
      <c r="R196" s="151">
        <v>0</v>
      </c>
      <c r="S196" s="152">
        <v>0</v>
      </c>
      <c r="T196" s="151">
        <v>0</v>
      </c>
      <c r="U196" s="153">
        <v>0</v>
      </c>
    </row>
    <row r="197" spans="1:21" x14ac:dyDescent="0.25">
      <c r="A197" s="21" t="s">
        <v>1194</v>
      </c>
      <c r="B197" s="154" t="s">
        <v>1315</v>
      </c>
      <c r="C197" s="154" t="s">
        <v>59</v>
      </c>
      <c r="D197" s="155">
        <v>0</v>
      </c>
      <c r="E197" s="158">
        <v>0</v>
      </c>
      <c r="F197" s="155">
        <v>0</v>
      </c>
      <c r="G197" s="158">
        <v>0</v>
      </c>
      <c r="H197" s="155">
        <v>0</v>
      </c>
      <c r="I197" s="158">
        <v>0</v>
      </c>
      <c r="J197" s="155">
        <v>0</v>
      </c>
      <c r="K197" s="158">
        <v>0</v>
      </c>
      <c r="L197" s="155">
        <v>0</v>
      </c>
      <c r="M197" s="158">
        <v>0</v>
      </c>
      <c r="N197" s="155">
        <v>0</v>
      </c>
      <c r="O197" s="158">
        <v>0</v>
      </c>
      <c r="P197" s="155">
        <v>0</v>
      </c>
      <c r="Q197" s="158">
        <v>0</v>
      </c>
      <c r="R197" s="155">
        <v>0</v>
      </c>
      <c r="S197" s="158">
        <v>0</v>
      </c>
      <c r="T197" s="155">
        <v>0</v>
      </c>
      <c r="U197" s="157">
        <v>0</v>
      </c>
    </row>
    <row r="198" spans="1:21" x14ac:dyDescent="0.25">
      <c r="A198" s="149" t="s">
        <v>1196</v>
      </c>
      <c r="B198" s="150" t="s">
        <v>1197</v>
      </c>
      <c r="C198" s="150" t="s">
        <v>59</v>
      </c>
      <c r="D198" s="151">
        <v>0</v>
      </c>
      <c r="E198" s="152">
        <v>0</v>
      </c>
      <c r="F198" s="151">
        <v>0</v>
      </c>
      <c r="G198" s="152">
        <v>0</v>
      </c>
      <c r="H198" s="151">
        <v>0</v>
      </c>
      <c r="I198" s="152">
        <v>0</v>
      </c>
      <c r="J198" s="151">
        <v>0</v>
      </c>
      <c r="K198" s="152">
        <v>0</v>
      </c>
      <c r="L198" s="151">
        <v>0</v>
      </c>
      <c r="M198" s="152">
        <v>0</v>
      </c>
      <c r="N198" s="151">
        <v>0</v>
      </c>
      <c r="O198" s="152">
        <v>0</v>
      </c>
      <c r="P198" s="151">
        <v>0</v>
      </c>
      <c r="Q198" s="152">
        <v>0</v>
      </c>
      <c r="R198" s="151">
        <v>0</v>
      </c>
      <c r="S198" s="152">
        <v>0</v>
      </c>
      <c r="T198" s="151">
        <v>0</v>
      </c>
      <c r="U198" s="153">
        <v>0</v>
      </c>
    </row>
    <row r="199" spans="1:21" x14ac:dyDescent="0.25">
      <c r="A199" s="21" t="s">
        <v>565</v>
      </c>
      <c r="B199" s="154" t="s">
        <v>1396</v>
      </c>
      <c r="C199" s="154" t="s">
        <v>59</v>
      </c>
      <c r="D199" s="155">
        <v>625</v>
      </c>
      <c r="E199" s="158">
        <v>0</v>
      </c>
      <c r="F199" s="155">
        <v>0</v>
      </c>
      <c r="G199" s="158">
        <v>0</v>
      </c>
      <c r="H199" s="155">
        <v>0</v>
      </c>
      <c r="I199" s="158">
        <v>0</v>
      </c>
      <c r="J199" s="155">
        <v>0</v>
      </c>
      <c r="K199" s="158">
        <v>0</v>
      </c>
      <c r="L199" s="155">
        <v>0</v>
      </c>
      <c r="M199" s="158">
        <v>0</v>
      </c>
      <c r="N199" s="155">
        <v>75</v>
      </c>
      <c r="O199" s="158">
        <v>150</v>
      </c>
      <c r="P199" s="155">
        <v>150</v>
      </c>
      <c r="Q199" s="158">
        <v>250</v>
      </c>
      <c r="R199" s="155">
        <v>0</v>
      </c>
      <c r="S199" s="158">
        <v>0</v>
      </c>
      <c r="T199" s="155">
        <v>0</v>
      </c>
      <c r="U199" s="157">
        <v>0</v>
      </c>
    </row>
    <row r="200" spans="1:21" x14ac:dyDescent="0.25">
      <c r="A200" s="149" t="s">
        <v>1199</v>
      </c>
      <c r="B200" s="150" t="s">
        <v>1200</v>
      </c>
      <c r="C200" s="150" t="s">
        <v>59</v>
      </c>
      <c r="D200" s="151">
        <v>0</v>
      </c>
      <c r="E200" s="152">
        <v>0</v>
      </c>
      <c r="F200" s="151">
        <v>0</v>
      </c>
      <c r="G200" s="152">
        <v>0</v>
      </c>
      <c r="H200" s="151">
        <v>0</v>
      </c>
      <c r="I200" s="152">
        <v>0</v>
      </c>
      <c r="J200" s="151">
        <v>0</v>
      </c>
      <c r="K200" s="152">
        <v>0</v>
      </c>
      <c r="L200" s="151">
        <v>0</v>
      </c>
      <c r="M200" s="152">
        <v>0</v>
      </c>
      <c r="N200" s="151">
        <v>0</v>
      </c>
      <c r="O200" s="152">
        <v>0</v>
      </c>
      <c r="P200" s="151">
        <v>0</v>
      </c>
      <c r="Q200" s="152">
        <v>0</v>
      </c>
      <c r="R200" s="151">
        <v>0</v>
      </c>
      <c r="S200" s="152">
        <v>0</v>
      </c>
      <c r="T200" s="151">
        <v>0</v>
      </c>
      <c r="U200" s="153">
        <v>0</v>
      </c>
    </row>
    <row r="201" spans="1:21" x14ac:dyDescent="0.25">
      <c r="A201" s="21" t="s">
        <v>1397</v>
      </c>
      <c r="B201" s="154" t="s">
        <v>1398</v>
      </c>
      <c r="C201" s="154" t="s">
        <v>1399</v>
      </c>
      <c r="D201" s="155">
        <v>75</v>
      </c>
      <c r="E201" s="158">
        <v>0</v>
      </c>
      <c r="F201" s="155">
        <v>75</v>
      </c>
      <c r="G201" s="158">
        <v>0</v>
      </c>
      <c r="H201" s="155">
        <v>0</v>
      </c>
      <c r="I201" s="158">
        <v>0</v>
      </c>
      <c r="J201" s="155">
        <v>0</v>
      </c>
      <c r="K201" s="158">
        <v>0</v>
      </c>
      <c r="L201" s="155">
        <v>0</v>
      </c>
      <c r="M201" s="158">
        <v>0</v>
      </c>
      <c r="N201" s="155">
        <v>0</v>
      </c>
      <c r="O201" s="158">
        <v>0</v>
      </c>
      <c r="P201" s="155">
        <v>0</v>
      </c>
      <c r="Q201" s="158">
        <v>0</v>
      </c>
      <c r="R201" s="155">
        <v>0</v>
      </c>
      <c r="S201" s="158">
        <v>0</v>
      </c>
      <c r="T201" s="155">
        <v>0</v>
      </c>
      <c r="U201" s="157">
        <v>0</v>
      </c>
    </row>
    <row r="202" spans="1:21" x14ac:dyDescent="0.25">
      <c r="A202" s="149" t="s">
        <v>1482</v>
      </c>
      <c r="B202" s="150" t="s">
        <v>1463</v>
      </c>
      <c r="C202" s="150" t="s">
        <v>1483</v>
      </c>
      <c r="D202" s="151">
        <v>0</v>
      </c>
      <c r="E202" s="152">
        <v>0</v>
      </c>
      <c r="F202" s="151">
        <v>0</v>
      </c>
      <c r="G202" s="152">
        <v>75</v>
      </c>
      <c r="H202" s="151">
        <v>0</v>
      </c>
      <c r="I202" s="152">
        <v>0</v>
      </c>
      <c r="J202" s="151">
        <v>0</v>
      </c>
      <c r="K202" s="152">
        <v>0</v>
      </c>
      <c r="L202" s="151">
        <v>0</v>
      </c>
      <c r="M202" s="152">
        <v>0</v>
      </c>
      <c r="N202" s="151">
        <v>0</v>
      </c>
      <c r="O202" s="152">
        <v>0</v>
      </c>
      <c r="P202" s="151">
        <v>0</v>
      </c>
      <c r="Q202" s="152">
        <v>0</v>
      </c>
      <c r="R202" s="151">
        <v>0</v>
      </c>
      <c r="S202" s="152">
        <v>0</v>
      </c>
      <c r="T202" s="151">
        <v>0</v>
      </c>
      <c r="U202" s="153">
        <v>0</v>
      </c>
    </row>
    <row r="203" spans="1:21" x14ac:dyDescent="0.25">
      <c r="A203" s="21" t="s">
        <v>1194</v>
      </c>
      <c r="B203" s="154" t="s">
        <v>1400</v>
      </c>
      <c r="C203" s="154" t="s">
        <v>59</v>
      </c>
      <c r="D203" s="155">
        <v>0</v>
      </c>
      <c r="E203" s="158">
        <v>0</v>
      </c>
      <c r="F203" s="155">
        <v>0</v>
      </c>
      <c r="G203" s="158">
        <v>0</v>
      </c>
      <c r="H203" s="155">
        <v>0</v>
      </c>
      <c r="I203" s="158">
        <v>0</v>
      </c>
      <c r="J203" s="155">
        <v>0</v>
      </c>
      <c r="K203" s="158">
        <v>0</v>
      </c>
      <c r="L203" s="155">
        <v>0</v>
      </c>
      <c r="M203" s="158">
        <v>0</v>
      </c>
      <c r="N203" s="155">
        <v>0</v>
      </c>
      <c r="O203" s="158">
        <v>0</v>
      </c>
      <c r="P203" s="155">
        <v>0</v>
      </c>
      <c r="Q203" s="158">
        <v>0</v>
      </c>
      <c r="R203" s="155">
        <v>0</v>
      </c>
      <c r="S203" s="158">
        <v>0</v>
      </c>
      <c r="T203" s="155">
        <v>0</v>
      </c>
      <c r="U203" s="157">
        <v>0</v>
      </c>
    </row>
    <row r="204" spans="1:21" x14ac:dyDescent="0.25">
      <c r="A204" s="149" t="s">
        <v>1196</v>
      </c>
      <c r="B204" s="150" t="s">
        <v>1197</v>
      </c>
      <c r="C204" s="150" t="s">
        <v>59</v>
      </c>
      <c r="D204" s="151">
        <v>0</v>
      </c>
      <c r="E204" s="152">
        <v>0</v>
      </c>
      <c r="F204" s="151">
        <v>0</v>
      </c>
      <c r="G204" s="152">
        <v>0</v>
      </c>
      <c r="H204" s="151">
        <v>0</v>
      </c>
      <c r="I204" s="152">
        <v>0</v>
      </c>
      <c r="J204" s="151">
        <v>0</v>
      </c>
      <c r="K204" s="152">
        <v>0</v>
      </c>
      <c r="L204" s="151">
        <v>0</v>
      </c>
      <c r="M204" s="152">
        <v>0</v>
      </c>
      <c r="N204" s="151">
        <v>0</v>
      </c>
      <c r="O204" s="152">
        <v>0</v>
      </c>
      <c r="P204" s="151">
        <v>0</v>
      </c>
      <c r="Q204" s="152">
        <v>0</v>
      </c>
      <c r="R204" s="151">
        <v>0</v>
      </c>
      <c r="S204" s="152">
        <v>0</v>
      </c>
      <c r="T204" s="151">
        <v>0</v>
      </c>
      <c r="U204" s="153">
        <v>0</v>
      </c>
    </row>
    <row r="205" spans="1:21" x14ac:dyDescent="0.25">
      <c r="A205" s="21" t="s">
        <v>565</v>
      </c>
      <c r="B205" s="154" t="s">
        <v>1401</v>
      </c>
      <c r="C205" s="154" t="s">
        <v>59</v>
      </c>
      <c r="D205" s="155">
        <v>600</v>
      </c>
      <c r="E205" s="158">
        <v>0</v>
      </c>
      <c r="F205" s="155">
        <v>0</v>
      </c>
      <c r="G205" s="158">
        <v>0</v>
      </c>
      <c r="H205" s="155">
        <v>0</v>
      </c>
      <c r="I205" s="158">
        <v>0</v>
      </c>
      <c r="J205" s="155">
        <v>0</v>
      </c>
      <c r="K205" s="158">
        <v>0</v>
      </c>
      <c r="L205" s="155">
        <v>0</v>
      </c>
      <c r="M205" s="158">
        <v>0</v>
      </c>
      <c r="N205" s="155">
        <v>150</v>
      </c>
      <c r="O205" s="158">
        <v>150</v>
      </c>
      <c r="P205" s="155">
        <v>150</v>
      </c>
      <c r="Q205" s="158">
        <v>150</v>
      </c>
      <c r="R205" s="155">
        <v>0</v>
      </c>
      <c r="S205" s="158">
        <v>0</v>
      </c>
      <c r="T205" s="155">
        <v>0</v>
      </c>
      <c r="U205" s="157">
        <v>0</v>
      </c>
    </row>
    <row r="206" spans="1:21" x14ac:dyDescent="0.25">
      <c r="A206" s="149" t="s">
        <v>1199</v>
      </c>
      <c r="B206" s="150" t="s">
        <v>1200</v>
      </c>
      <c r="C206" s="150" t="s">
        <v>59</v>
      </c>
      <c r="D206" s="151">
        <v>0</v>
      </c>
      <c r="E206" s="152">
        <v>0</v>
      </c>
      <c r="F206" s="151">
        <v>0</v>
      </c>
      <c r="G206" s="152">
        <v>0</v>
      </c>
      <c r="H206" s="151">
        <v>0</v>
      </c>
      <c r="I206" s="152">
        <v>0</v>
      </c>
      <c r="J206" s="151">
        <v>0</v>
      </c>
      <c r="K206" s="152">
        <v>0</v>
      </c>
      <c r="L206" s="151">
        <v>0</v>
      </c>
      <c r="M206" s="152">
        <v>0</v>
      </c>
      <c r="N206" s="151">
        <v>0</v>
      </c>
      <c r="O206" s="152">
        <v>0</v>
      </c>
      <c r="P206" s="151">
        <v>0</v>
      </c>
      <c r="Q206" s="152">
        <v>0</v>
      </c>
      <c r="R206" s="151">
        <v>0</v>
      </c>
      <c r="S206" s="152">
        <v>0</v>
      </c>
      <c r="T206" s="151">
        <v>0</v>
      </c>
      <c r="U206" s="153">
        <v>0</v>
      </c>
    </row>
    <row r="207" spans="1:21" x14ac:dyDescent="0.25">
      <c r="A207" s="21" t="s">
        <v>1402</v>
      </c>
      <c r="B207" s="154" t="s">
        <v>1403</v>
      </c>
      <c r="C207" s="154" t="s">
        <v>1404</v>
      </c>
      <c r="D207" s="155">
        <v>0</v>
      </c>
      <c r="E207" s="158">
        <v>0</v>
      </c>
      <c r="F207" s="155">
        <v>0</v>
      </c>
      <c r="G207" s="158">
        <v>0</v>
      </c>
      <c r="H207" s="155">
        <v>0</v>
      </c>
      <c r="I207" s="158">
        <v>0</v>
      </c>
      <c r="J207" s="155">
        <v>0</v>
      </c>
      <c r="K207" s="158">
        <v>0</v>
      </c>
      <c r="L207" s="155">
        <v>0</v>
      </c>
      <c r="M207" s="158">
        <v>0</v>
      </c>
      <c r="N207" s="155">
        <v>0</v>
      </c>
      <c r="O207" s="158">
        <v>0</v>
      </c>
      <c r="P207" s="155">
        <v>0</v>
      </c>
      <c r="Q207" s="158">
        <v>0</v>
      </c>
      <c r="R207" s="155">
        <v>0</v>
      </c>
      <c r="S207" s="158">
        <v>0</v>
      </c>
      <c r="T207" s="155">
        <v>0</v>
      </c>
      <c r="U207" s="157">
        <v>0</v>
      </c>
    </row>
    <row r="208" spans="1:21" x14ac:dyDescent="0.25">
      <c r="A208" s="149" t="s">
        <v>801</v>
      </c>
      <c r="B208" s="150" t="s">
        <v>1405</v>
      </c>
      <c r="C208" s="150" t="s">
        <v>1406</v>
      </c>
      <c r="D208" s="151">
        <v>0</v>
      </c>
      <c r="E208" s="152">
        <v>0</v>
      </c>
      <c r="F208" s="151">
        <v>0</v>
      </c>
      <c r="G208" s="152">
        <v>8</v>
      </c>
      <c r="H208" s="151">
        <v>0</v>
      </c>
      <c r="I208" s="152">
        <v>7.60504150390625</v>
      </c>
      <c r="J208" s="151">
        <v>0</v>
      </c>
      <c r="K208" s="152">
        <v>7.60504150390625</v>
      </c>
      <c r="L208" s="151">
        <v>0</v>
      </c>
      <c r="M208" s="152">
        <v>7.60504150390625</v>
      </c>
      <c r="N208" s="151">
        <v>0</v>
      </c>
      <c r="O208" s="152">
        <v>0</v>
      </c>
      <c r="P208" s="151">
        <v>0</v>
      </c>
      <c r="Q208" s="152">
        <v>0</v>
      </c>
      <c r="R208" s="151">
        <v>0</v>
      </c>
      <c r="S208" s="152">
        <v>0</v>
      </c>
      <c r="T208" s="151">
        <v>0</v>
      </c>
      <c r="U208" s="153">
        <v>0</v>
      </c>
    </row>
    <row r="209" spans="1:21" x14ac:dyDescent="0.25">
      <c r="A209" s="21" t="s">
        <v>1397</v>
      </c>
      <c r="B209" s="154" t="s">
        <v>1407</v>
      </c>
      <c r="C209" s="154" t="s">
        <v>1408</v>
      </c>
      <c r="D209" s="155">
        <v>1289</v>
      </c>
      <c r="E209" s="158">
        <v>0</v>
      </c>
      <c r="F209" s="155">
        <v>1289</v>
      </c>
      <c r="G209" s="158">
        <v>0</v>
      </c>
      <c r="H209" s="155">
        <v>219</v>
      </c>
      <c r="I209" s="158">
        <v>0</v>
      </c>
      <c r="J209" s="155">
        <v>0</v>
      </c>
      <c r="K209" s="158">
        <v>0</v>
      </c>
      <c r="L209" s="155">
        <v>0</v>
      </c>
      <c r="M209" s="158">
        <v>0</v>
      </c>
      <c r="N209" s="155">
        <v>0</v>
      </c>
      <c r="O209" s="158">
        <v>0</v>
      </c>
      <c r="P209" s="155">
        <v>0</v>
      </c>
      <c r="Q209" s="158">
        <v>0</v>
      </c>
      <c r="R209" s="155">
        <v>0</v>
      </c>
      <c r="S209" s="158">
        <v>0</v>
      </c>
      <c r="T209" s="155">
        <v>0</v>
      </c>
      <c r="U209" s="157">
        <v>0</v>
      </c>
    </row>
    <row r="210" spans="1:21" s="360" customFormat="1" ht="18.75" x14ac:dyDescent="0.3">
      <c r="D210" s="360">
        <f>SUBTOTAL(9,D4:D209)</f>
        <v>356727.6</v>
      </c>
      <c r="E210" s="360">
        <f t="shared" ref="E210:U210" si="0">SUBTOTAL(9,E4:E209)</f>
        <v>0</v>
      </c>
      <c r="F210" s="360">
        <f t="shared" si="0"/>
        <v>83740</v>
      </c>
      <c r="G210" s="360">
        <f t="shared" si="0"/>
        <v>52659</v>
      </c>
      <c r="H210" s="360">
        <f t="shared" si="0"/>
        <v>13500</v>
      </c>
      <c r="I210" s="359">
        <f t="shared" si="0"/>
        <v>9232.1885358095169</v>
      </c>
      <c r="J210" s="360">
        <f t="shared" si="0"/>
        <v>0</v>
      </c>
      <c r="K210" s="360">
        <f t="shared" si="0"/>
        <v>9232.1885358095169</v>
      </c>
      <c r="L210" s="360">
        <f t="shared" si="0"/>
        <v>17453.763808369637</v>
      </c>
      <c r="M210" s="360">
        <f t="shared" si="0"/>
        <v>26685.952344179153</v>
      </c>
      <c r="N210" s="360">
        <f t="shared" si="0"/>
        <v>89792</v>
      </c>
      <c r="O210" s="360">
        <f t="shared" si="0"/>
        <v>81660</v>
      </c>
      <c r="P210" s="360">
        <f t="shared" si="0"/>
        <v>54136</v>
      </c>
      <c r="Q210" s="360">
        <f t="shared" si="0"/>
        <v>47400</v>
      </c>
      <c r="R210" s="360">
        <f t="shared" si="0"/>
        <v>0</v>
      </c>
      <c r="S210" s="360">
        <f t="shared" si="0"/>
        <v>0</v>
      </c>
      <c r="T210" s="360">
        <f t="shared" si="0"/>
        <v>0</v>
      </c>
      <c r="U210" s="360">
        <f t="shared" si="0"/>
        <v>0</v>
      </c>
    </row>
  </sheetData>
  <autoFilter ref="A2:V198"/>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B2:K31"/>
  <sheetViews>
    <sheetView showGridLines="0" topLeftCell="B1" workbookViewId="0">
      <selection activeCell="E36" sqref="E36"/>
    </sheetView>
  </sheetViews>
  <sheetFormatPr defaultRowHeight="15" x14ac:dyDescent="0.25"/>
  <cols>
    <col min="2" max="2" width="43.5703125" customWidth="1"/>
    <col min="3" max="3" width="16" customWidth="1"/>
    <col min="4" max="4" width="15.42578125" customWidth="1"/>
    <col min="5" max="5" width="8.5703125" customWidth="1"/>
    <col min="6" max="6" width="13.28515625" customWidth="1"/>
    <col min="7" max="7" width="14" customWidth="1"/>
    <col min="8" max="8" width="9.85546875" customWidth="1"/>
    <col min="9" max="9" width="13.5703125" customWidth="1"/>
    <col min="11" max="11" width="10.7109375" bestFit="1" customWidth="1"/>
  </cols>
  <sheetData>
    <row r="2" spans="2:11" ht="16.5" thickBot="1" x14ac:dyDescent="0.3">
      <c r="B2" s="191" t="s">
        <v>1489</v>
      </c>
    </row>
    <row r="3" spans="2:11" ht="15.75" thickBot="1" x14ac:dyDescent="0.3">
      <c r="I3" s="198" t="s">
        <v>1501</v>
      </c>
      <c r="J3" s="199"/>
      <c r="K3" s="197">
        <v>43312</v>
      </c>
    </row>
    <row r="4" spans="2:11" ht="12.75" customHeight="1" x14ac:dyDescent="0.25">
      <c r="B4" s="182" t="s">
        <v>1487</v>
      </c>
    </row>
    <row r="5" spans="2:11" ht="13.5" customHeight="1" x14ac:dyDescent="0.25">
      <c r="B5" s="182" t="s">
        <v>1491</v>
      </c>
    </row>
    <row r="6" spans="2:11" x14ac:dyDescent="0.25">
      <c r="B6" s="182"/>
    </row>
    <row r="7" spans="2:11" ht="15.75" customHeight="1" x14ac:dyDescent="0.25">
      <c r="B7" s="523" t="s">
        <v>1826</v>
      </c>
      <c r="C7" s="524"/>
      <c r="D7" s="524"/>
      <c r="E7" s="524"/>
      <c r="F7" s="524"/>
      <c r="G7" s="524"/>
      <c r="H7" s="525"/>
    </row>
    <row r="8" spans="2:11" ht="20.25" customHeight="1" x14ac:dyDescent="0.25">
      <c r="B8" s="414"/>
      <c r="C8" s="521" t="s">
        <v>1736</v>
      </c>
      <c r="D8" s="413" t="s">
        <v>1499</v>
      </c>
      <c r="E8" s="413" t="s">
        <v>1498</v>
      </c>
      <c r="F8" s="413" t="s">
        <v>1497</v>
      </c>
      <c r="G8" s="413" t="s">
        <v>1496</v>
      </c>
      <c r="H8" s="413" t="s">
        <v>1500</v>
      </c>
    </row>
    <row r="9" spans="2:11" ht="12" customHeight="1" x14ac:dyDescent="0.25">
      <c r="B9" s="414" t="s">
        <v>1</v>
      </c>
      <c r="C9" s="522"/>
      <c r="D9" s="196">
        <f>$K$3</f>
        <v>43312</v>
      </c>
      <c r="E9" s="414"/>
      <c r="F9" s="414"/>
      <c r="G9" s="196">
        <f>$K$3</f>
        <v>43312</v>
      </c>
      <c r="H9" s="414"/>
    </row>
    <row r="10" spans="2:11" x14ac:dyDescent="0.25">
      <c r="B10" s="195"/>
      <c r="C10" s="195" t="s">
        <v>1494</v>
      </c>
      <c r="D10" s="195" t="s">
        <v>1495</v>
      </c>
      <c r="E10" s="195" t="s">
        <v>1950</v>
      </c>
      <c r="F10" s="195" t="s">
        <v>1951</v>
      </c>
      <c r="G10" s="195" t="s">
        <v>1952</v>
      </c>
      <c r="H10" s="195" t="s">
        <v>1953</v>
      </c>
    </row>
    <row r="11" spans="2:11" x14ac:dyDescent="0.25">
      <c r="B11" s="183" t="s">
        <v>40</v>
      </c>
      <c r="C11" s="185">
        <f>SUMIFS('Projetos ciclo 2018-2022'!$T$8:$T$318,'Projetos ciclo 2018-2022'!$C$8:$C$318,DDC!B11,'Projetos ciclo 2018-2022'!$H$8:$H$318,"DDC")</f>
        <v>1311.483619976158</v>
      </c>
      <c r="D11" s="185">
        <f>SUMIFS('Projetos ciclo 2018-2022'!$EW$8:$EW$318,'Projetos ciclo 2018-2022'!$C$8:$C$318,DDC!B11,'Projetos ciclo 2018-2022'!$H$8:$H$318,"DDC")</f>
        <v>19.024649977684021</v>
      </c>
      <c r="E11" s="186">
        <f>IFERROR((D11/C11),0)</f>
        <v>1.4506204795779208E-2</v>
      </c>
      <c r="F11" s="185">
        <f>SUMIFS('Projetos ciclo 2018-2022'!$FC$8:$FC$318,'Projetos ciclo 2018-2022'!$C$8:$C$318,DDC!B11,'Projetos ciclo 2018-2022'!$H$8:$H$318,"DDC")</f>
        <v>1234.8648450374603</v>
      </c>
      <c r="G11" s="185">
        <f>D11+F11</f>
        <v>1253.8894950151443</v>
      </c>
      <c r="H11" s="186">
        <f>IFERROR((G11/C11),0)</f>
        <v>0.9560847546368435</v>
      </c>
    </row>
    <row r="12" spans="2:11" x14ac:dyDescent="0.25">
      <c r="B12" s="183" t="s">
        <v>41</v>
      </c>
      <c r="C12" s="185">
        <f>SUMIFS('Projetos ciclo 2018-2022'!$T$8:$T$318,'Projetos ciclo 2018-2022'!$C$8:$C$318,DDC!B12,'Projetos ciclo 2018-2022'!$H$8:$H$318,"DDC")</f>
        <v>125.00000000000061</v>
      </c>
      <c r="D12" s="185">
        <f>SUMIFS('Projetos ciclo 2018-2022'!$EW$8:$EW$318,'Projetos ciclo 2018-2022'!$C$8:$C$318,DDC!B12,'Projetos ciclo 2018-2022'!$H$8:$H$318,"DDC")</f>
        <v>0</v>
      </c>
      <c r="E12" s="186">
        <f t="shared" ref="E12:E16" si="0">IFERROR((D12/C12),0)</f>
        <v>0</v>
      </c>
      <c r="F12" s="185">
        <f>SUMIFS('Projetos ciclo 2018-2022'!$FC$8:$FC$318,'Projetos ciclo 2018-2022'!$C$8:$C$318,DDC!B12,'Projetos ciclo 2018-2022'!$H$8:$H$318,"DDC")</f>
        <v>115.20000123977661</v>
      </c>
      <c r="G12" s="185">
        <f t="shared" ref="G12:G16" si="1">D12+F12</f>
        <v>115.20000123977661</v>
      </c>
      <c r="H12" s="186">
        <f t="shared" ref="H12:H16" si="2">IFERROR((G12/C12),0)</f>
        <v>0.92160000991820834</v>
      </c>
    </row>
    <row r="13" spans="2:11" x14ac:dyDescent="0.25">
      <c r="B13" s="184" t="s">
        <v>42</v>
      </c>
      <c r="C13" s="185">
        <f>SUMIFS('Projetos ciclo 2018-2022'!$T$8:$T$318,'Projetos ciclo 2018-2022'!$C$8:$C$318,DDC!B13,'Projetos ciclo 2018-2022'!$H$8:$H$318,"DDC")</f>
        <v>0</v>
      </c>
      <c r="D13" s="185">
        <f>SUMIFS('Projetos ciclo 2018-2022'!$EW$8:$EW$318,'Projetos ciclo 2018-2022'!$C$8:$C$318,DDC!B13,'Projetos ciclo 2018-2022'!$H$8:$H$318,"DDC")</f>
        <v>0</v>
      </c>
      <c r="E13" s="186">
        <f t="shared" si="0"/>
        <v>0</v>
      </c>
      <c r="F13" s="185">
        <f>SUMIFS('Projetos ciclo 2018-2022'!$FC$8:$FC$318,'Projetos ciclo 2018-2022'!$C$8:$C$318,DDC!B13,'Projetos ciclo 2018-2022'!$H$8:$H$318,"DDC")</f>
        <v>0</v>
      </c>
      <c r="G13" s="185">
        <f t="shared" si="1"/>
        <v>0</v>
      </c>
      <c r="H13" s="186">
        <f t="shared" si="2"/>
        <v>0</v>
      </c>
    </row>
    <row r="14" spans="2:11" x14ac:dyDescent="0.25">
      <c r="B14" s="183" t="s">
        <v>43</v>
      </c>
      <c r="C14" s="185">
        <f>SUMIFS('Projetos ciclo 2018-2022'!$T$8:$T$318,'Projetos ciclo 2018-2022'!$C$8:$C$318,DDC!B14,'Projetos ciclo 2018-2022'!$H$8:$H$318,"DDC")</f>
        <v>0</v>
      </c>
      <c r="D14" s="185">
        <f>SUMIFS('Projetos ciclo 2018-2022'!$EW$8:$EW$318,'Projetos ciclo 2018-2022'!$C$8:$C$318,DDC!B14,'Projetos ciclo 2018-2022'!$H$8:$H$318,"DDC")</f>
        <v>0</v>
      </c>
      <c r="E14" s="186">
        <f t="shared" si="0"/>
        <v>0</v>
      </c>
      <c r="F14" s="185">
        <f>SUMIFS('Projetos ciclo 2018-2022'!$FC$8:$FC$318,'Projetos ciclo 2018-2022'!$C$8:$C$318,DDC!B14,'Projetos ciclo 2018-2022'!$H$8:$H$318,"DDC")</f>
        <v>0</v>
      </c>
      <c r="G14" s="185">
        <f t="shared" si="1"/>
        <v>0</v>
      </c>
      <c r="H14" s="186">
        <f t="shared" si="2"/>
        <v>0</v>
      </c>
    </row>
    <row r="15" spans="2:11" x14ac:dyDescent="0.25">
      <c r="B15" s="183" t="s">
        <v>44</v>
      </c>
      <c r="C15" s="185">
        <f>SUMIFS('Projetos ciclo 2018-2022'!$T$8:$T$318,'Projetos ciclo 2018-2022'!$C$8:$C$318,DDC!B15,'Projetos ciclo 2018-2022'!$H$8:$H$318,"DDC")</f>
        <v>1674</v>
      </c>
      <c r="D15" s="185">
        <f>SUMIFS('Projetos ciclo 2018-2022'!$EW$8:$EW$318,'Projetos ciclo 2018-2022'!$C$8:$C$318,DDC!B15,'Projetos ciclo 2018-2022'!$H$8:$H$318,"DDC")</f>
        <v>0</v>
      </c>
      <c r="E15" s="186">
        <f t="shared" si="0"/>
        <v>0</v>
      </c>
      <c r="F15" s="185">
        <f>SUMIFS('Projetos ciclo 2018-2022'!$FC$8:$FC$318,'Projetos ciclo 2018-2022'!$C$8:$C$318,DDC!B15,'Projetos ciclo 2018-2022'!$H$8:$H$318,"DDC")</f>
        <v>1056.0599822998047</v>
      </c>
      <c r="G15" s="185">
        <f t="shared" si="1"/>
        <v>1056.0599822998047</v>
      </c>
      <c r="H15" s="186">
        <f t="shared" si="2"/>
        <v>0.63086020448017011</v>
      </c>
    </row>
    <row r="16" spans="2:11" x14ac:dyDescent="0.25">
      <c r="B16" s="184" t="s">
        <v>45</v>
      </c>
      <c r="C16" s="185">
        <f>SUMIFS('Projetos ciclo 2018-2022'!$T$8:$T$318,'Projetos ciclo 2018-2022'!$C$8:$C$318,DDC!B16,'Projetos ciclo 2018-2022'!$H$8:$H$318,"DDC")</f>
        <v>90</v>
      </c>
      <c r="D16" s="185">
        <f>SUMIFS('Projetos ciclo 2018-2022'!$EW$8:$EW$318,'Projetos ciclo 2018-2022'!$C$8:$C$318,DDC!B16,'Projetos ciclo 2018-2022'!$H$8:$H$318,"DDC")</f>
        <v>0</v>
      </c>
      <c r="E16" s="186">
        <f t="shared" si="0"/>
        <v>0</v>
      </c>
      <c r="F16" s="185">
        <f>SUMIFS('Projetos ciclo 2018-2022'!$FC$8:$FC$318,'Projetos ciclo 2018-2022'!$C$8:$C$318,DDC!B16,'Projetos ciclo 2018-2022'!$H$8:$H$318,"DDC")</f>
        <v>0</v>
      </c>
      <c r="G16" s="185">
        <f t="shared" si="1"/>
        <v>0</v>
      </c>
      <c r="H16" s="186">
        <f t="shared" si="2"/>
        <v>0</v>
      </c>
    </row>
    <row r="17" spans="2:8" x14ac:dyDescent="0.25">
      <c r="B17" s="187" t="s">
        <v>1488</v>
      </c>
      <c r="C17" s="188">
        <f>SUM(C11:C16)</f>
        <v>3200.4836199761585</v>
      </c>
      <c r="D17" s="188">
        <f>SUM(D11:D16)</f>
        <v>19.024649977684021</v>
      </c>
      <c r="E17" s="189">
        <f t="shared" ref="E17" si="3">D17/C17</f>
        <v>5.9443047478636192E-3</v>
      </c>
      <c r="F17" s="188">
        <f>SUM(F11:F16)</f>
        <v>2406.1248285770416</v>
      </c>
      <c r="G17" s="188">
        <f>SUM(G11:G16)</f>
        <v>2425.1494785547256</v>
      </c>
      <c r="H17" s="190">
        <f t="shared" ref="H17" si="4">G17/C17</f>
        <v>0.75774469315134052</v>
      </c>
    </row>
    <row r="20" spans="2:8" ht="15.75" x14ac:dyDescent="0.25">
      <c r="B20" s="523" t="s">
        <v>1726</v>
      </c>
      <c r="C20" s="524"/>
      <c r="D20" s="524"/>
      <c r="E20" s="524"/>
      <c r="F20" s="524"/>
      <c r="G20" s="524"/>
      <c r="H20" s="525"/>
    </row>
    <row r="21" spans="2:8" ht="18" customHeight="1" x14ac:dyDescent="0.25">
      <c r="B21" s="414"/>
      <c r="C21" s="521" t="s">
        <v>1736</v>
      </c>
      <c r="D21" s="413" t="s">
        <v>1499</v>
      </c>
      <c r="E21" s="413" t="s">
        <v>1498</v>
      </c>
      <c r="F21" s="413" t="s">
        <v>1497</v>
      </c>
      <c r="G21" s="413" t="s">
        <v>1496</v>
      </c>
      <c r="H21" s="413" t="s">
        <v>1500</v>
      </c>
    </row>
    <row r="22" spans="2:8" ht="17.25" customHeight="1" x14ac:dyDescent="0.25">
      <c r="B22" s="414" t="s">
        <v>1</v>
      </c>
      <c r="C22" s="522"/>
      <c r="D22" s="196">
        <f>$K$3</f>
        <v>43312</v>
      </c>
      <c r="E22" s="414"/>
      <c r="F22" s="414"/>
      <c r="G22" s="196">
        <f>$K$3</f>
        <v>43312</v>
      </c>
      <c r="H22" s="414"/>
    </row>
    <row r="23" spans="2:8" x14ac:dyDescent="0.25">
      <c r="B23" s="195"/>
      <c r="C23" s="195" t="s">
        <v>1494</v>
      </c>
      <c r="D23" s="195" t="s">
        <v>1495</v>
      </c>
      <c r="E23" s="195" t="s">
        <v>1950</v>
      </c>
      <c r="F23" s="195" t="s">
        <v>1951</v>
      </c>
      <c r="G23" s="195" t="s">
        <v>1952</v>
      </c>
      <c r="H23" s="195" t="s">
        <v>1953</v>
      </c>
    </row>
    <row r="24" spans="2:8" x14ac:dyDescent="0.25">
      <c r="B24" s="183" t="s">
        <v>40</v>
      </c>
      <c r="C24" s="185">
        <f>SUMIFS('Projetos ciclo 2018-2022'!$BU$8:$BU$318,'Projetos ciclo 2018-2022'!$C$8:$C$318,DDC!B24,'Projetos ciclo 2018-2022'!$H$8:$H$318,"DDC")</f>
        <v>13199.399999976158</v>
      </c>
      <c r="D24" s="185">
        <f>SUMIFS('Projetos ciclo 2018-2022'!$EW$8:$EW$318,'Projetos ciclo 2018-2022'!$C$8:$C$318,DDC!B24,'Projetos ciclo 2018-2022'!$H$8:$H$318,"DDC")</f>
        <v>19.024649977684021</v>
      </c>
      <c r="E24" s="186">
        <f>IFERROR((D24/C24),0)</f>
        <v>1.4413268768063991E-3</v>
      </c>
      <c r="F24" s="185">
        <f>SUMIFS('Projetos ciclo 2018-2022'!$FC$8:$FC$318,'Projetos ciclo 2018-2022'!$C$8:$C$318,DDC!B24,'Projetos ciclo 2018-2022'!$H$8:$H$318,"DDC")</f>
        <v>1234.8648450374603</v>
      </c>
      <c r="G24" s="185">
        <f t="shared" ref="G24:G29" si="5">D24+F24</f>
        <v>1253.8894950151443</v>
      </c>
      <c r="H24" s="186">
        <f>IFERROR((G24/C24),0)</f>
        <v>9.4995946407973791E-2</v>
      </c>
    </row>
    <row r="25" spans="2:8" x14ac:dyDescent="0.25">
      <c r="B25" s="183" t="s">
        <v>41</v>
      </c>
      <c r="C25" s="185">
        <f>SUMIFS('Projetos ciclo 2018-2022'!$BU$8:$BU$318,'Projetos ciclo 2018-2022'!$C$8:$C$318,DDC!B25,'Projetos ciclo 2018-2022'!$H$8:$H$318,"DDC")</f>
        <v>2595.0000000000005</v>
      </c>
      <c r="D25" s="185">
        <f>SUMIFS('Projetos ciclo 2018-2022'!$EW$8:$EW$318,'Projetos ciclo 2018-2022'!$C$8:$C$318,DDC!B25,'Projetos ciclo 2018-2022'!$H$8:$H$318,"DDC")</f>
        <v>0</v>
      </c>
      <c r="E25" s="186">
        <f t="shared" ref="E25:E29" si="6">IFERROR((D25/C25),0)</f>
        <v>0</v>
      </c>
      <c r="F25" s="185">
        <f>SUMIFS('Projetos ciclo 2018-2022'!$FC$8:$FC$318,'Projetos ciclo 2018-2022'!$C$8:$C$318,DDC!B25,'Projetos ciclo 2018-2022'!$H$8:$H$318,"DDC")</f>
        <v>115.20000123977661</v>
      </c>
      <c r="G25" s="185">
        <f t="shared" si="5"/>
        <v>115.20000123977661</v>
      </c>
      <c r="H25" s="186">
        <f t="shared" ref="H25:H29" si="7">IFERROR((G25/C25),0)</f>
        <v>4.4393064061570939E-2</v>
      </c>
    </row>
    <row r="26" spans="2:8" x14ac:dyDescent="0.25">
      <c r="B26" s="184" t="s">
        <v>42</v>
      </c>
      <c r="C26" s="185">
        <f>SUMIFS('Projetos ciclo 2018-2022'!$BU$8:$BU$318,'Projetos ciclo 2018-2022'!$C$8:$C$318,DDC!B26,'Projetos ciclo 2018-2022'!$H$8:$H$318,"DDC")</f>
        <v>0</v>
      </c>
      <c r="D26" s="185">
        <f>SUMIFS('Projetos ciclo 2018-2022'!$EW$8:$EW$318,'Projetos ciclo 2018-2022'!$C$8:$C$318,DDC!B26,'Projetos ciclo 2018-2022'!$H$8:$H$318,"DDC")</f>
        <v>0</v>
      </c>
      <c r="E26" s="186">
        <f t="shared" si="6"/>
        <v>0</v>
      </c>
      <c r="F26" s="185">
        <f>SUMIFS('Projetos ciclo 2018-2022'!$FC$8:$FC$318,'Projetos ciclo 2018-2022'!$C$8:$C$318,DDC!B26,'Projetos ciclo 2018-2022'!$H$8:$H$318,"DDC")</f>
        <v>0</v>
      </c>
      <c r="G26" s="185">
        <f t="shared" si="5"/>
        <v>0</v>
      </c>
      <c r="H26" s="186">
        <f t="shared" si="7"/>
        <v>0</v>
      </c>
    </row>
    <row r="27" spans="2:8" x14ac:dyDescent="0.25">
      <c r="B27" s="183" t="s">
        <v>43</v>
      </c>
      <c r="C27" s="185">
        <f>SUMIFS('Projetos ciclo 2018-2022'!$BU$8:$BU$318,'Projetos ciclo 2018-2022'!$C$8:$C$318,DDC!B27,'Projetos ciclo 2018-2022'!$H$8:$H$318,"DDC")</f>
        <v>15000</v>
      </c>
      <c r="D27" s="185">
        <f>SUMIFS('Projetos ciclo 2018-2022'!$EW$8:$EW$318,'Projetos ciclo 2018-2022'!$C$8:$C$318,DDC!B27,'Projetos ciclo 2018-2022'!$H$8:$H$318,"DDC")</f>
        <v>0</v>
      </c>
      <c r="E27" s="186">
        <f t="shared" si="6"/>
        <v>0</v>
      </c>
      <c r="F27" s="185">
        <f>SUMIFS('Projetos ciclo 2018-2022'!$FC$8:$FC$318,'Projetos ciclo 2018-2022'!$C$8:$C$318,DDC!B27,'Projetos ciclo 2018-2022'!$H$8:$H$318,"DDC")</f>
        <v>0</v>
      </c>
      <c r="G27" s="185">
        <f t="shared" si="5"/>
        <v>0</v>
      </c>
      <c r="H27" s="186">
        <f t="shared" si="7"/>
        <v>0</v>
      </c>
    </row>
    <row r="28" spans="2:8" x14ac:dyDescent="0.25">
      <c r="B28" s="183" t="s">
        <v>44</v>
      </c>
      <c r="C28" s="185">
        <f>SUMIFS('Projetos ciclo 2018-2022'!$BU$8:$BU$318,'Projetos ciclo 2018-2022'!$C$8:$C$318,DDC!B28,'Projetos ciclo 2018-2022'!$H$8:$H$318,"DDC")</f>
        <v>20225</v>
      </c>
      <c r="D28" s="185">
        <f>SUMIFS('Projetos ciclo 2018-2022'!$EW$8:$EW$318,'Projetos ciclo 2018-2022'!$C$8:$C$318,DDC!B28,'Projetos ciclo 2018-2022'!$H$8:$H$318,"DDC")</f>
        <v>0</v>
      </c>
      <c r="E28" s="186">
        <f t="shared" si="6"/>
        <v>0</v>
      </c>
      <c r="F28" s="185">
        <f>SUMIFS('Projetos ciclo 2018-2022'!$FC$8:$FC$318,'Projetos ciclo 2018-2022'!$C$8:$C$318,DDC!B28,'Projetos ciclo 2018-2022'!$H$8:$H$318,"DDC")</f>
        <v>1056.0599822998047</v>
      </c>
      <c r="G28" s="185">
        <f t="shared" si="5"/>
        <v>1056.0599822998047</v>
      </c>
      <c r="H28" s="186">
        <f t="shared" si="7"/>
        <v>5.2215573908519393E-2</v>
      </c>
    </row>
    <row r="29" spans="2:8" x14ac:dyDescent="0.25">
      <c r="B29" s="184" t="s">
        <v>45</v>
      </c>
      <c r="C29" s="185">
        <f>SUMIFS('Projetos ciclo 2018-2022'!$BU$8:$BU$318,'Projetos ciclo 2018-2022'!$C$8:$C$318,DDC!B29,'Projetos ciclo 2018-2022'!$H$8:$H$318,"DDC")</f>
        <v>90</v>
      </c>
      <c r="D29" s="185">
        <f>SUMIFS('Projetos ciclo 2018-2022'!$EW$8:$EW$318,'Projetos ciclo 2018-2022'!$C$8:$C$318,DDC!B29,'Projetos ciclo 2018-2022'!$H$8:$H$318,"DDC")</f>
        <v>0</v>
      </c>
      <c r="E29" s="186">
        <f t="shared" si="6"/>
        <v>0</v>
      </c>
      <c r="F29" s="185">
        <f>SUMIFS('Projetos ciclo 2018-2022'!$FC$8:$FC$318,'Projetos ciclo 2018-2022'!$C$8:$C$318,DDC!B29,'Projetos ciclo 2018-2022'!$H$8:$H$318,"DDC")</f>
        <v>0</v>
      </c>
      <c r="G29" s="185">
        <f t="shared" si="5"/>
        <v>0</v>
      </c>
      <c r="H29" s="186">
        <f t="shared" si="7"/>
        <v>0</v>
      </c>
    </row>
    <row r="30" spans="2:8" x14ac:dyDescent="0.25">
      <c r="B30" s="187" t="s">
        <v>1488</v>
      </c>
      <c r="C30" s="188">
        <f>SUM(C24:C29)</f>
        <v>51109.399999976158</v>
      </c>
      <c r="D30" s="188">
        <f>SUM(D24:D29)</f>
        <v>19.024649977684021</v>
      </c>
      <c r="E30" s="189">
        <f t="shared" ref="E30" si="8">D30/C30</f>
        <v>3.7223387434978487E-4</v>
      </c>
      <c r="F30" s="188">
        <f>SUM(F24:F29)</f>
        <v>2406.1248285770416</v>
      </c>
      <c r="G30" s="188">
        <f>SUM(G24:G29)</f>
        <v>2425.1494785547256</v>
      </c>
      <c r="H30" s="190">
        <f t="shared" ref="H30" si="9">G30/C30</f>
        <v>4.745016530336605E-2</v>
      </c>
    </row>
    <row r="31" spans="2:8" x14ac:dyDescent="0.25">
      <c r="C31" s="415"/>
    </row>
  </sheetData>
  <mergeCells count="4">
    <mergeCell ref="B7:H7"/>
    <mergeCell ref="C8:C9"/>
    <mergeCell ref="B20:H20"/>
    <mergeCell ref="C21:C22"/>
  </mergeCells>
  <pageMargins left="0.511811024" right="0.511811024" top="0.78740157499999996" bottom="0.78740157499999996" header="0.31496062000000002" footer="0.31496062000000002"/>
  <ignoredErrors>
    <ignoredError sqref="E30"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8"/>
  <sheetViews>
    <sheetView showGridLines="0" zoomScale="82" zoomScaleNormal="82" workbookViewId="0">
      <selection activeCell="R14" sqref="R14"/>
    </sheetView>
  </sheetViews>
  <sheetFormatPr defaultRowHeight="15" x14ac:dyDescent="0.25"/>
  <cols>
    <col min="1" max="1" width="2.140625" customWidth="1"/>
    <col min="2" max="2" width="8.7109375" customWidth="1"/>
    <col min="3" max="3" width="36" customWidth="1"/>
    <col min="4" max="9" width="9.7109375" style="117" customWidth="1"/>
    <col min="10" max="10" width="1" style="117" customWidth="1"/>
    <col min="11" max="11" width="8" style="117" customWidth="1"/>
    <col min="12" max="12" width="9.140625" style="117" customWidth="1"/>
    <col min="13" max="15" width="8" style="117" customWidth="1"/>
    <col min="16" max="16" width="9.140625" style="117" customWidth="1"/>
    <col min="17" max="17" width="1.140625" style="117" customWidth="1"/>
    <col min="18" max="22" width="8.7109375" customWidth="1"/>
    <col min="23" max="23" width="9" customWidth="1"/>
  </cols>
  <sheetData>
    <row r="1" spans="2:23" ht="25.5" customHeight="1" x14ac:dyDescent="0.25">
      <c r="B1" s="450" t="s">
        <v>2009</v>
      </c>
    </row>
    <row r="2" spans="2:23" s="451" customFormat="1" ht="24" customHeight="1" x14ac:dyDescent="0.25">
      <c r="C2" s="452"/>
      <c r="D2" s="532" t="s">
        <v>2010</v>
      </c>
      <c r="E2" s="533"/>
      <c r="F2" s="533"/>
      <c r="G2" s="533"/>
      <c r="H2" s="533"/>
      <c r="I2" s="534"/>
      <c r="J2" s="453"/>
      <c r="K2" s="535" t="s">
        <v>2011</v>
      </c>
      <c r="L2" s="535"/>
      <c r="M2" s="535"/>
      <c r="N2" s="535"/>
      <c r="O2" s="535"/>
      <c r="P2" s="535"/>
      <c r="Q2" s="453"/>
      <c r="R2" s="536" t="s">
        <v>2012</v>
      </c>
      <c r="S2" s="536"/>
      <c r="T2" s="536"/>
      <c r="U2" s="536"/>
      <c r="V2" s="536"/>
      <c r="W2" s="536"/>
    </row>
    <row r="3" spans="2:23" s="459" customFormat="1" ht="30" customHeight="1" x14ac:dyDescent="0.25">
      <c r="B3" s="454" t="s">
        <v>1116</v>
      </c>
      <c r="C3" s="455" t="s">
        <v>1</v>
      </c>
      <c r="D3" s="456" t="s">
        <v>459</v>
      </c>
      <c r="E3" s="456" t="s">
        <v>460</v>
      </c>
      <c r="F3" s="456" t="s">
        <v>461</v>
      </c>
      <c r="G3" s="456" t="s">
        <v>462</v>
      </c>
      <c r="H3" s="456" t="s">
        <v>463</v>
      </c>
      <c r="I3" s="456" t="s">
        <v>464</v>
      </c>
      <c r="J3" s="457"/>
      <c r="K3" s="456" t="s">
        <v>459</v>
      </c>
      <c r="L3" s="456" t="s">
        <v>460</v>
      </c>
      <c r="M3" s="456" t="s">
        <v>461</v>
      </c>
      <c r="N3" s="456" t="s">
        <v>462</v>
      </c>
      <c r="O3" s="456" t="s">
        <v>463</v>
      </c>
      <c r="P3" s="456" t="s">
        <v>464</v>
      </c>
      <c r="Q3" s="457"/>
      <c r="R3" s="456" t="s">
        <v>459</v>
      </c>
      <c r="S3" s="456" t="s">
        <v>460</v>
      </c>
      <c r="T3" s="456" t="s">
        <v>461</v>
      </c>
      <c r="U3" s="456" t="s">
        <v>462</v>
      </c>
      <c r="V3" s="456" t="s">
        <v>463</v>
      </c>
      <c r="W3" s="458" t="s">
        <v>464</v>
      </c>
    </row>
    <row r="4" spans="2:23" x14ac:dyDescent="0.25">
      <c r="B4" s="537" t="s">
        <v>2013</v>
      </c>
      <c r="C4" s="460" t="s">
        <v>29</v>
      </c>
      <c r="D4" s="461">
        <v>781.71679999999992</v>
      </c>
      <c r="E4" s="461">
        <v>634</v>
      </c>
      <c r="F4" s="461">
        <v>435.18900000000002</v>
      </c>
      <c r="G4" s="461">
        <v>360.065</v>
      </c>
      <c r="H4" s="461">
        <v>425.2</v>
      </c>
      <c r="I4" s="462">
        <f t="shared" ref="I4:I26" si="0">SUM(D4:H4)</f>
        <v>2636.1707999999999</v>
      </c>
      <c r="J4" s="463"/>
      <c r="K4" s="461">
        <f>VLOOKUP($C4,Resumo!$C$6:$I$30,2,0)</f>
        <v>283.39999999999986</v>
      </c>
      <c r="L4" s="461">
        <f>VLOOKUP($C4,Resumo!$C$6:$I$30,3,0)</f>
        <v>585.97096002384296</v>
      </c>
      <c r="M4" s="461">
        <f>VLOOKUP($C4,Resumo!$C$6:$I$30,4,0)</f>
        <v>659.3998399761573</v>
      </c>
      <c r="N4" s="461">
        <f>VLOOKUP($C4,Resumo!$C$6:$I$30,5,0)</f>
        <v>461.5</v>
      </c>
      <c r="O4" s="461">
        <f>VLOOKUP($C4,Resumo!$C$6:$I$30,6,0)</f>
        <v>645.87551513489007</v>
      </c>
      <c r="P4" s="462">
        <f t="shared" ref="P4:P28" si="1">SUM(K4:O4)</f>
        <v>2636.1463151348903</v>
      </c>
      <c r="Q4" s="463"/>
      <c r="R4" s="461">
        <f t="shared" ref="R4:W28" si="2">K4-D4</f>
        <v>-498.31680000000006</v>
      </c>
      <c r="S4" s="461">
        <f t="shared" si="2"/>
        <v>-48.029039976157037</v>
      </c>
      <c r="T4" s="461">
        <f t="shared" si="2"/>
        <v>224.21083997615727</v>
      </c>
      <c r="U4" s="461">
        <f t="shared" si="2"/>
        <v>101.435</v>
      </c>
      <c r="V4" s="461">
        <f t="shared" si="2"/>
        <v>220.67551513489008</v>
      </c>
      <c r="W4" s="461">
        <f t="shared" si="2"/>
        <v>-2.4484865109570819E-2</v>
      </c>
    </row>
    <row r="5" spans="2:23" x14ac:dyDescent="0.25">
      <c r="B5" s="537"/>
      <c r="C5" s="460" t="s">
        <v>30</v>
      </c>
      <c r="D5" s="461">
        <v>29.25</v>
      </c>
      <c r="E5" s="461">
        <v>16</v>
      </c>
      <c r="F5" s="461">
        <v>30</v>
      </c>
      <c r="G5" s="461">
        <v>49.5</v>
      </c>
      <c r="H5" s="461">
        <v>42.5</v>
      </c>
      <c r="I5" s="461">
        <f t="shared" si="0"/>
        <v>167.25</v>
      </c>
      <c r="J5" s="463"/>
      <c r="K5" s="461">
        <f>VLOOKUP($C5,Resumo!$C$6:$I$30,2,0)</f>
        <v>10.000000000000002</v>
      </c>
      <c r="L5" s="461">
        <f>VLOOKUP($C5,Resumo!$C$6:$I$30,3,0)</f>
        <v>157</v>
      </c>
      <c r="M5" s="461">
        <f>VLOOKUP($C5,Resumo!$C$6:$I$30,4,0)</f>
        <v>0</v>
      </c>
      <c r="N5" s="461">
        <f>VLOOKUP($C5,Resumo!$C$6:$I$30,5,0)</f>
        <v>0</v>
      </c>
      <c r="O5" s="461">
        <f>VLOOKUP($C5,Resumo!$C$6:$I$30,6,0)</f>
        <v>0</v>
      </c>
      <c r="P5" s="461">
        <f t="shared" si="1"/>
        <v>167</v>
      </c>
      <c r="Q5" s="463"/>
      <c r="R5" s="461">
        <f t="shared" si="2"/>
        <v>-19.25</v>
      </c>
      <c r="S5" s="461">
        <f t="shared" si="2"/>
        <v>141</v>
      </c>
      <c r="T5" s="461">
        <f t="shared" si="2"/>
        <v>-30</v>
      </c>
      <c r="U5" s="461">
        <f t="shared" si="2"/>
        <v>-49.5</v>
      </c>
      <c r="V5" s="461">
        <f t="shared" si="2"/>
        <v>-42.5</v>
      </c>
      <c r="W5" s="461">
        <f t="shared" si="2"/>
        <v>-0.25</v>
      </c>
    </row>
    <row r="6" spans="2:23" x14ac:dyDescent="0.25">
      <c r="B6" s="537"/>
      <c r="C6" s="460" t="s">
        <v>31</v>
      </c>
      <c r="D6" s="461">
        <v>58.6</v>
      </c>
      <c r="E6" s="461">
        <v>351.9</v>
      </c>
      <c r="F6" s="461">
        <v>214.7</v>
      </c>
      <c r="G6" s="461">
        <v>51.5</v>
      </c>
      <c r="H6" s="461">
        <v>278.5</v>
      </c>
      <c r="I6" s="461">
        <f t="shared" si="0"/>
        <v>955.2</v>
      </c>
      <c r="J6" s="463"/>
      <c r="K6" s="461">
        <f>VLOOKUP($C6,Resumo!$C$6:$I$30,2,0)</f>
        <v>58.6</v>
      </c>
      <c r="L6" s="461">
        <f>VLOOKUP($C6,Resumo!$C$6:$I$30,3,0)</f>
        <v>351.9</v>
      </c>
      <c r="M6" s="461">
        <f>VLOOKUP($C6,Resumo!$C$6:$I$30,4,0)</f>
        <v>214.7</v>
      </c>
      <c r="N6" s="461">
        <f>VLOOKUP($C6,Resumo!$C$6:$I$30,5,0)</f>
        <v>51.5</v>
      </c>
      <c r="O6" s="461">
        <f>VLOOKUP($C6,Resumo!$C$6:$I$30,6,0)</f>
        <v>278.5</v>
      </c>
      <c r="P6" s="461">
        <f t="shared" si="1"/>
        <v>955.2</v>
      </c>
      <c r="Q6" s="463"/>
      <c r="R6" s="461">
        <f t="shared" si="2"/>
        <v>0</v>
      </c>
      <c r="S6" s="461">
        <f t="shared" si="2"/>
        <v>0</v>
      </c>
      <c r="T6" s="461">
        <f t="shared" si="2"/>
        <v>0</v>
      </c>
      <c r="U6" s="461">
        <f t="shared" si="2"/>
        <v>0</v>
      </c>
      <c r="V6" s="461">
        <f t="shared" si="2"/>
        <v>0</v>
      </c>
      <c r="W6" s="461">
        <f t="shared" si="2"/>
        <v>0</v>
      </c>
    </row>
    <row r="7" spans="2:23" x14ac:dyDescent="0.25">
      <c r="B7" s="537"/>
      <c r="C7" s="460" t="s">
        <v>32</v>
      </c>
      <c r="D7" s="461">
        <v>1886.40985</v>
      </c>
      <c r="E7" s="461">
        <v>1138</v>
      </c>
      <c r="F7" s="461">
        <v>1210</v>
      </c>
      <c r="G7" s="461">
        <v>1123</v>
      </c>
      <c r="H7" s="461">
        <v>763.4</v>
      </c>
      <c r="I7" s="461">
        <f t="shared" si="0"/>
        <v>6120.8098499999996</v>
      </c>
      <c r="J7" s="463"/>
      <c r="K7" s="461">
        <f>VLOOKUP($C7,Resumo!$C$6:$I$30,2,0)</f>
        <v>1613.0843323699953</v>
      </c>
      <c r="L7" s="461">
        <f>VLOOKUP($C7,Resumo!$C$6:$I$30,3,0)</f>
        <v>476</v>
      </c>
      <c r="M7" s="461">
        <f>VLOOKUP($C7,Resumo!$C$6:$I$30,4,0)</f>
        <v>1152</v>
      </c>
      <c r="N7" s="461">
        <f>VLOOKUP($C7,Resumo!$C$6:$I$30,5,0)</f>
        <v>1689.5</v>
      </c>
      <c r="O7" s="461">
        <f>VLOOKUP($C7,Resumo!$C$6:$I$30,6,0)</f>
        <v>1190.5</v>
      </c>
      <c r="P7" s="461">
        <f t="shared" si="1"/>
        <v>6121.0843323699955</v>
      </c>
      <c r="Q7" s="463"/>
      <c r="R7" s="464">
        <f t="shared" si="2"/>
        <v>-273.3255176300047</v>
      </c>
      <c r="S7" s="464">
        <f t="shared" si="2"/>
        <v>-662</v>
      </c>
      <c r="T7" s="464">
        <f t="shared" si="2"/>
        <v>-58</v>
      </c>
      <c r="U7" s="464">
        <f t="shared" si="2"/>
        <v>566.5</v>
      </c>
      <c r="V7" s="464">
        <f t="shared" si="2"/>
        <v>427.1</v>
      </c>
      <c r="W7" s="464">
        <f t="shared" si="2"/>
        <v>0.27448236999589426</v>
      </c>
    </row>
    <row r="8" spans="2:23" x14ac:dyDescent="0.25">
      <c r="B8" s="537"/>
      <c r="C8" s="465" t="s">
        <v>33</v>
      </c>
      <c r="D8" s="464">
        <v>102.5</v>
      </c>
      <c r="E8" s="464">
        <v>0</v>
      </c>
      <c r="F8" s="464">
        <v>0</v>
      </c>
      <c r="G8" s="464">
        <v>0</v>
      </c>
      <c r="H8" s="464">
        <v>0</v>
      </c>
      <c r="I8" s="464">
        <v>102.5</v>
      </c>
      <c r="J8" s="466"/>
      <c r="K8" s="461">
        <f>VLOOKUP($C8,Resumo!$C$6:$I$30,2,0)</f>
        <v>0</v>
      </c>
      <c r="L8" s="461">
        <f>VLOOKUP($C8,Resumo!$C$6:$I$30,3,0)</f>
        <v>102.5</v>
      </c>
      <c r="M8" s="461">
        <f>VLOOKUP($C8,Resumo!$C$6:$I$30,4,0)</f>
        <v>0</v>
      </c>
      <c r="N8" s="461">
        <f>VLOOKUP($C8,Resumo!$C$6:$I$30,5,0)</f>
        <v>0</v>
      </c>
      <c r="O8" s="461">
        <f>VLOOKUP($C8,Resumo!$C$6:$I$30,6,0)</f>
        <v>0</v>
      </c>
      <c r="P8" s="461">
        <f t="shared" si="1"/>
        <v>102.5</v>
      </c>
      <c r="Q8" s="466"/>
      <c r="R8" s="464">
        <f t="shared" si="2"/>
        <v>-102.5</v>
      </c>
      <c r="S8" s="464">
        <f t="shared" si="2"/>
        <v>102.5</v>
      </c>
      <c r="T8" s="464">
        <f t="shared" si="2"/>
        <v>0</v>
      </c>
      <c r="U8" s="464">
        <f t="shared" si="2"/>
        <v>0</v>
      </c>
      <c r="V8" s="464">
        <f t="shared" si="2"/>
        <v>0</v>
      </c>
      <c r="W8" s="464">
        <f t="shared" si="2"/>
        <v>0</v>
      </c>
    </row>
    <row r="9" spans="2:23" x14ac:dyDescent="0.25">
      <c r="B9" s="537"/>
      <c r="C9" s="467" t="s">
        <v>1492</v>
      </c>
      <c r="D9" s="464">
        <v>518</v>
      </c>
      <c r="E9" s="464">
        <v>485.50699999999989</v>
      </c>
      <c r="F9" s="464">
        <v>602.22</v>
      </c>
      <c r="G9" s="464">
        <v>498</v>
      </c>
      <c r="H9" s="464">
        <v>197</v>
      </c>
      <c r="I9" s="464">
        <v>2300.7269999999999</v>
      </c>
      <c r="J9" s="466"/>
      <c r="K9" s="461">
        <f>VLOOKUP($C9,Resumo!$C$6:$I$30,2,0)</f>
        <v>420.29000020027132</v>
      </c>
      <c r="L9" s="461">
        <f>VLOOKUP($C9,Resumo!$C$6:$I$30,3,0)</f>
        <v>583.21700229484532</v>
      </c>
      <c r="M9" s="461">
        <f>VLOOKUP($C9,Resumo!$C$6:$I$30,4,0)</f>
        <v>602.22</v>
      </c>
      <c r="N9" s="461">
        <f>VLOOKUP($C9,Resumo!$C$6:$I$30,5,0)</f>
        <v>498</v>
      </c>
      <c r="O9" s="461">
        <f>VLOOKUP($C9,Resumo!$C$6:$I$30,6,0)</f>
        <v>197</v>
      </c>
      <c r="P9" s="461">
        <f t="shared" si="1"/>
        <v>2300.7270024951167</v>
      </c>
      <c r="Q9" s="466"/>
      <c r="R9" s="464">
        <f t="shared" si="2"/>
        <v>-97.709999799728678</v>
      </c>
      <c r="S9" s="464">
        <f t="shared" si="2"/>
        <v>97.710002294845424</v>
      </c>
      <c r="T9" s="464">
        <f t="shared" si="2"/>
        <v>0</v>
      </c>
      <c r="U9" s="464">
        <f t="shared" si="2"/>
        <v>0</v>
      </c>
      <c r="V9" s="464">
        <f t="shared" si="2"/>
        <v>0</v>
      </c>
      <c r="W9" s="464">
        <f t="shared" si="2"/>
        <v>2.4951168597908691E-6</v>
      </c>
    </row>
    <row r="10" spans="2:23" x14ac:dyDescent="0.25">
      <c r="B10" s="468" t="s">
        <v>865</v>
      </c>
      <c r="C10" s="469"/>
      <c r="D10" s="470">
        <f t="shared" ref="D10:O10" si="3">SUM(D4:D9)</f>
        <v>3376.4766500000001</v>
      </c>
      <c r="E10" s="470">
        <f t="shared" si="3"/>
        <v>2625.4070000000002</v>
      </c>
      <c r="F10" s="470">
        <f t="shared" si="3"/>
        <v>2492.1090000000004</v>
      </c>
      <c r="G10" s="470">
        <f t="shared" si="3"/>
        <v>2082.0650000000001</v>
      </c>
      <c r="H10" s="470">
        <f t="shared" si="3"/>
        <v>1706.6</v>
      </c>
      <c r="I10" s="470">
        <f t="shared" si="3"/>
        <v>12282.657649999997</v>
      </c>
      <c r="J10" s="471">
        <f t="shared" si="3"/>
        <v>0</v>
      </c>
      <c r="K10" s="470">
        <f t="shared" si="3"/>
        <v>2385.3743325702662</v>
      </c>
      <c r="L10" s="470">
        <f t="shared" si="3"/>
        <v>2256.5879623186884</v>
      </c>
      <c r="M10" s="470">
        <f t="shared" si="3"/>
        <v>2628.3198399761573</v>
      </c>
      <c r="N10" s="470">
        <f t="shared" si="3"/>
        <v>2700.5</v>
      </c>
      <c r="O10" s="470">
        <f t="shared" si="3"/>
        <v>2311.8755151348901</v>
      </c>
      <c r="P10" s="470">
        <f t="shared" si="1"/>
        <v>12282.657650000003</v>
      </c>
      <c r="Q10" s="471"/>
      <c r="R10" s="470">
        <f t="shared" si="2"/>
        <v>-991.10231742973383</v>
      </c>
      <c r="S10" s="470">
        <f t="shared" si="2"/>
        <v>-368.81903768131178</v>
      </c>
      <c r="T10" s="470">
        <f t="shared" si="2"/>
        <v>136.21083997615688</v>
      </c>
      <c r="U10" s="470">
        <f t="shared" si="2"/>
        <v>618.43499999999995</v>
      </c>
      <c r="V10" s="470">
        <f t="shared" si="2"/>
        <v>605.27551513489016</v>
      </c>
      <c r="W10" s="470">
        <f t="shared" si="2"/>
        <v>0</v>
      </c>
    </row>
    <row r="11" spans="2:23" x14ac:dyDescent="0.25">
      <c r="B11" s="537" t="s">
        <v>2014</v>
      </c>
      <c r="C11" s="460" t="s">
        <v>35</v>
      </c>
      <c r="D11" s="461">
        <v>0</v>
      </c>
      <c r="E11" s="461">
        <v>429.53983000000017</v>
      </c>
      <c r="F11" s="461">
        <v>204.46016999999981</v>
      </c>
      <c r="G11" s="461">
        <v>1250.5</v>
      </c>
      <c r="H11" s="461">
        <v>26</v>
      </c>
      <c r="I11" s="464">
        <f t="shared" si="0"/>
        <v>1910.5</v>
      </c>
      <c r="J11" s="463"/>
      <c r="K11" s="461">
        <f>VLOOKUP($C11,Resumo!$C$6:$I$30,2,0)</f>
        <v>0</v>
      </c>
      <c r="L11" s="461">
        <f>VLOOKUP($C11,Resumo!$C$6:$I$30,3,0)</f>
        <v>749.53983000000017</v>
      </c>
      <c r="M11" s="461">
        <f>VLOOKUP($C11,Resumo!$C$6:$I$30,4,0)</f>
        <v>204.46016999999981</v>
      </c>
      <c r="N11" s="461">
        <f>VLOOKUP($C11,Resumo!$C$6:$I$30,5,0)</f>
        <v>930.5</v>
      </c>
      <c r="O11" s="461">
        <f>VLOOKUP($C11,Resumo!$C$6:$I$30,6,0)</f>
        <v>26</v>
      </c>
      <c r="P11" s="461">
        <f t="shared" si="1"/>
        <v>1910.5</v>
      </c>
      <c r="Q11" s="463"/>
      <c r="R11" s="461">
        <f t="shared" si="2"/>
        <v>0</v>
      </c>
      <c r="S11" s="461">
        <f t="shared" si="2"/>
        <v>320</v>
      </c>
      <c r="T11" s="461">
        <f t="shared" si="2"/>
        <v>0</v>
      </c>
      <c r="U11" s="461">
        <f t="shared" si="2"/>
        <v>-320</v>
      </c>
      <c r="V11" s="461">
        <f t="shared" si="2"/>
        <v>0</v>
      </c>
      <c r="W11" s="464">
        <f t="shared" si="2"/>
        <v>0</v>
      </c>
    </row>
    <row r="12" spans="2:23" x14ac:dyDescent="0.25">
      <c r="B12" s="537"/>
      <c r="C12" s="460" t="s">
        <v>36</v>
      </c>
      <c r="D12" s="461">
        <v>142.25</v>
      </c>
      <c r="E12" s="461">
        <v>45.5</v>
      </c>
      <c r="F12" s="461">
        <v>82.5</v>
      </c>
      <c r="G12" s="461">
        <v>90.020000000001346</v>
      </c>
      <c r="H12" s="461">
        <v>77.979999999998654</v>
      </c>
      <c r="I12" s="464">
        <f t="shared" si="0"/>
        <v>438.25</v>
      </c>
      <c r="J12" s="463"/>
      <c r="K12" s="461">
        <f>VLOOKUP($C12,Resumo!$C$6:$I$30,2,0)</f>
        <v>142.21934999999999</v>
      </c>
      <c r="L12" s="461">
        <f>VLOOKUP($C12,Resumo!$C$6:$I$30,3,0)</f>
        <v>448.83333249511816</v>
      </c>
      <c r="M12" s="461">
        <f>VLOOKUP($C12,Resumo!$C$6:$I$30,4,0)</f>
        <v>0</v>
      </c>
      <c r="N12" s="461">
        <f>VLOOKUP($C12,Resumo!$C$6:$I$30,5,0)</f>
        <v>0</v>
      </c>
      <c r="O12" s="461">
        <f>VLOOKUP($C12,Resumo!$C$6:$I$30,6,0)</f>
        <v>0</v>
      </c>
      <c r="P12" s="461">
        <f t="shared" si="1"/>
        <v>591.05268249511812</v>
      </c>
      <c r="Q12" s="463"/>
      <c r="R12" s="461">
        <f t="shared" si="2"/>
        <v>-3.0650000000008504E-2</v>
      </c>
      <c r="S12" s="461">
        <f t="shared" si="2"/>
        <v>403.33333249511816</v>
      </c>
      <c r="T12" s="461">
        <f t="shared" si="2"/>
        <v>-82.5</v>
      </c>
      <c r="U12" s="461">
        <f t="shared" si="2"/>
        <v>-90.020000000001346</v>
      </c>
      <c r="V12" s="461">
        <f t="shared" si="2"/>
        <v>-77.979999999998654</v>
      </c>
      <c r="W12" s="464">
        <f t="shared" si="2"/>
        <v>152.80268249511812</v>
      </c>
    </row>
    <row r="13" spans="2:23" x14ac:dyDescent="0.25">
      <c r="B13" s="537"/>
      <c r="C13" s="460" t="s">
        <v>37</v>
      </c>
      <c r="D13" s="461">
        <v>415</v>
      </c>
      <c r="E13" s="461">
        <v>55</v>
      </c>
      <c r="F13" s="461">
        <v>209</v>
      </c>
      <c r="G13" s="461">
        <v>55</v>
      </c>
      <c r="H13" s="461">
        <v>209.5</v>
      </c>
      <c r="I13" s="464">
        <f t="shared" si="0"/>
        <v>943.5</v>
      </c>
      <c r="J13" s="463"/>
      <c r="K13" s="461">
        <f>VLOOKUP($C13,Resumo!$C$6:$I$30,2,0)</f>
        <v>415</v>
      </c>
      <c r="L13" s="461">
        <f>VLOOKUP($C13,Resumo!$C$6:$I$30,3,0)</f>
        <v>55</v>
      </c>
      <c r="M13" s="461">
        <f>VLOOKUP($C13,Resumo!$C$6:$I$30,4,0)</f>
        <v>209</v>
      </c>
      <c r="N13" s="461">
        <f>VLOOKUP($C13,Resumo!$C$6:$I$30,5,0)</f>
        <v>55</v>
      </c>
      <c r="O13" s="461">
        <f>VLOOKUP($C13,Resumo!$C$6:$I$30,6,0)</f>
        <v>209.5</v>
      </c>
      <c r="P13" s="461">
        <f t="shared" si="1"/>
        <v>943.5</v>
      </c>
      <c r="Q13" s="463"/>
      <c r="R13" s="461">
        <f t="shared" si="2"/>
        <v>0</v>
      </c>
      <c r="S13" s="461">
        <f t="shared" si="2"/>
        <v>0</v>
      </c>
      <c r="T13" s="461">
        <f t="shared" si="2"/>
        <v>0</v>
      </c>
      <c r="U13" s="461">
        <f t="shared" si="2"/>
        <v>0</v>
      </c>
      <c r="V13" s="461">
        <f t="shared" si="2"/>
        <v>0</v>
      </c>
      <c r="W13" s="464">
        <f t="shared" si="2"/>
        <v>0</v>
      </c>
    </row>
    <row r="14" spans="2:23" x14ac:dyDescent="0.25">
      <c r="B14" s="537"/>
      <c r="C14" s="460" t="s">
        <v>38</v>
      </c>
      <c r="D14" s="461">
        <v>128.52000000000001</v>
      </c>
      <c r="E14" s="461">
        <v>128.52000000000001</v>
      </c>
      <c r="F14" s="461">
        <v>128.52000000000001</v>
      </c>
      <c r="G14" s="461">
        <v>128.52000000000001</v>
      </c>
      <c r="H14" s="461">
        <v>128.52000000000001</v>
      </c>
      <c r="I14" s="464">
        <f t="shared" si="0"/>
        <v>642.6</v>
      </c>
      <c r="J14" s="463"/>
      <c r="K14" s="461">
        <f>VLOOKUP($C14,Resumo!$C$6:$I$30,2,0)</f>
        <v>97.797317504882813</v>
      </c>
      <c r="L14" s="461">
        <f>VLOOKUP($C14,Resumo!$C$6:$I$30,3,0)</f>
        <v>298</v>
      </c>
      <c r="M14" s="462">
        <f>VLOOKUP($C14,Resumo!$C$6:$I$30,4,0)</f>
        <v>98</v>
      </c>
      <c r="N14" s="462">
        <f>VLOOKUP($C14,Resumo!$C$6:$I$30,5,0)</f>
        <v>98</v>
      </c>
      <c r="O14" s="462">
        <f>VLOOKUP($C14,Resumo!$C$6:$I$30,6,0)</f>
        <v>98</v>
      </c>
      <c r="P14" s="461">
        <f t="shared" si="1"/>
        <v>689.79731750488281</v>
      </c>
      <c r="Q14" s="463"/>
      <c r="R14" s="461">
        <f t="shared" si="2"/>
        <v>-30.722682495117198</v>
      </c>
      <c r="S14" s="461">
        <f t="shared" si="2"/>
        <v>169.48</v>
      </c>
      <c r="T14" s="472">
        <f t="shared" si="2"/>
        <v>-30.52000000000001</v>
      </c>
      <c r="U14" s="472">
        <f t="shared" si="2"/>
        <v>-30.52000000000001</v>
      </c>
      <c r="V14" s="472">
        <f t="shared" si="2"/>
        <v>-30.52000000000001</v>
      </c>
      <c r="W14" s="464">
        <f t="shared" si="2"/>
        <v>47.19731750488279</v>
      </c>
    </row>
    <row r="15" spans="2:23" x14ac:dyDescent="0.25">
      <c r="B15" s="537"/>
      <c r="C15" s="460" t="s">
        <v>39</v>
      </c>
      <c r="D15" s="461">
        <v>1618.44</v>
      </c>
      <c r="E15" s="461">
        <v>0</v>
      </c>
      <c r="F15" s="461">
        <v>1050</v>
      </c>
      <c r="G15" s="461">
        <v>1008</v>
      </c>
      <c r="H15" s="461">
        <v>0</v>
      </c>
      <c r="I15" s="464">
        <v>3676.44</v>
      </c>
      <c r="J15" s="463"/>
      <c r="K15" s="461">
        <f>VLOOKUP($C15,Resumo!$C$6:$I$30,2,0)</f>
        <v>0</v>
      </c>
      <c r="L15" s="461">
        <f>VLOOKUP($C15,Resumo!$C$6:$I$30,3,0)</f>
        <v>1618.44</v>
      </c>
      <c r="M15" s="461">
        <f>VLOOKUP($C15,Resumo!$C$6:$I$30,4,0)</f>
        <v>1050</v>
      </c>
      <c r="N15" s="461">
        <f>VLOOKUP($C15,Resumo!$C$6:$I$30,5,0)</f>
        <v>1008</v>
      </c>
      <c r="O15" s="461">
        <f>VLOOKUP($C15,Resumo!$C$6:$I$30,6,0)</f>
        <v>0</v>
      </c>
      <c r="P15" s="461">
        <f t="shared" si="1"/>
        <v>3676.44</v>
      </c>
      <c r="Q15" s="463"/>
      <c r="R15" s="461">
        <f t="shared" si="2"/>
        <v>-1618.44</v>
      </c>
      <c r="S15" s="461">
        <f t="shared" si="2"/>
        <v>1618.44</v>
      </c>
      <c r="T15" s="461">
        <f t="shared" si="2"/>
        <v>0</v>
      </c>
      <c r="U15" s="461">
        <f t="shared" si="2"/>
        <v>0</v>
      </c>
      <c r="V15" s="461">
        <f t="shared" si="2"/>
        <v>0</v>
      </c>
      <c r="W15" s="464">
        <f t="shared" si="2"/>
        <v>0</v>
      </c>
    </row>
    <row r="16" spans="2:23" x14ac:dyDescent="0.25">
      <c r="B16" s="537"/>
      <c r="C16" s="460" t="s">
        <v>1493</v>
      </c>
      <c r="D16" s="461">
        <v>1815.217365</v>
      </c>
      <c r="E16" s="461">
        <v>1495.7401699999996</v>
      </c>
      <c r="F16" s="461">
        <v>777.03347499999984</v>
      </c>
      <c r="G16" s="461">
        <v>2549.7189899999998</v>
      </c>
      <c r="H16" s="461">
        <v>0</v>
      </c>
      <c r="I16" s="464">
        <v>6637.7099999999991</v>
      </c>
      <c r="J16" s="463"/>
      <c r="K16" s="461">
        <f>VLOOKUP($C16,Resumo!$C$6:$I$30,2,0)</f>
        <v>1786.6762499806587</v>
      </c>
      <c r="L16" s="461">
        <f>VLOOKUP($C16,Resumo!$C$6:$I$30,3,0)</f>
        <v>1324.2812850193402</v>
      </c>
      <c r="M16" s="461">
        <f>VLOOKUP($C16,Resumo!$C$6:$I$30,4,0)</f>
        <v>777.03347499999984</v>
      </c>
      <c r="N16" s="461">
        <f>VLOOKUP($C16,Resumo!$C$6:$I$30,5,0)</f>
        <v>2549.7189899999998</v>
      </c>
      <c r="O16" s="461">
        <f>VLOOKUP($C16,Resumo!$C$6:$I$30,6,0)</f>
        <v>0</v>
      </c>
      <c r="P16" s="461">
        <f t="shared" si="1"/>
        <v>6437.7099999999982</v>
      </c>
      <c r="Q16" s="463"/>
      <c r="R16" s="461">
        <f t="shared" si="2"/>
        <v>-28.541115019341305</v>
      </c>
      <c r="S16" s="461">
        <f t="shared" si="2"/>
        <v>-171.45888498065938</v>
      </c>
      <c r="T16" s="461">
        <f t="shared" si="2"/>
        <v>0</v>
      </c>
      <c r="U16" s="461">
        <f t="shared" si="2"/>
        <v>0</v>
      </c>
      <c r="V16" s="461">
        <f t="shared" si="2"/>
        <v>0</v>
      </c>
      <c r="W16" s="464">
        <f t="shared" si="2"/>
        <v>-200.00000000000091</v>
      </c>
    </row>
    <row r="17" spans="2:23" x14ac:dyDescent="0.25">
      <c r="B17" s="468" t="s">
        <v>866</v>
      </c>
      <c r="C17" s="469"/>
      <c r="D17" s="470">
        <f t="shared" ref="D17:O17" si="4">SUM(D11:D16)</f>
        <v>4119.4273649999996</v>
      </c>
      <c r="E17" s="470">
        <f t="shared" si="4"/>
        <v>2154.2999999999997</v>
      </c>
      <c r="F17" s="470">
        <f t="shared" si="4"/>
        <v>2451.5136449999995</v>
      </c>
      <c r="G17" s="470">
        <f t="shared" si="4"/>
        <v>5081.7589900000012</v>
      </c>
      <c r="H17" s="470">
        <f t="shared" si="4"/>
        <v>441.99999999999864</v>
      </c>
      <c r="I17" s="470">
        <f t="shared" si="4"/>
        <v>14249</v>
      </c>
      <c r="J17" s="471">
        <f t="shared" si="4"/>
        <v>0</v>
      </c>
      <c r="K17" s="470">
        <f t="shared" si="4"/>
        <v>2441.6929174855413</v>
      </c>
      <c r="L17" s="470">
        <f t="shared" si="4"/>
        <v>4494.0944475144588</v>
      </c>
      <c r="M17" s="470">
        <f t="shared" si="4"/>
        <v>2338.4936449999996</v>
      </c>
      <c r="N17" s="470">
        <f t="shared" si="4"/>
        <v>4641.2189899999994</v>
      </c>
      <c r="O17" s="470">
        <f t="shared" si="4"/>
        <v>333.5</v>
      </c>
      <c r="P17" s="470">
        <f t="shared" si="1"/>
        <v>14248.999999999998</v>
      </c>
      <c r="Q17" s="471"/>
      <c r="R17" s="470">
        <f t="shared" si="2"/>
        <v>-1677.7344475144582</v>
      </c>
      <c r="S17" s="470">
        <f t="shared" si="2"/>
        <v>2339.7944475144591</v>
      </c>
      <c r="T17" s="470">
        <f t="shared" si="2"/>
        <v>-113.01999999999998</v>
      </c>
      <c r="U17" s="470">
        <f t="shared" si="2"/>
        <v>-440.54000000000178</v>
      </c>
      <c r="V17" s="470">
        <f t="shared" si="2"/>
        <v>-108.49999999999864</v>
      </c>
      <c r="W17" s="470">
        <f t="shared" si="2"/>
        <v>0</v>
      </c>
    </row>
    <row r="18" spans="2:23" x14ac:dyDescent="0.25">
      <c r="B18" s="538" t="s">
        <v>57</v>
      </c>
      <c r="C18" s="460" t="s">
        <v>40</v>
      </c>
      <c r="D18" s="461">
        <v>2416.9827999999998</v>
      </c>
      <c r="E18" s="461">
        <v>2234.6552000000001</v>
      </c>
      <c r="F18" s="461">
        <v>3004.6379999999999</v>
      </c>
      <c r="G18" s="461">
        <v>3898.22424</v>
      </c>
      <c r="H18" s="461">
        <v>2529.0517599999998</v>
      </c>
      <c r="I18" s="464">
        <f t="shared" si="0"/>
        <v>14083.552</v>
      </c>
      <c r="J18" s="463"/>
      <c r="K18" s="461">
        <f>VLOOKUP($C18,Resumo!$C$6:$I$30,2,0)</f>
        <v>1565.483619976158</v>
      </c>
      <c r="L18" s="461">
        <f>VLOOKUP($C18,Resumo!$C$6:$I$30,3,0)</f>
        <v>2667.9163800000001</v>
      </c>
      <c r="M18" s="461">
        <f>VLOOKUP($C18,Resumo!$C$6:$I$30,4,0)</f>
        <v>3243</v>
      </c>
      <c r="N18" s="461">
        <f>VLOOKUP($C18,Resumo!$C$6:$I$30,5,0)</f>
        <v>3733</v>
      </c>
      <c r="O18" s="461">
        <f>VLOOKUP($C18,Resumo!$C$6:$I$30,6,0)</f>
        <v>2471</v>
      </c>
      <c r="P18" s="461">
        <f t="shared" si="1"/>
        <v>13680.399999976158</v>
      </c>
      <c r="Q18" s="463"/>
      <c r="R18" s="461">
        <f t="shared" si="2"/>
        <v>-851.49918002384175</v>
      </c>
      <c r="S18" s="461">
        <f t="shared" si="2"/>
        <v>433.26117999999997</v>
      </c>
      <c r="T18" s="461">
        <f t="shared" si="2"/>
        <v>238.36200000000008</v>
      </c>
      <c r="U18" s="461">
        <f t="shared" si="2"/>
        <v>-165.22424000000001</v>
      </c>
      <c r="V18" s="461">
        <f t="shared" si="2"/>
        <v>-58.051759999999831</v>
      </c>
      <c r="W18" s="464">
        <f t="shared" si="2"/>
        <v>-403.15200002384154</v>
      </c>
    </row>
    <row r="19" spans="2:23" x14ac:dyDescent="0.25">
      <c r="B19" s="538"/>
      <c r="C19" s="460" t="s">
        <v>41</v>
      </c>
      <c r="D19" s="461">
        <v>6259.442</v>
      </c>
      <c r="E19" s="461">
        <v>8702.5841583299989</v>
      </c>
      <c r="F19" s="461">
        <v>9836.2548416610007</v>
      </c>
      <c r="G19" s="461">
        <v>9596.3140000000003</v>
      </c>
      <c r="H19" s="461">
        <v>6057</v>
      </c>
      <c r="I19" s="464">
        <f t="shared" si="0"/>
        <v>40451.594999991001</v>
      </c>
      <c r="J19" s="463"/>
      <c r="K19" s="461">
        <f>VLOOKUP($C19,Resumo!$C$6:$I$30,2,0)</f>
        <v>3206.8986121711728</v>
      </c>
      <c r="L19" s="461">
        <f>VLOOKUP($C19,Resumo!$C$6:$I$30,3,0)</f>
        <v>9677.8479970865246</v>
      </c>
      <c r="M19" s="461">
        <f>VLOOKUP($C19,Resumo!$C$6:$I$30,4,0)</f>
        <v>9962.7250716193466</v>
      </c>
      <c r="N19" s="461">
        <f>VLOOKUP($C19,Resumo!$C$6:$I$30,5,0)</f>
        <v>5683.8053581794766</v>
      </c>
      <c r="O19" s="461">
        <f>VLOOKUP($C19,Resumo!$C$6:$I$30,6,0)</f>
        <v>2684.54031913777</v>
      </c>
      <c r="P19" s="461">
        <f t="shared" si="1"/>
        <v>31215.817358194294</v>
      </c>
      <c r="Q19" s="463"/>
      <c r="R19" s="461">
        <f t="shared" si="2"/>
        <v>-3052.5433878288272</v>
      </c>
      <c r="S19" s="461">
        <f t="shared" si="2"/>
        <v>975.26383875652573</v>
      </c>
      <c r="T19" s="461">
        <f t="shared" si="2"/>
        <v>126.47022995834595</v>
      </c>
      <c r="U19" s="461">
        <f t="shared" si="2"/>
        <v>-3912.5086418205237</v>
      </c>
      <c r="V19" s="461">
        <f t="shared" si="2"/>
        <v>-3372.45968086223</v>
      </c>
      <c r="W19" s="464">
        <f t="shared" si="2"/>
        <v>-9235.777641796707</v>
      </c>
    </row>
    <row r="20" spans="2:23" x14ac:dyDescent="0.25">
      <c r="B20" s="538"/>
      <c r="C20" s="460" t="s">
        <v>42</v>
      </c>
      <c r="D20" s="461">
        <v>4111.9169999999995</v>
      </c>
      <c r="E20" s="461">
        <v>5203.2019999999993</v>
      </c>
      <c r="F20" s="461">
        <v>8312.5830000000005</v>
      </c>
      <c r="G20" s="461">
        <v>9846.514000000001</v>
      </c>
      <c r="H20" s="461">
        <v>7088.2290000000012</v>
      </c>
      <c r="I20" s="464">
        <f t="shared" si="0"/>
        <v>34562.445</v>
      </c>
      <c r="J20" s="463"/>
      <c r="K20" s="461">
        <f>VLOOKUP($C20,Resumo!$C$6:$I$30,2,0)</f>
        <v>3934.0860000000002</v>
      </c>
      <c r="L20" s="461">
        <f>VLOOKUP($C20,Resumo!$C$6:$I$30,3,0)</f>
        <v>3511.3220000000001</v>
      </c>
      <c r="M20" s="461">
        <f>VLOOKUP($C20,Resumo!$C$6:$I$30,4,0)</f>
        <v>5997.875</v>
      </c>
      <c r="N20" s="461">
        <f>VLOOKUP($C20,Resumo!$C$6:$I$30,5,0)</f>
        <v>6466.2689999999993</v>
      </c>
      <c r="O20" s="461">
        <f>VLOOKUP($C20,Resumo!$C$6:$I$30,6,0)</f>
        <v>8767.784999999998</v>
      </c>
      <c r="P20" s="461">
        <f t="shared" si="1"/>
        <v>28677.337</v>
      </c>
      <c r="Q20" s="463"/>
      <c r="R20" s="461">
        <f t="shared" si="2"/>
        <v>-177.83099999999922</v>
      </c>
      <c r="S20" s="461">
        <f t="shared" si="2"/>
        <v>-1691.8799999999992</v>
      </c>
      <c r="T20" s="461">
        <f t="shared" si="2"/>
        <v>-2314.7080000000005</v>
      </c>
      <c r="U20" s="461">
        <f t="shared" si="2"/>
        <v>-3380.2450000000017</v>
      </c>
      <c r="V20" s="461">
        <f t="shared" si="2"/>
        <v>1679.5559999999969</v>
      </c>
      <c r="W20" s="464">
        <f t="shared" si="2"/>
        <v>-5885.1080000000002</v>
      </c>
    </row>
    <row r="21" spans="2:23" x14ac:dyDescent="0.25">
      <c r="B21" s="538"/>
      <c r="C21" s="460" t="s">
        <v>43</v>
      </c>
      <c r="D21" s="461">
        <v>4684</v>
      </c>
      <c r="E21" s="461">
        <v>15470</v>
      </c>
      <c r="F21" s="461">
        <v>2660</v>
      </c>
      <c r="G21" s="461">
        <v>390</v>
      </c>
      <c r="H21" s="461">
        <v>2660</v>
      </c>
      <c r="I21" s="464">
        <f t="shared" si="0"/>
        <v>25864</v>
      </c>
      <c r="J21" s="463"/>
      <c r="K21" s="461">
        <f>VLOOKUP($C21,Resumo!$C$6:$I$30,2,0)</f>
        <v>4684</v>
      </c>
      <c r="L21" s="461">
        <f>VLOOKUP($C21,Resumo!$C$6:$I$30,3,0)</f>
        <v>15480</v>
      </c>
      <c r="M21" s="461">
        <f>VLOOKUP($C21,Resumo!$C$6:$I$30,4,0)</f>
        <v>2220</v>
      </c>
      <c r="N21" s="461">
        <f>VLOOKUP($C21,Resumo!$C$6:$I$30,5,0)</f>
        <v>340</v>
      </c>
      <c r="O21" s="461">
        <f>VLOOKUP($C21,Resumo!$C$6:$I$30,6,0)</f>
        <v>2736</v>
      </c>
      <c r="P21" s="461">
        <f t="shared" si="1"/>
        <v>25460</v>
      </c>
      <c r="Q21" s="463"/>
      <c r="R21" s="461">
        <f t="shared" si="2"/>
        <v>0</v>
      </c>
      <c r="S21" s="461">
        <f t="shared" si="2"/>
        <v>10</v>
      </c>
      <c r="T21" s="461">
        <f t="shared" si="2"/>
        <v>-440</v>
      </c>
      <c r="U21" s="461">
        <f t="shared" si="2"/>
        <v>-50</v>
      </c>
      <c r="V21" s="461">
        <f t="shared" si="2"/>
        <v>76</v>
      </c>
      <c r="W21" s="464">
        <f t="shared" si="2"/>
        <v>-404</v>
      </c>
    </row>
    <row r="22" spans="2:23" x14ac:dyDescent="0.25">
      <c r="B22" s="538"/>
      <c r="C22" s="460" t="s">
        <v>44</v>
      </c>
      <c r="D22" s="461">
        <v>54226.487000000001</v>
      </c>
      <c r="E22" s="461">
        <v>51311</v>
      </c>
      <c r="F22" s="461">
        <v>49621</v>
      </c>
      <c r="G22" s="461">
        <v>22590</v>
      </c>
      <c r="H22" s="461">
        <v>26346.5</v>
      </c>
      <c r="I22" s="464">
        <f t="shared" si="0"/>
        <v>204094.98699999999</v>
      </c>
      <c r="J22" s="463"/>
      <c r="K22" s="461">
        <f>VLOOKUP($C22,Resumo!$C$6:$I$30,2,0)</f>
        <v>56476.689081820536</v>
      </c>
      <c r="L22" s="461">
        <f>VLOOKUP($C22,Resumo!$C$6:$I$30,3,0)</f>
        <v>53157.658060000009</v>
      </c>
      <c r="M22" s="461">
        <f>VLOOKUP($C22,Resumo!$C$6:$I$30,4,0)</f>
        <v>40873.777499999997</v>
      </c>
      <c r="N22" s="461">
        <f>VLOOKUP($C22,Resumo!$C$6:$I$30,5,0)</f>
        <v>35529.5</v>
      </c>
      <c r="O22" s="461">
        <f>VLOOKUP($C22,Resumo!$C$6:$I$30,6,0)</f>
        <v>33985.4</v>
      </c>
      <c r="P22" s="461">
        <f t="shared" si="1"/>
        <v>220023.02464182055</v>
      </c>
      <c r="Q22" s="463"/>
      <c r="R22" s="461">
        <f t="shared" si="2"/>
        <v>2250.2020818205347</v>
      </c>
      <c r="S22" s="461">
        <f t="shared" si="2"/>
        <v>1846.6580600000088</v>
      </c>
      <c r="T22" s="461">
        <f t="shared" si="2"/>
        <v>-8747.2225000000035</v>
      </c>
      <c r="U22" s="461">
        <f t="shared" si="2"/>
        <v>12939.5</v>
      </c>
      <c r="V22" s="461">
        <f t="shared" si="2"/>
        <v>7638.9000000000015</v>
      </c>
      <c r="W22" s="464">
        <f t="shared" si="2"/>
        <v>15928.037641820556</v>
      </c>
    </row>
    <row r="23" spans="2:23" x14ac:dyDescent="0.25">
      <c r="B23" s="538"/>
      <c r="C23" s="460" t="s">
        <v>45</v>
      </c>
      <c r="D23" s="461">
        <v>3182.4</v>
      </c>
      <c r="E23" s="461">
        <v>1864</v>
      </c>
      <c r="F23" s="461">
        <v>2982</v>
      </c>
      <c r="G23" s="461">
        <v>350</v>
      </c>
      <c r="H23" s="461">
        <v>170</v>
      </c>
      <c r="I23" s="464">
        <f t="shared" si="0"/>
        <v>8548.4</v>
      </c>
      <c r="J23" s="463"/>
      <c r="K23" s="461">
        <f>VLOOKUP($C23,Resumo!$C$6:$I$30,2,0)</f>
        <v>90</v>
      </c>
      <c r="L23" s="461">
        <f>VLOOKUP($C23,Resumo!$C$6:$I$30,3,0)</f>
        <v>4956.3999999999996</v>
      </c>
      <c r="M23" s="461">
        <f>VLOOKUP($C23,Resumo!$C$6:$I$30,4,0)</f>
        <v>2982</v>
      </c>
      <c r="N23" s="461">
        <f>VLOOKUP($C23,Resumo!$C$6:$I$30,5,0)</f>
        <v>350</v>
      </c>
      <c r="O23" s="461">
        <f>VLOOKUP($C23,Resumo!$C$6:$I$30,6,0)</f>
        <v>170</v>
      </c>
      <c r="P23" s="461">
        <f t="shared" si="1"/>
        <v>8548.4</v>
      </c>
      <c r="Q23" s="463"/>
      <c r="R23" s="461">
        <f t="shared" si="2"/>
        <v>-3092.4</v>
      </c>
      <c r="S23" s="461">
        <f t="shared" si="2"/>
        <v>3092.3999999999996</v>
      </c>
      <c r="T23" s="461">
        <f t="shared" si="2"/>
        <v>0</v>
      </c>
      <c r="U23" s="461">
        <f t="shared" si="2"/>
        <v>0</v>
      </c>
      <c r="V23" s="461">
        <f t="shared" si="2"/>
        <v>0</v>
      </c>
      <c r="W23" s="464">
        <f t="shared" si="2"/>
        <v>0</v>
      </c>
    </row>
    <row r="24" spans="2:23" x14ac:dyDescent="0.25">
      <c r="B24" s="468" t="s">
        <v>458</v>
      </c>
      <c r="C24" s="469"/>
      <c r="D24" s="470">
        <f>SUM(D18:D23)</f>
        <v>74881.228799999997</v>
      </c>
      <c r="E24" s="470">
        <f t="shared" ref="E24:O24" si="5">SUM(E18:E23)</f>
        <v>84785.44135832999</v>
      </c>
      <c r="F24" s="470">
        <f t="shared" si="5"/>
        <v>76416.475841660998</v>
      </c>
      <c r="G24" s="470">
        <f t="shared" si="5"/>
        <v>46671.052240000005</v>
      </c>
      <c r="H24" s="470">
        <f t="shared" si="5"/>
        <v>44850.780760000001</v>
      </c>
      <c r="I24" s="470">
        <f t="shared" si="5"/>
        <v>327604.97899999103</v>
      </c>
      <c r="J24" s="471">
        <f t="shared" si="5"/>
        <v>0</v>
      </c>
      <c r="K24" s="470">
        <f t="shared" si="5"/>
        <v>69957.157313967866</v>
      </c>
      <c r="L24" s="470">
        <f t="shared" si="5"/>
        <v>89451.144437086536</v>
      </c>
      <c r="M24" s="470">
        <f t="shared" si="5"/>
        <v>65279.377571619341</v>
      </c>
      <c r="N24" s="470">
        <f t="shared" si="5"/>
        <v>52102.574358179481</v>
      </c>
      <c r="O24" s="470">
        <f t="shared" si="5"/>
        <v>50814.725319137768</v>
      </c>
      <c r="P24" s="470">
        <f t="shared" si="1"/>
        <v>327604.97899999097</v>
      </c>
      <c r="Q24" s="471"/>
      <c r="R24" s="470">
        <f t="shared" si="2"/>
        <v>-4924.0714860321314</v>
      </c>
      <c r="S24" s="470">
        <f t="shared" si="2"/>
        <v>4665.7030787565454</v>
      </c>
      <c r="T24" s="470">
        <f t="shared" si="2"/>
        <v>-11137.098270041657</v>
      </c>
      <c r="U24" s="470">
        <f t="shared" si="2"/>
        <v>5431.5221181794768</v>
      </c>
      <c r="V24" s="470">
        <f t="shared" si="2"/>
        <v>5963.9445591377662</v>
      </c>
      <c r="W24" s="470">
        <f t="shared" si="2"/>
        <v>0</v>
      </c>
    </row>
    <row r="25" spans="2:23" x14ac:dyDescent="0.25">
      <c r="B25" s="531" t="s">
        <v>406</v>
      </c>
      <c r="C25" s="460" t="s">
        <v>46</v>
      </c>
      <c r="D25" s="461">
        <v>75</v>
      </c>
      <c r="E25" s="461">
        <v>75</v>
      </c>
      <c r="F25" s="461">
        <v>150</v>
      </c>
      <c r="G25" s="461">
        <v>150</v>
      </c>
      <c r="H25" s="461">
        <v>250</v>
      </c>
      <c r="I25" s="464">
        <f t="shared" si="0"/>
        <v>700</v>
      </c>
      <c r="J25" s="463"/>
      <c r="K25" s="461">
        <f>VLOOKUP($C25,Resumo!$C$6:$I$30,2,0)</f>
        <v>75</v>
      </c>
      <c r="L25" s="461">
        <f>VLOOKUP($C25,Resumo!$C$6:$I$30,3,0)</f>
        <v>75</v>
      </c>
      <c r="M25" s="461">
        <f>VLOOKUP($C25,Resumo!$C$6:$I$30,4,0)</f>
        <v>150</v>
      </c>
      <c r="N25" s="461">
        <f>VLOOKUP($C25,Resumo!$C$6:$I$30,5,0)</f>
        <v>150</v>
      </c>
      <c r="O25" s="461">
        <f>VLOOKUP($C25,Resumo!$C$6:$I$30,6,0)</f>
        <v>250</v>
      </c>
      <c r="P25" s="461">
        <f t="shared" si="1"/>
        <v>700</v>
      </c>
      <c r="Q25" s="463"/>
      <c r="R25" s="461">
        <f t="shared" si="2"/>
        <v>0</v>
      </c>
      <c r="S25" s="461">
        <f t="shared" si="2"/>
        <v>0</v>
      </c>
      <c r="T25" s="461">
        <f t="shared" si="2"/>
        <v>0</v>
      </c>
      <c r="U25" s="461">
        <f t="shared" si="2"/>
        <v>0</v>
      </c>
      <c r="V25" s="461">
        <f t="shared" si="2"/>
        <v>0</v>
      </c>
      <c r="W25" s="464">
        <f t="shared" si="2"/>
        <v>0</v>
      </c>
    </row>
    <row r="26" spans="2:23" x14ac:dyDescent="0.25">
      <c r="B26" s="531"/>
      <c r="C26" s="460" t="s">
        <v>47</v>
      </c>
      <c r="D26" s="461">
        <v>1289</v>
      </c>
      <c r="E26" s="461">
        <v>150</v>
      </c>
      <c r="F26" s="461">
        <v>150</v>
      </c>
      <c r="G26" s="461">
        <v>150</v>
      </c>
      <c r="H26" s="461">
        <v>150</v>
      </c>
      <c r="I26" s="464">
        <f t="shared" si="0"/>
        <v>1889</v>
      </c>
      <c r="J26" s="463"/>
      <c r="K26" s="461">
        <f>VLOOKUP($C26,Resumo!$C$6:$I$30,2,0)</f>
        <v>235.0000000000002</v>
      </c>
      <c r="L26" s="461">
        <f>VLOOKUP($C26,Resumo!$C$6:$I$30,3,0)</f>
        <v>15</v>
      </c>
      <c r="M26" s="461">
        <f>VLOOKUP($C26,Resumo!$C$6:$I$30,4,0)</f>
        <v>15</v>
      </c>
      <c r="N26" s="461">
        <f>VLOOKUP($C26,Resumo!$C$6:$I$30,5,0)</f>
        <v>812</v>
      </c>
      <c r="O26" s="461">
        <f>VLOOKUP($C26,Resumo!$C$6:$I$30,6,0)</f>
        <v>812</v>
      </c>
      <c r="P26" s="461">
        <f t="shared" si="1"/>
        <v>1889.0000000000002</v>
      </c>
      <c r="Q26" s="463"/>
      <c r="R26" s="461">
        <f t="shared" si="2"/>
        <v>-1053.9999999999998</v>
      </c>
      <c r="S26" s="461">
        <f t="shared" si="2"/>
        <v>-135</v>
      </c>
      <c r="T26" s="461">
        <f t="shared" si="2"/>
        <v>-135</v>
      </c>
      <c r="U26" s="461">
        <f t="shared" si="2"/>
        <v>662</v>
      </c>
      <c r="V26" s="461">
        <f t="shared" si="2"/>
        <v>662</v>
      </c>
      <c r="W26" s="464">
        <f t="shared" si="2"/>
        <v>0</v>
      </c>
    </row>
    <row r="27" spans="2:23" x14ac:dyDescent="0.25">
      <c r="B27" s="468" t="s">
        <v>867</v>
      </c>
      <c r="C27" s="469"/>
      <c r="D27" s="470">
        <f>SUM(D25:D26)</f>
        <v>1364</v>
      </c>
      <c r="E27" s="470">
        <f t="shared" ref="E27:O27" si="6">SUM(E25:E26)</f>
        <v>225</v>
      </c>
      <c r="F27" s="470">
        <f t="shared" si="6"/>
        <v>300</v>
      </c>
      <c r="G27" s="470">
        <f t="shared" si="6"/>
        <v>300</v>
      </c>
      <c r="H27" s="470">
        <f t="shared" si="6"/>
        <v>400</v>
      </c>
      <c r="I27" s="470">
        <f t="shared" si="6"/>
        <v>2589</v>
      </c>
      <c r="J27" s="471">
        <f t="shared" si="6"/>
        <v>0</v>
      </c>
      <c r="K27" s="470">
        <f t="shared" si="6"/>
        <v>310.00000000000023</v>
      </c>
      <c r="L27" s="470">
        <f t="shared" si="6"/>
        <v>90</v>
      </c>
      <c r="M27" s="470">
        <f t="shared" si="6"/>
        <v>165</v>
      </c>
      <c r="N27" s="470">
        <f t="shared" si="6"/>
        <v>962</v>
      </c>
      <c r="O27" s="470">
        <f t="shared" si="6"/>
        <v>1062</v>
      </c>
      <c r="P27" s="470">
        <f t="shared" si="1"/>
        <v>2589</v>
      </c>
      <c r="Q27" s="471"/>
      <c r="R27" s="470">
        <f t="shared" si="2"/>
        <v>-1053.9999999999998</v>
      </c>
      <c r="S27" s="470">
        <f t="shared" si="2"/>
        <v>-135</v>
      </c>
      <c r="T27" s="470">
        <f t="shared" si="2"/>
        <v>-135</v>
      </c>
      <c r="U27" s="470">
        <f t="shared" si="2"/>
        <v>662</v>
      </c>
      <c r="V27" s="470">
        <f t="shared" si="2"/>
        <v>662</v>
      </c>
      <c r="W27" s="470">
        <f t="shared" si="2"/>
        <v>0</v>
      </c>
    </row>
    <row r="28" spans="2:23" x14ac:dyDescent="0.25">
      <c r="B28" s="473" t="s">
        <v>456</v>
      </c>
      <c r="C28" s="474"/>
      <c r="D28" s="475">
        <f t="shared" ref="D28:O28" si="7">D10+D17+D24+D27</f>
        <v>83741.13281499999</v>
      </c>
      <c r="E28" s="475">
        <f t="shared" si="7"/>
        <v>89790.148358329985</v>
      </c>
      <c r="F28" s="475">
        <f t="shared" si="7"/>
        <v>81660.098486660994</v>
      </c>
      <c r="G28" s="475">
        <f t="shared" si="7"/>
        <v>54134.876230000009</v>
      </c>
      <c r="H28" s="475">
        <f t="shared" si="7"/>
        <v>47399.38076</v>
      </c>
      <c r="I28" s="475">
        <f t="shared" si="7"/>
        <v>356725.63664999104</v>
      </c>
      <c r="J28" s="471">
        <f t="shared" si="7"/>
        <v>0</v>
      </c>
      <c r="K28" s="475">
        <f t="shared" si="7"/>
        <v>75094.22456402368</v>
      </c>
      <c r="L28" s="475">
        <f t="shared" si="7"/>
        <v>96291.826846919677</v>
      </c>
      <c r="M28" s="475">
        <f t="shared" si="7"/>
        <v>70411.191056595504</v>
      </c>
      <c r="N28" s="475">
        <f t="shared" si="7"/>
        <v>60406.293348179483</v>
      </c>
      <c r="O28" s="475">
        <f t="shared" si="7"/>
        <v>54522.100834272656</v>
      </c>
      <c r="P28" s="475">
        <f t="shared" si="1"/>
        <v>356725.63664999104</v>
      </c>
      <c r="Q28" s="471"/>
      <c r="R28" s="475">
        <f t="shared" si="2"/>
        <v>-8646.9082509763102</v>
      </c>
      <c r="S28" s="475">
        <f t="shared" si="2"/>
        <v>6501.6784885896923</v>
      </c>
      <c r="T28" s="475">
        <f t="shared" si="2"/>
        <v>-11248.90743006549</v>
      </c>
      <c r="U28" s="475">
        <f t="shared" si="2"/>
        <v>6271.4171181794736</v>
      </c>
      <c r="V28" s="475">
        <f t="shared" si="2"/>
        <v>7122.7200742726563</v>
      </c>
      <c r="W28" s="475">
        <f t="shared" si="2"/>
        <v>0</v>
      </c>
    </row>
    <row r="32" spans="2:23" x14ac:dyDescent="0.25">
      <c r="E32" s="109"/>
    </row>
    <row r="34" spans="3:20" x14ac:dyDescent="0.25">
      <c r="T34" s="476"/>
    </row>
    <row r="38" spans="3:20" x14ac:dyDescent="0.25">
      <c r="C38" s="119"/>
    </row>
  </sheetData>
  <autoFilter ref="B3:W28"/>
  <mergeCells count="7">
    <mergeCell ref="B25:B26"/>
    <mergeCell ref="D2:I2"/>
    <mergeCell ref="K2:P2"/>
    <mergeCell ref="R2:W2"/>
    <mergeCell ref="B4:B9"/>
    <mergeCell ref="B11:B16"/>
    <mergeCell ref="B18:B23"/>
  </mergeCells>
  <conditionalFormatting sqref="R4:W28">
    <cfRule type="cellIs" dxfId="2" priority="1" operator="lessThan">
      <formula>0</formula>
    </cfRule>
    <cfRule type="cellIs" dxfId="1" priority="2" operator="greaterThan">
      <formula>0</formula>
    </cfRule>
  </conditionalFormatting>
  <pageMargins left="0.511811024" right="0.511811024" top="0.78740157499999996" bottom="0.78740157499999996" header="0.31496062000000002" footer="0.31496062000000002"/>
  <pageSetup orientation="portrait" r:id="rId1"/>
  <ignoredErrors>
    <ignoredError sqref="D3:V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0"/>
  <sheetViews>
    <sheetView showGridLines="0" zoomScale="84" zoomScaleNormal="84" workbookViewId="0">
      <pane ySplit="3" topLeftCell="A187" activePane="bottomLeft" state="frozen"/>
      <selection pane="bottomLeft" activeCell="A192" sqref="A192"/>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527" t="s">
        <v>1409</v>
      </c>
      <c r="B2" s="527" t="s">
        <v>1410</v>
      </c>
      <c r="C2" s="527" t="s">
        <v>1411</v>
      </c>
      <c r="D2" s="529" t="s">
        <v>1412</v>
      </c>
      <c r="E2" s="361" t="s">
        <v>1413</v>
      </c>
      <c r="F2" s="160"/>
      <c r="G2" s="161"/>
      <c r="H2" s="160"/>
      <c r="I2" s="162" t="s">
        <v>1414</v>
      </c>
      <c r="J2" s="163">
        <f>[1]Capa!$K$3</f>
        <v>43251</v>
      </c>
      <c r="K2" s="162"/>
      <c r="L2" s="162"/>
      <c r="M2" s="164"/>
      <c r="N2" s="165"/>
      <c r="O2" s="162"/>
      <c r="P2" s="162" t="s">
        <v>1415</v>
      </c>
      <c r="Q2" s="162"/>
      <c r="R2" s="162"/>
      <c r="S2" s="162"/>
      <c r="T2" s="162"/>
      <c r="U2" s="166"/>
    </row>
    <row r="3" spans="1:21"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1"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row>
    <row r="5" spans="1:21"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row>
    <row r="6" spans="1:21" x14ac:dyDescent="0.25">
      <c r="A6" s="149" t="s">
        <v>1444</v>
      </c>
      <c r="B6" s="150" t="s">
        <v>1445</v>
      </c>
      <c r="C6" s="150" t="s">
        <v>1446</v>
      </c>
      <c r="D6" s="151">
        <v>450</v>
      </c>
      <c r="E6" s="152">
        <v>0</v>
      </c>
      <c r="F6" s="151">
        <v>450</v>
      </c>
      <c r="G6" s="152">
        <v>0</v>
      </c>
      <c r="H6" s="151">
        <v>2</v>
      </c>
      <c r="I6" s="152">
        <v>0</v>
      </c>
      <c r="J6" s="151">
        <v>0</v>
      </c>
      <c r="K6" s="152">
        <v>0</v>
      </c>
      <c r="L6" s="151">
        <v>0</v>
      </c>
      <c r="M6" s="152">
        <v>0</v>
      </c>
      <c r="N6" s="151">
        <v>0</v>
      </c>
      <c r="O6" s="152">
        <v>0</v>
      </c>
      <c r="P6" s="151">
        <v>0</v>
      </c>
      <c r="Q6" s="152">
        <v>0</v>
      </c>
      <c r="R6" s="151">
        <v>0</v>
      </c>
      <c r="S6" s="152">
        <v>0</v>
      </c>
      <c r="T6" s="151">
        <v>0</v>
      </c>
      <c r="U6" s="153">
        <v>0</v>
      </c>
    </row>
    <row r="7" spans="1:21" x14ac:dyDescent="0.25">
      <c r="A7" s="21" t="s">
        <v>1636</v>
      </c>
      <c r="B7" s="154" t="s">
        <v>1664</v>
      </c>
      <c r="C7" s="154" t="s">
        <v>1637</v>
      </c>
      <c r="D7" s="155">
        <v>0</v>
      </c>
      <c r="E7" s="158">
        <v>0</v>
      </c>
      <c r="F7" s="155">
        <v>0</v>
      </c>
      <c r="G7" s="158">
        <v>51</v>
      </c>
      <c r="H7" s="155">
        <v>0</v>
      </c>
      <c r="I7" s="158">
        <v>0</v>
      </c>
      <c r="J7" s="155">
        <v>0</v>
      </c>
      <c r="K7" s="158">
        <v>0</v>
      </c>
      <c r="L7" s="155">
        <v>30.099999189376831</v>
      </c>
      <c r="M7" s="158">
        <v>30.099999189376831</v>
      </c>
      <c r="N7" s="155">
        <v>0</v>
      </c>
      <c r="O7" s="158">
        <v>0</v>
      </c>
      <c r="P7" s="155">
        <v>0</v>
      </c>
      <c r="Q7" s="158">
        <v>0</v>
      </c>
      <c r="R7" s="155">
        <v>0</v>
      </c>
      <c r="S7" s="158">
        <v>0</v>
      </c>
      <c r="T7" s="155">
        <v>0</v>
      </c>
      <c r="U7" s="157">
        <v>0</v>
      </c>
    </row>
    <row r="8" spans="1:21" x14ac:dyDescent="0.25">
      <c r="A8" s="149" t="s">
        <v>565</v>
      </c>
      <c r="B8" s="150" t="s">
        <v>1198</v>
      </c>
      <c r="C8" s="150" t="s">
        <v>59</v>
      </c>
      <c r="D8" s="151">
        <v>1854</v>
      </c>
      <c r="E8" s="152">
        <v>0</v>
      </c>
      <c r="F8" s="151">
        <v>0</v>
      </c>
      <c r="G8" s="152">
        <v>0</v>
      </c>
      <c r="H8" s="151">
        <v>0</v>
      </c>
      <c r="I8" s="152">
        <v>0</v>
      </c>
      <c r="J8" s="151">
        <v>0</v>
      </c>
      <c r="K8" s="152">
        <v>0</v>
      </c>
      <c r="L8" s="151">
        <v>0</v>
      </c>
      <c r="M8" s="152">
        <v>0</v>
      </c>
      <c r="N8" s="151">
        <v>634</v>
      </c>
      <c r="O8" s="152">
        <v>435</v>
      </c>
      <c r="P8" s="151">
        <v>360</v>
      </c>
      <c r="Q8" s="152">
        <v>425</v>
      </c>
      <c r="R8" s="151">
        <v>0</v>
      </c>
      <c r="S8" s="152">
        <v>0</v>
      </c>
      <c r="T8" s="151">
        <v>0</v>
      </c>
      <c r="U8" s="153">
        <v>0</v>
      </c>
    </row>
    <row r="9" spans="1:21" x14ac:dyDescent="0.25">
      <c r="A9" s="21" t="s">
        <v>1530</v>
      </c>
      <c r="B9" s="154" t="s">
        <v>1580</v>
      </c>
      <c r="C9" s="154" t="s">
        <v>1531</v>
      </c>
      <c r="D9" s="155">
        <v>0</v>
      </c>
      <c r="E9" s="158">
        <v>0</v>
      </c>
      <c r="F9" s="155">
        <v>0</v>
      </c>
      <c r="G9" s="158">
        <v>132</v>
      </c>
      <c r="H9" s="155">
        <v>0</v>
      </c>
      <c r="I9" s="158">
        <v>1.6000000238418579</v>
      </c>
      <c r="J9" s="155">
        <v>0</v>
      </c>
      <c r="K9" s="158">
        <v>1.6000000238418579</v>
      </c>
      <c r="L9" s="155">
        <v>117.912353515625</v>
      </c>
      <c r="M9" s="158">
        <v>119.51235353946686</v>
      </c>
      <c r="N9" s="155">
        <v>0</v>
      </c>
      <c r="O9" s="158">
        <v>0</v>
      </c>
      <c r="P9" s="155">
        <v>0</v>
      </c>
      <c r="Q9" s="158">
        <v>0</v>
      </c>
      <c r="R9" s="155">
        <v>0</v>
      </c>
      <c r="S9" s="158">
        <v>0</v>
      </c>
      <c r="T9" s="155">
        <v>0</v>
      </c>
      <c r="U9" s="157">
        <v>0</v>
      </c>
    </row>
    <row r="10" spans="1:21" x14ac:dyDescent="0.25">
      <c r="A10" s="149" t="s">
        <v>1199</v>
      </c>
      <c r="B10" s="150" t="s">
        <v>1200</v>
      </c>
      <c r="C10" s="150" t="s">
        <v>59</v>
      </c>
      <c r="D10" s="151">
        <v>332</v>
      </c>
      <c r="E10" s="152">
        <v>0</v>
      </c>
      <c r="F10" s="151">
        <v>0</v>
      </c>
      <c r="G10" s="152">
        <v>0</v>
      </c>
      <c r="H10" s="151">
        <v>0</v>
      </c>
      <c r="I10" s="152">
        <v>0</v>
      </c>
      <c r="J10" s="151">
        <v>0</v>
      </c>
      <c r="K10" s="152">
        <v>0</v>
      </c>
      <c r="L10" s="151">
        <v>0</v>
      </c>
      <c r="M10" s="152">
        <v>0</v>
      </c>
      <c r="N10" s="151">
        <v>0</v>
      </c>
      <c r="O10" s="152">
        <v>0</v>
      </c>
      <c r="P10" s="151">
        <v>0</v>
      </c>
      <c r="Q10" s="152">
        <v>0</v>
      </c>
      <c r="R10" s="151">
        <v>0</v>
      </c>
      <c r="S10" s="152">
        <v>0</v>
      </c>
      <c r="T10" s="151">
        <v>0</v>
      </c>
      <c r="U10" s="153">
        <v>0</v>
      </c>
    </row>
    <row r="11" spans="1:21" x14ac:dyDescent="0.25">
      <c r="A11" s="21" t="s">
        <v>1194</v>
      </c>
      <c r="B11" s="154" t="s">
        <v>1201</v>
      </c>
      <c r="C11" s="154" t="s">
        <v>59</v>
      </c>
      <c r="D11" s="155">
        <v>0</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row>
    <row r="12" spans="1:21" x14ac:dyDescent="0.25">
      <c r="A12" s="149" t="s">
        <v>1196</v>
      </c>
      <c r="B12" s="150" t="s">
        <v>1197</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row>
    <row r="13" spans="1:21" x14ac:dyDescent="0.25">
      <c r="A13" s="21" t="s">
        <v>565</v>
      </c>
      <c r="B13" s="154" t="s">
        <v>1198</v>
      </c>
      <c r="C13" s="154" t="s">
        <v>59</v>
      </c>
      <c r="D13" s="155">
        <v>139</v>
      </c>
      <c r="E13" s="158">
        <v>0</v>
      </c>
      <c r="F13" s="155">
        <v>0</v>
      </c>
      <c r="G13" s="158">
        <v>0</v>
      </c>
      <c r="H13" s="155">
        <v>0</v>
      </c>
      <c r="I13" s="158">
        <v>0</v>
      </c>
      <c r="J13" s="155">
        <v>0</v>
      </c>
      <c r="K13" s="158">
        <v>0</v>
      </c>
      <c r="L13" s="155">
        <v>0</v>
      </c>
      <c r="M13" s="158">
        <v>0</v>
      </c>
      <c r="N13" s="155">
        <v>16</v>
      </c>
      <c r="O13" s="158">
        <v>30</v>
      </c>
      <c r="P13" s="155">
        <v>50</v>
      </c>
      <c r="Q13" s="158">
        <v>43</v>
      </c>
      <c r="R13" s="155">
        <v>0</v>
      </c>
      <c r="S13" s="158">
        <v>0</v>
      </c>
      <c r="T13" s="155">
        <v>0</v>
      </c>
      <c r="U13" s="157">
        <v>0</v>
      </c>
    </row>
    <row r="14" spans="1:21" x14ac:dyDescent="0.25">
      <c r="A14" s="149" t="s">
        <v>1199</v>
      </c>
      <c r="B14" s="150" t="s">
        <v>1200</v>
      </c>
      <c r="C14" s="150" t="s">
        <v>59</v>
      </c>
      <c r="D14" s="151">
        <v>0</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row>
    <row r="15" spans="1:21" x14ac:dyDescent="0.25">
      <c r="A15" s="21" t="s">
        <v>1202</v>
      </c>
      <c r="B15" s="154" t="s">
        <v>1203</v>
      </c>
      <c r="C15" s="154" t="s">
        <v>1204</v>
      </c>
      <c r="D15" s="155">
        <v>29</v>
      </c>
      <c r="E15" s="158">
        <v>0</v>
      </c>
      <c r="F15" s="155">
        <v>29</v>
      </c>
      <c r="G15" s="158">
        <v>0</v>
      </c>
      <c r="H15" s="155">
        <v>0</v>
      </c>
      <c r="I15" s="158">
        <v>0</v>
      </c>
      <c r="J15" s="155">
        <v>0</v>
      </c>
      <c r="K15" s="158">
        <v>0</v>
      </c>
      <c r="L15" s="155">
        <v>0</v>
      </c>
      <c r="M15" s="158">
        <v>0</v>
      </c>
      <c r="N15" s="155">
        <v>0</v>
      </c>
      <c r="O15" s="158">
        <v>0</v>
      </c>
      <c r="P15" s="155">
        <v>0</v>
      </c>
      <c r="Q15" s="158">
        <v>0</v>
      </c>
      <c r="R15" s="155">
        <v>0</v>
      </c>
      <c r="S15" s="158">
        <v>0</v>
      </c>
      <c r="T15" s="155">
        <v>0</v>
      </c>
      <c r="U15" s="157">
        <v>0</v>
      </c>
    </row>
    <row r="16" spans="1:21" x14ac:dyDescent="0.25">
      <c r="A16" s="149" t="s">
        <v>1194</v>
      </c>
      <c r="B16" s="150" t="s">
        <v>1205</v>
      </c>
      <c r="C16" s="150" t="s">
        <v>59</v>
      </c>
      <c r="D16" s="151">
        <v>0</v>
      </c>
      <c r="E16" s="152">
        <v>0</v>
      </c>
      <c r="F16" s="151">
        <v>0</v>
      </c>
      <c r="G16" s="152">
        <v>0</v>
      </c>
      <c r="H16" s="151">
        <v>0</v>
      </c>
      <c r="I16" s="152">
        <v>0</v>
      </c>
      <c r="J16" s="151">
        <v>0</v>
      </c>
      <c r="K16" s="152">
        <v>0</v>
      </c>
      <c r="L16" s="151">
        <v>0</v>
      </c>
      <c r="M16" s="152">
        <v>0</v>
      </c>
      <c r="N16" s="151">
        <v>0</v>
      </c>
      <c r="O16" s="152">
        <v>0</v>
      </c>
      <c r="P16" s="151">
        <v>0</v>
      </c>
      <c r="Q16" s="152">
        <v>0</v>
      </c>
      <c r="R16" s="151">
        <v>0</v>
      </c>
      <c r="S16" s="152">
        <v>0</v>
      </c>
      <c r="T16" s="151">
        <v>0</v>
      </c>
      <c r="U16" s="153">
        <v>0</v>
      </c>
    </row>
    <row r="17" spans="1:21" x14ac:dyDescent="0.25">
      <c r="A17" s="21" t="s">
        <v>1196</v>
      </c>
      <c r="B17" s="154" t="s">
        <v>1197</v>
      </c>
      <c r="C17" s="154" t="s">
        <v>59</v>
      </c>
      <c r="D17" s="155">
        <v>0</v>
      </c>
      <c r="E17" s="158">
        <v>0</v>
      </c>
      <c r="F17" s="155">
        <v>0</v>
      </c>
      <c r="G17" s="158">
        <v>0</v>
      </c>
      <c r="H17" s="155">
        <v>0</v>
      </c>
      <c r="I17" s="158">
        <v>0</v>
      </c>
      <c r="J17" s="155">
        <v>0</v>
      </c>
      <c r="K17" s="158">
        <v>0</v>
      </c>
      <c r="L17" s="155">
        <v>0</v>
      </c>
      <c r="M17" s="158">
        <v>0</v>
      </c>
      <c r="N17" s="155">
        <v>0</v>
      </c>
      <c r="O17" s="158">
        <v>0</v>
      </c>
      <c r="P17" s="155">
        <v>0</v>
      </c>
      <c r="Q17" s="158">
        <v>0</v>
      </c>
      <c r="R17" s="155">
        <v>0</v>
      </c>
      <c r="S17" s="158">
        <v>0</v>
      </c>
      <c r="T17" s="155">
        <v>0</v>
      </c>
      <c r="U17" s="157">
        <v>0</v>
      </c>
    </row>
    <row r="18" spans="1:21" x14ac:dyDescent="0.25">
      <c r="A18" s="149" t="s">
        <v>565</v>
      </c>
      <c r="B18" s="150" t="s">
        <v>1198</v>
      </c>
      <c r="C18" s="150" t="s">
        <v>59</v>
      </c>
      <c r="D18" s="151">
        <v>896</v>
      </c>
      <c r="E18" s="152">
        <v>0</v>
      </c>
      <c r="F18" s="151">
        <v>0</v>
      </c>
      <c r="G18" s="152">
        <v>0</v>
      </c>
      <c r="H18" s="151">
        <v>0</v>
      </c>
      <c r="I18" s="152">
        <v>0</v>
      </c>
      <c r="J18" s="151">
        <v>0</v>
      </c>
      <c r="K18" s="152">
        <v>0</v>
      </c>
      <c r="L18" s="151">
        <v>0</v>
      </c>
      <c r="M18" s="152">
        <v>0</v>
      </c>
      <c r="N18" s="151">
        <v>351.5</v>
      </c>
      <c r="O18" s="152">
        <v>214.5</v>
      </c>
      <c r="P18" s="151">
        <v>51.5</v>
      </c>
      <c r="Q18" s="152">
        <v>278.5</v>
      </c>
      <c r="R18" s="151">
        <v>0</v>
      </c>
      <c r="S18" s="152">
        <v>0</v>
      </c>
      <c r="T18" s="151">
        <v>0</v>
      </c>
      <c r="U18" s="153">
        <v>0</v>
      </c>
    </row>
    <row r="19" spans="1:21" x14ac:dyDescent="0.25">
      <c r="A19" s="21" t="s">
        <v>1199</v>
      </c>
      <c r="B19" s="154" t="s">
        <v>1200</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row>
    <row r="20" spans="1:21" x14ac:dyDescent="0.25">
      <c r="A20" s="149" t="s">
        <v>1468</v>
      </c>
      <c r="B20" s="150" t="s">
        <v>1469</v>
      </c>
      <c r="C20" s="150" t="s">
        <v>1470</v>
      </c>
      <c r="D20" s="151">
        <v>0</v>
      </c>
      <c r="E20" s="152">
        <v>0</v>
      </c>
      <c r="F20" s="151">
        <v>0</v>
      </c>
      <c r="G20" s="152">
        <v>59</v>
      </c>
      <c r="H20" s="151">
        <v>0</v>
      </c>
      <c r="I20" s="152">
        <v>0</v>
      </c>
      <c r="J20" s="151">
        <v>0</v>
      </c>
      <c r="K20" s="152">
        <v>0</v>
      </c>
      <c r="L20" s="151">
        <v>52.5</v>
      </c>
      <c r="M20" s="152">
        <v>52.5</v>
      </c>
      <c r="N20" s="151">
        <v>0</v>
      </c>
      <c r="O20" s="152">
        <v>0</v>
      </c>
      <c r="P20" s="151">
        <v>0</v>
      </c>
      <c r="Q20" s="152">
        <v>0</v>
      </c>
      <c r="R20" s="151">
        <v>0</v>
      </c>
      <c r="S20" s="152">
        <v>0</v>
      </c>
      <c r="T20" s="151">
        <v>0</v>
      </c>
      <c r="U20" s="153">
        <v>0</v>
      </c>
    </row>
    <row r="21" spans="1:21" x14ac:dyDescent="0.25">
      <c r="A21" s="21" t="s">
        <v>1206</v>
      </c>
      <c r="B21" s="154" t="s">
        <v>1207</v>
      </c>
      <c r="C21" s="154" t="s">
        <v>1208</v>
      </c>
      <c r="D21" s="155">
        <v>59</v>
      </c>
      <c r="E21" s="158">
        <v>0</v>
      </c>
      <c r="F21" s="155">
        <v>59</v>
      </c>
      <c r="G21" s="158">
        <v>0</v>
      </c>
      <c r="H21" s="155">
        <v>0</v>
      </c>
      <c r="I21" s="158">
        <v>0</v>
      </c>
      <c r="J21" s="155">
        <v>0</v>
      </c>
      <c r="K21" s="158">
        <v>0</v>
      </c>
      <c r="L21" s="155">
        <v>0</v>
      </c>
      <c r="M21" s="158">
        <v>0</v>
      </c>
      <c r="N21" s="155">
        <v>0</v>
      </c>
      <c r="O21" s="158">
        <v>0</v>
      </c>
      <c r="P21" s="155">
        <v>0</v>
      </c>
      <c r="Q21" s="158">
        <v>0</v>
      </c>
      <c r="R21" s="155">
        <v>0</v>
      </c>
      <c r="S21" s="158">
        <v>0</v>
      </c>
      <c r="T21" s="155">
        <v>0</v>
      </c>
      <c r="U21" s="157">
        <v>0</v>
      </c>
    </row>
    <row r="22" spans="1:21" x14ac:dyDescent="0.25">
      <c r="A22" s="149" t="s">
        <v>1194</v>
      </c>
      <c r="B22" s="150" t="s">
        <v>1209</v>
      </c>
      <c r="C22" s="150" t="s">
        <v>59</v>
      </c>
      <c r="D22" s="151">
        <v>0</v>
      </c>
      <c r="E22" s="152">
        <v>0</v>
      </c>
      <c r="F22" s="151">
        <v>0</v>
      </c>
      <c r="G22" s="152">
        <v>0</v>
      </c>
      <c r="H22" s="151">
        <v>0</v>
      </c>
      <c r="I22" s="152">
        <v>0</v>
      </c>
      <c r="J22" s="151">
        <v>0</v>
      </c>
      <c r="K22" s="152">
        <v>0</v>
      </c>
      <c r="L22" s="151">
        <v>0</v>
      </c>
      <c r="M22" s="152">
        <v>0</v>
      </c>
      <c r="N22" s="151">
        <v>0</v>
      </c>
      <c r="O22" s="152">
        <v>0</v>
      </c>
      <c r="P22" s="151">
        <v>0</v>
      </c>
      <c r="Q22" s="152">
        <v>0</v>
      </c>
      <c r="R22" s="151">
        <v>0</v>
      </c>
      <c r="S22" s="152">
        <v>0</v>
      </c>
      <c r="T22" s="151">
        <v>0</v>
      </c>
      <c r="U22" s="153">
        <v>0</v>
      </c>
    </row>
    <row r="23" spans="1:21" x14ac:dyDescent="0.25">
      <c r="A23" s="21" t="s">
        <v>1196</v>
      </c>
      <c r="B23" s="154" t="s">
        <v>1197</v>
      </c>
      <c r="C23" s="154" t="s">
        <v>59</v>
      </c>
      <c r="D23" s="155">
        <v>0</v>
      </c>
      <c r="E23" s="158">
        <v>0</v>
      </c>
      <c r="F23" s="155">
        <v>0</v>
      </c>
      <c r="G23" s="158">
        <v>0</v>
      </c>
      <c r="H23" s="155">
        <v>0</v>
      </c>
      <c r="I23" s="158">
        <v>0</v>
      </c>
      <c r="J23" s="155">
        <v>0</v>
      </c>
      <c r="K23" s="158">
        <v>0</v>
      </c>
      <c r="L23" s="155">
        <v>0</v>
      </c>
      <c r="M23" s="158">
        <v>0</v>
      </c>
      <c r="N23" s="155">
        <v>0</v>
      </c>
      <c r="O23" s="158">
        <v>0</v>
      </c>
      <c r="P23" s="155">
        <v>0</v>
      </c>
      <c r="Q23" s="158">
        <v>0</v>
      </c>
      <c r="R23" s="155">
        <v>0</v>
      </c>
      <c r="S23" s="158">
        <v>0</v>
      </c>
      <c r="T23" s="155">
        <v>0</v>
      </c>
      <c r="U23" s="157">
        <v>0</v>
      </c>
    </row>
    <row r="24" spans="1:21" x14ac:dyDescent="0.25">
      <c r="A24" s="149" t="s">
        <v>565</v>
      </c>
      <c r="B24" s="150" t="s">
        <v>1198</v>
      </c>
      <c r="C24" s="150" t="s">
        <v>59</v>
      </c>
      <c r="D24" s="151">
        <v>4002</v>
      </c>
      <c r="E24" s="152">
        <v>0</v>
      </c>
      <c r="F24" s="151">
        <v>0</v>
      </c>
      <c r="G24" s="152">
        <v>0</v>
      </c>
      <c r="H24" s="151">
        <v>0</v>
      </c>
      <c r="I24" s="152">
        <v>0</v>
      </c>
      <c r="J24" s="151">
        <v>0</v>
      </c>
      <c r="K24" s="152">
        <v>0</v>
      </c>
      <c r="L24" s="151">
        <v>0</v>
      </c>
      <c r="M24" s="152">
        <v>0</v>
      </c>
      <c r="N24" s="151">
        <v>928</v>
      </c>
      <c r="O24" s="152">
        <v>1188</v>
      </c>
      <c r="P24" s="151">
        <v>1123</v>
      </c>
      <c r="Q24" s="152">
        <v>763</v>
      </c>
      <c r="R24" s="151">
        <v>0</v>
      </c>
      <c r="S24" s="152">
        <v>0</v>
      </c>
      <c r="T24" s="151">
        <v>0</v>
      </c>
      <c r="U24" s="153">
        <v>0</v>
      </c>
    </row>
    <row r="25" spans="1:21" x14ac:dyDescent="0.25">
      <c r="A25" s="21" t="s">
        <v>1199</v>
      </c>
      <c r="B25" s="154" t="s">
        <v>1200</v>
      </c>
      <c r="C25" s="154" t="s">
        <v>59</v>
      </c>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row>
    <row r="26" spans="1:21" x14ac:dyDescent="0.25">
      <c r="A26" s="149" t="s">
        <v>1117</v>
      </c>
      <c r="B26" s="150" t="s">
        <v>1210</v>
      </c>
      <c r="C26" s="150" t="s">
        <v>1211</v>
      </c>
      <c r="D26" s="151">
        <v>0</v>
      </c>
      <c r="E26" s="152">
        <v>0</v>
      </c>
      <c r="F26" s="151">
        <v>0</v>
      </c>
      <c r="G26" s="152">
        <v>119</v>
      </c>
      <c r="H26" s="151">
        <v>0</v>
      </c>
      <c r="I26" s="152">
        <v>119.11103057861328</v>
      </c>
      <c r="J26" s="151">
        <v>0</v>
      </c>
      <c r="K26" s="152">
        <v>119.11103057861328</v>
      </c>
      <c r="L26" s="151">
        <v>0</v>
      </c>
      <c r="M26" s="152">
        <v>119.11103057861328</v>
      </c>
      <c r="N26" s="151">
        <v>0</v>
      </c>
      <c r="O26" s="152">
        <v>0</v>
      </c>
      <c r="P26" s="151">
        <v>0</v>
      </c>
      <c r="Q26" s="152">
        <v>0</v>
      </c>
      <c r="R26" s="151">
        <v>0</v>
      </c>
      <c r="S26" s="152">
        <v>0</v>
      </c>
      <c r="T26" s="151">
        <v>0</v>
      </c>
      <c r="U26" s="153">
        <v>0</v>
      </c>
    </row>
    <row r="27" spans="1:21" x14ac:dyDescent="0.25">
      <c r="A27" s="21" t="s">
        <v>800</v>
      </c>
      <c r="B27" s="154" t="s">
        <v>403</v>
      </c>
      <c r="C27" s="154" t="s">
        <v>1212</v>
      </c>
      <c r="D27" s="155">
        <v>0</v>
      </c>
      <c r="E27" s="158">
        <v>0</v>
      </c>
      <c r="F27" s="155">
        <v>0</v>
      </c>
      <c r="G27" s="158">
        <v>490</v>
      </c>
      <c r="H27" s="155">
        <v>0</v>
      </c>
      <c r="I27" s="158">
        <v>199.49535179138184</v>
      </c>
      <c r="J27" s="155">
        <v>0</v>
      </c>
      <c r="K27" s="158">
        <v>199.49535179138184</v>
      </c>
      <c r="L27" s="155">
        <v>284.27999877929687</v>
      </c>
      <c r="M27" s="158">
        <v>483.77535057067871</v>
      </c>
      <c r="N27" s="155">
        <v>0</v>
      </c>
      <c r="O27" s="158">
        <v>0</v>
      </c>
      <c r="P27" s="155">
        <v>0</v>
      </c>
      <c r="Q27" s="158">
        <v>0</v>
      </c>
      <c r="R27" s="155">
        <v>0</v>
      </c>
      <c r="S27" s="158">
        <v>0</v>
      </c>
      <c r="T27" s="155">
        <v>0</v>
      </c>
      <c r="U27" s="157">
        <v>0</v>
      </c>
    </row>
    <row r="28" spans="1:21" x14ac:dyDescent="0.25">
      <c r="A28" s="149" t="s">
        <v>1213</v>
      </c>
      <c r="B28" s="150" t="s">
        <v>1210</v>
      </c>
      <c r="C28" s="150" t="s">
        <v>1214</v>
      </c>
      <c r="D28" s="151">
        <v>0</v>
      </c>
      <c r="E28" s="152">
        <v>0</v>
      </c>
      <c r="F28" s="151">
        <v>0</v>
      </c>
      <c r="G28" s="152">
        <v>115</v>
      </c>
      <c r="H28" s="151">
        <v>0</v>
      </c>
      <c r="I28" s="152">
        <v>0</v>
      </c>
      <c r="J28" s="151">
        <v>0</v>
      </c>
      <c r="K28" s="152">
        <v>0</v>
      </c>
      <c r="L28" s="151">
        <v>115.19999694824219</v>
      </c>
      <c r="M28" s="152">
        <v>115.19999694824219</v>
      </c>
      <c r="N28" s="151">
        <v>0</v>
      </c>
      <c r="O28" s="152">
        <v>0</v>
      </c>
      <c r="P28" s="151">
        <v>0</v>
      </c>
      <c r="Q28" s="152">
        <v>0</v>
      </c>
      <c r="R28" s="151">
        <v>0</v>
      </c>
      <c r="S28" s="152">
        <v>0</v>
      </c>
      <c r="T28" s="151">
        <v>0</v>
      </c>
      <c r="U28" s="153">
        <v>0</v>
      </c>
    </row>
    <row r="29" spans="1:21" x14ac:dyDescent="0.25">
      <c r="A29" s="21" t="s">
        <v>1215</v>
      </c>
      <c r="B29" s="154" t="s">
        <v>1216</v>
      </c>
      <c r="C29" s="154" t="s">
        <v>1217</v>
      </c>
      <c r="D29" s="155">
        <v>2118</v>
      </c>
      <c r="E29" s="158">
        <v>0</v>
      </c>
      <c r="F29" s="155">
        <v>1886</v>
      </c>
      <c r="G29" s="158">
        <v>0</v>
      </c>
      <c r="H29" s="155">
        <v>282</v>
      </c>
      <c r="I29" s="158">
        <v>0</v>
      </c>
      <c r="J29" s="155">
        <v>0</v>
      </c>
      <c r="K29" s="158">
        <v>0</v>
      </c>
      <c r="L29" s="155">
        <v>0</v>
      </c>
      <c r="M29" s="158">
        <v>0</v>
      </c>
      <c r="N29" s="155">
        <v>210</v>
      </c>
      <c r="O29" s="158">
        <v>22</v>
      </c>
      <c r="P29" s="155">
        <v>0</v>
      </c>
      <c r="Q29" s="158">
        <v>0</v>
      </c>
      <c r="R29" s="155">
        <v>0</v>
      </c>
      <c r="S29" s="158">
        <v>0</v>
      </c>
      <c r="T29" s="155">
        <v>0</v>
      </c>
      <c r="U29" s="157">
        <v>0</v>
      </c>
    </row>
    <row r="30" spans="1:21" x14ac:dyDescent="0.25">
      <c r="A30" s="149" t="s">
        <v>1471</v>
      </c>
      <c r="B30" s="150" t="s">
        <v>1472</v>
      </c>
      <c r="C30" s="150" t="s">
        <v>1473</v>
      </c>
      <c r="D30" s="151">
        <v>0</v>
      </c>
      <c r="E30" s="152">
        <v>0</v>
      </c>
      <c r="F30" s="151">
        <v>0</v>
      </c>
      <c r="G30" s="152">
        <v>27</v>
      </c>
      <c r="H30" s="151">
        <v>0</v>
      </c>
      <c r="I30" s="152">
        <v>0</v>
      </c>
      <c r="J30" s="151">
        <v>0</v>
      </c>
      <c r="K30" s="152">
        <v>0</v>
      </c>
      <c r="L30" s="151">
        <v>21.477760314941406</v>
      </c>
      <c r="M30" s="152">
        <v>21.477760314941406</v>
      </c>
      <c r="N30" s="151">
        <v>0</v>
      </c>
      <c r="O30" s="152">
        <v>0</v>
      </c>
      <c r="P30" s="151">
        <v>0</v>
      </c>
      <c r="Q30" s="152">
        <v>0</v>
      </c>
      <c r="R30" s="151">
        <v>0</v>
      </c>
      <c r="S30" s="152">
        <v>0</v>
      </c>
      <c r="T30" s="151">
        <v>0</v>
      </c>
      <c r="U30" s="153">
        <v>0</v>
      </c>
    </row>
    <row r="31" spans="1:21" x14ac:dyDescent="0.25">
      <c r="A31" s="21" t="s">
        <v>1474</v>
      </c>
      <c r="B31" s="154" t="s">
        <v>1475</v>
      </c>
      <c r="C31" s="154" t="s">
        <v>1476</v>
      </c>
      <c r="D31" s="155">
        <v>0</v>
      </c>
      <c r="E31" s="158">
        <v>0</v>
      </c>
      <c r="F31" s="155">
        <v>0</v>
      </c>
      <c r="G31" s="158">
        <v>32</v>
      </c>
      <c r="H31" s="155">
        <v>0</v>
      </c>
      <c r="I31" s="158">
        <v>0</v>
      </c>
      <c r="J31" s="155">
        <v>0</v>
      </c>
      <c r="K31" s="158">
        <v>0</v>
      </c>
      <c r="L31" s="155">
        <v>32.383308410644531</v>
      </c>
      <c r="M31" s="158">
        <v>32.383308410644531</v>
      </c>
      <c r="N31" s="155">
        <v>0</v>
      </c>
      <c r="O31" s="158">
        <v>0</v>
      </c>
      <c r="P31" s="155">
        <v>0</v>
      </c>
      <c r="Q31" s="158">
        <v>0</v>
      </c>
      <c r="R31" s="155">
        <v>0</v>
      </c>
      <c r="S31" s="158">
        <v>0</v>
      </c>
      <c r="T31" s="155">
        <v>0</v>
      </c>
      <c r="U31" s="157">
        <v>0</v>
      </c>
    </row>
    <row r="32" spans="1:21" x14ac:dyDescent="0.25">
      <c r="A32" s="149" t="s">
        <v>1639</v>
      </c>
      <c r="B32" s="150" t="s">
        <v>1031</v>
      </c>
      <c r="C32" s="150" t="s">
        <v>1640</v>
      </c>
      <c r="D32" s="151">
        <v>0</v>
      </c>
      <c r="E32" s="152">
        <v>0</v>
      </c>
      <c r="F32" s="151">
        <v>0</v>
      </c>
      <c r="G32" s="152">
        <v>318</v>
      </c>
      <c r="H32" s="151">
        <v>0</v>
      </c>
      <c r="I32" s="152">
        <v>0</v>
      </c>
      <c r="J32" s="151">
        <v>0</v>
      </c>
      <c r="K32" s="152">
        <v>0</v>
      </c>
      <c r="L32" s="151">
        <v>0</v>
      </c>
      <c r="M32" s="152">
        <v>0</v>
      </c>
      <c r="N32" s="151">
        <v>0</v>
      </c>
      <c r="O32" s="152">
        <v>0</v>
      </c>
      <c r="P32" s="151">
        <v>0</v>
      </c>
      <c r="Q32" s="152">
        <v>0</v>
      </c>
      <c r="R32" s="151">
        <v>0</v>
      </c>
      <c r="S32" s="152">
        <v>0</v>
      </c>
      <c r="T32" s="151">
        <v>0</v>
      </c>
      <c r="U32" s="153">
        <v>0</v>
      </c>
    </row>
    <row r="33" spans="1:21" x14ac:dyDescent="0.25">
      <c r="A33" s="21" t="s">
        <v>1793</v>
      </c>
      <c r="B33" s="154" t="s">
        <v>845</v>
      </c>
      <c r="C33" s="154" t="s">
        <v>1794</v>
      </c>
      <c r="D33" s="155">
        <v>0</v>
      </c>
      <c r="E33" s="158">
        <v>0</v>
      </c>
      <c r="F33" s="155">
        <v>0</v>
      </c>
      <c r="G33" s="158">
        <v>420</v>
      </c>
      <c r="H33" s="155">
        <v>0</v>
      </c>
      <c r="I33" s="158">
        <v>0</v>
      </c>
      <c r="J33" s="155">
        <v>0</v>
      </c>
      <c r="K33" s="158">
        <v>0</v>
      </c>
      <c r="L33" s="155">
        <v>0</v>
      </c>
      <c r="M33" s="158">
        <v>0</v>
      </c>
      <c r="N33" s="155">
        <v>0</v>
      </c>
      <c r="O33" s="158">
        <v>0</v>
      </c>
      <c r="P33" s="155">
        <v>0</v>
      </c>
      <c r="Q33" s="158">
        <v>0</v>
      </c>
      <c r="R33" s="155">
        <v>0</v>
      </c>
      <c r="S33" s="158">
        <v>0</v>
      </c>
      <c r="T33" s="155">
        <v>0</v>
      </c>
      <c r="U33" s="157">
        <v>0</v>
      </c>
    </row>
    <row r="34" spans="1:21" x14ac:dyDescent="0.25">
      <c r="A34" s="149" t="s">
        <v>1795</v>
      </c>
      <c r="B34" s="150" t="s">
        <v>1796</v>
      </c>
      <c r="C34" s="150" t="s">
        <v>1797</v>
      </c>
      <c r="D34" s="151">
        <v>0</v>
      </c>
      <c r="E34" s="152">
        <v>0</v>
      </c>
      <c r="F34" s="151">
        <v>0</v>
      </c>
      <c r="G34" s="152">
        <v>22</v>
      </c>
      <c r="H34" s="151">
        <v>0</v>
      </c>
      <c r="I34" s="152">
        <v>0</v>
      </c>
      <c r="J34" s="151">
        <v>0</v>
      </c>
      <c r="K34" s="152">
        <v>0</v>
      </c>
      <c r="L34" s="151">
        <v>21.861900329589844</v>
      </c>
      <c r="M34" s="152">
        <v>21.861900329589844</v>
      </c>
      <c r="N34" s="151">
        <v>0</v>
      </c>
      <c r="O34" s="152">
        <v>0</v>
      </c>
      <c r="P34" s="151">
        <v>0</v>
      </c>
      <c r="Q34" s="152">
        <v>0</v>
      </c>
      <c r="R34" s="151">
        <v>0</v>
      </c>
      <c r="S34" s="152">
        <v>0</v>
      </c>
      <c r="T34" s="151">
        <v>0</v>
      </c>
      <c r="U34" s="153">
        <v>0</v>
      </c>
    </row>
    <row r="35" spans="1:21" x14ac:dyDescent="0.25">
      <c r="A35" s="21" t="s">
        <v>1194</v>
      </c>
      <c r="B35" s="154" t="s">
        <v>1218</v>
      </c>
      <c r="C35" s="154" t="s">
        <v>59</v>
      </c>
      <c r="D35" s="155">
        <v>0</v>
      </c>
      <c r="E35" s="158">
        <v>0</v>
      </c>
      <c r="F35" s="155">
        <v>0</v>
      </c>
      <c r="G35" s="158">
        <v>0</v>
      </c>
      <c r="H35" s="155">
        <v>0</v>
      </c>
      <c r="I35" s="158">
        <v>0</v>
      </c>
      <c r="J35" s="155">
        <v>0</v>
      </c>
      <c r="K35" s="158">
        <v>0</v>
      </c>
      <c r="L35" s="155">
        <v>0</v>
      </c>
      <c r="M35" s="158">
        <v>0</v>
      </c>
      <c r="N35" s="155">
        <v>0</v>
      </c>
      <c r="O35" s="158">
        <v>0</v>
      </c>
      <c r="P35" s="155">
        <v>0</v>
      </c>
      <c r="Q35" s="158">
        <v>0</v>
      </c>
      <c r="R35" s="155">
        <v>0</v>
      </c>
      <c r="S35" s="158">
        <v>0</v>
      </c>
      <c r="T35" s="155">
        <v>0</v>
      </c>
      <c r="U35" s="157">
        <v>0</v>
      </c>
    </row>
    <row r="36" spans="1:21" x14ac:dyDescent="0.25">
      <c r="A36" s="149" t="s">
        <v>1196</v>
      </c>
      <c r="B36" s="150" t="s">
        <v>1197</v>
      </c>
      <c r="C36" s="150" t="s">
        <v>59</v>
      </c>
      <c r="D36" s="151">
        <v>0</v>
      </c>
      <c r="E36" s="152">
        <v>0</v>
      </c>
      <c r="F36" s="151">
        <v>0</v>
      </c>
      <c r="G36" s="152">
        <v>0</v>
      </c>
      <c r="H36" s="151">
        <v>0</v>
      </c>
      <c r="I36" s="152">
        <v>0</v>
      </c>
      <c r="J36" s="151">
        <v>0</v>
      </c>
      <c r="K36" s="152">
        <v>0</v>
      </c>
      <c r="L36" s="151">
        <v>0</v>
      </c>
      <c r="M36" s="152">
        <v>0</v>
      </c>
      <c r="N36" s="151">
        <v>0</v>
      </c>
      <c r="O36" s="152">
        <v>0</v>
      </c>
      <c r="P36" s="151">
        <v>0</v>
      </c>
      <c r="Q36" s="152">
        <v>0</v>
      </c>
      <c r="R36" s="151">
        <v>0</v>
      </c>
      <c r="S36" s="152">
        <v>0</v>
      </c>
      <c r="T36" s="151">
        <v>0</v>
      </c>
      <c r="U36" s="153">
        <v>0</v>
      </c>
    </row>
    <row r="37" spans="1:21" x14ac:dyDescent="0.25">
      <c r="A37" s="21" t="s">
        <v>1447</v>
      </c>
      <c r="B37" s="154" t="s">
        <v>1448</v>
      </c>
      <c r="C37" s="154" t="s">
        <v>1449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row>
    <row r="38" spans="1:21" x14ac:dyDescent="0.25">
      <c r="A38" s="149" t="s">
        <v>565</v>
      </c>
      <c r="B38" s="150" t="s">
        <v>1198</v>
      </c>
      <c r="C38" s="150" t="s">
        <v>59</v>
      </c>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row>
    <row r="39" spans="1:21" x14ac:dyDescent="0.25">
      <c r="A39" s="21" t="s">
        <v>1199</v>
      </c>
      <c r="B39" s="154" t="s">
        <v>1200</v>
      </c>
      <c r="C39" s="154" t="s">
        <v>59</v>
      </c>
      <c r="D39" s="155">
        <v>103</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row>
    <row r="40" spans="1:21" x14ac:dyDescent="0.25">
      <c r="A40" s="149" t="s">
        <v>1194</v>
      </c>
      <c r="B40" s="150" t="s">
        <v>1219</v>
      </c>
      <c r="C40" s="150" t="s">
        <v>59</v>
      </c>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row>
    <row r="41" spans="1:21" x14ac:dyDescent="0.25">
      <c r="A41" s="21" t="s">
        <v>1196</v>
      </c>
      <c r="B41" s="154" t="s">
        <v>1197</v>
      </c>
      <c r="C41" s="154" t="s">
        <v>59</v>
      </c>
      <c r="D41" s="155">
        <v>0</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row>
    <row r="42" spans="1:21" x14ac:dyDescent="0.25">
      <c r="A42" s="149" t="s">
        <v>1450</v>
      </c>
      <c r="B42" s="150" t="s">
        <v>1451</v>
      </c>
      <c r="C42" s="150" t="s">
        <v>1452</v>
      </c>
      <c r="D42" s="151">
        <v>608</v>
      </c>
      <c r="E42" s="152">
        <v>0</v>
      </c>
      <c r="F42" s="151">
        <v>518</v>
      </c>
      <c r="G42" s="152">
        <v>0</v>
      </c>
      <c r="H42" s="151">
        <v>14</v>
      </c>
      <c r="I42" s="152">
        <v>0</v>
      </c>
      <c r="J42" s="151">
        <v>0</v>
      </c>
      <c r="K42" s="152">
        <v>0</v>
      </c>
      <c r="L42" s="151">
        <v>0</v>
      </c>
      <c r="M42" s="152">
        <v>0</v>
      </c>
      <c r="N42" s="151">
        <v>90</v>
      </c>
      <c r="O42" s="152">
        <v>0</v>
      </c>
      <c r="P42" s="151">
        <v>0</v>
      </c>
      <c r="Q42" s="152">
        <v>0</v>
      </c>
      <c r="R42" s="151">
        <v>0</v>
      </c>
      <c r="S42" s="152">
        <v>0</v>
      </c>
      <c r="T42" s="151">
        <v>0</v>
      </c>
      <c r="U42" s="153">
        <v>0</v>
      </c>
    </row>
    <row r="43" spans="1:21" x14ac:dyDescent="0.25">
      <c r="A43" s="21" t="s">
        <v>1223</v>
      </c>
      <c r="B43" s="154" t="s">
        <v>1224</v>
      </c>
      <c r="C43" s="154" t="s">
        <v>1225</v>
      </c>
      <c r="D43" s="155">
        <v>0</v>
      </c>
      <c r="E43" s="158">
        <v>0</v>
      </c>
      <c r="F43" s="155">
        <v>0</v>
      </c>
      <c r="G43" s="158">
        <v>82</v>
      </c>
      <c r="H43" s="155">
        <v>0</v>
      </c>
      <c r="I43" s="158">
        <v>3.7000000476837158</v>
      </c>
      <c r="J43" s="155">
        <v>0</v>
      </c>
      <c r="K43" s="158">
        <v>3.7000000476837158</v>
      </c>
      <c r="L43" s="155">
        <v>67</v>
      </c>
      <c r="M43" s="158">
        <v>70.700000047683716</v>
      </c>
      <c r="N43" s="155">
        <v>0</v>
      </c>
      <c r="O43" s="158">
        <v>0</v>
      </c>
      <c r="P43" s="155">
        <v>0</v>
      </c>
      <c r="Q43" s="158">
        <v>0</v>
      </c>
      <c r="R43" s="155">
        <v>0</v>
      </c>
      <c r="S43" s="158">
        <v>0</v>
      </c>
      <c r="T43" s="155">
        <v>0</v>
      </c>
      <c r="U43" s="157">
        <v>0</v>
      </c>
    </row>
    <row r="44" spans="1:21" x14ac:dyDescent="0.25">
      <c r="A44" s="149" t="s">
        <v>565</v>
      </c>
      <c r="B44" s="150" t="s">
        <v>1229</v>
      </c>
      <c r="C44" s="150" t="s">
        <v>59</v>
      </c>
      <c r="D44" s="151">
        <v>1693</v>
      </c>
      <c r="E44" s="152">
        <v>0</v>
      </c>
      <c r="F44" s="151">
        <v>0</v>
      </c>
      <c r="G44" s="152">
        <v>0</v>
      </c>
      <c r="H44" s="151">
        <v>0</v>
      </c>
      <c r="I44" s="152">
        <v>0</v>
      </c>
      <c r="J44" s="151">
        <v>0</v>
      </c>
      <c r="K44" s="152">
        <v>0</v>
      </c>
      <c r="L44" s="151">
        <v>0</v>
      </c>
      <c r="M44" s="152">
        <v>0</v>
      </c>
      <c r="N44" s="151">
        <v>396</v>
      </c>
      <c r="O44" s="152">
        <v>602</v>
      </c>
      <c r="P44" s="151">
        <v>498</v>
      </c>
      <c r="Q44" s="152">
        <v>197</v>
      </c>
      <c r="R44" s="151">
        <v>0</v>
      </c>
      <c r="S44" s="152">
        <v>0</v>
      </c>
      <c r="T44" s="151">
        <v>0</v>
      </c>
      <c r="U44" s="153">
        <v>0</v>
      </c>
    </row>
    <row r="45" spans="1:21" x14ac:dyDescent="0.25">
      <c r="A45" s="21" t="s">
        <v>1230</v>
      </c>
      <c r="B45" s="154" t="s">
        <v>1231</v>
      </c>
      <c r="C45" s="154" t="s">
        <v>1232</v>
      </c>
      <c r="D45" s="155">
        <v>0</v>
      </c>
      <c r="E45" s="158">
        <v>0</v>
      </c>
      <c r="F45" s="155">
        <v>0</v>
      </c>
      <c r="G45" s="158">
        <v>74</v>
      </c>
      <c r="H45" s="155">
        <v>0</v>
      </c>
      <c r="I45" s="158">
        <v>0</v>
      </c>
      <c r="J45" s="155">
        <v>0</v>
      </c>
      <c r="K45" s="158">
        <v>0</v>
      </c>
      <c r="L45" s="155">
        <v>30.149999618530273</v>
      </c>
      <c r="M45" s="158">
        <v>30.149999618530273</v>
      </c>
      <c r="N45" s="155">
        <v>0</v>
      </c>
      <c r="O45" s="158">
        <v>0</v>
      </c>
      <c r="P45" s="155">
        <v>0</v>
      </c>
      <c r="Q45" s="158">
        <v>0</v>
      </c>
      <c r="R45" s="155">
        <v>0</v>
      </c>
      <c r="S45" s="158">
        <v>0</v>
      </c>
      <c r="T45" s="155">
        <v>0</v>
      </c>
      <c r="U45" s="157">
        <v>0</v>
      </c>
    </row>
    <row r="46" spans="1:21" x14ac:dyDescent="0.25">
      <c r="A46" s="149" t="s">
        <v>1233</v>
      </c>
      <c r="B46" s="150" t="s">
        <v>1234</v>
      </c>
      <c r="C46" s="150" t="s">
        <v>1235</v>
      </c>
      <c r="D46" s="151">
        <v>0</v>
      </c>
      <c r="E46" s="152">
        <v>0</v>
      </c>
      <c r="F46" s="151">
        <v>0</v>
      </c>
      <c r="G46" s="152">
        <v>270</v>
      </c>
      <c r="H46" s="151">
        <v>0</v>
      </c>
      <c r="I46" s="152">
        <v>9.8500003814697266</v>
      </c>
      <c r="J46" s="151">
        <v>0</v>
      </c>
      <c r="K46" s="152">
        <v>9.8500003814697266</v>
      </c>
      <c r="L46" s="151">
        <v>156.27191162109375</v>
      </c>
      <c r="M46" s="152">
        <v>166.12191200256348</v>
      </c>
      <c r="N46" s="151">
        <v>0</v>
      </c>
      <c r="O46" s="152">
        <v>0</v>
      </c>
      <c r="P46" s="151">
        <v>0</v>
      </c>
      <c r="Q46" s="152">
        <v>0</v>
      </c>
      <c r="R46" s="151">
        <v>0</v>
      </c>
      <c r="S46" s="152">
        <v>0</v>
      </c>
      <c r="T46" s="151">
        <v>0</v>
      </c>
      <c r="U46" s="153">
        <v>0</v>
      </c>
    </row>
    <row r="47" spans="1:21" x14ac:dyDescent="0.25">
      <c r="A47" s="21" t="s">
        <v>1199</v>
      </c>
      <c r="B47" s="154" t="s">
        <v>1200</v>
      </c>
      <c r="C47" s="154" t="s">
        <v>59</v>
      </c>
      <c r="D47" s="155">
        <v>0</v>
      </c>
      <c r="E47" s="158">
        <v>0</v>
      </c>
      <c r="F47" s="155">
        <v>0</v>
      </c>
      <c r="G47" s="158">
        <v>0</v>
      </c>
      <c r="H47" s="155">
        <v>0</v>
      </c>
      <c r="I47" s="158">
        <v>0</v>
      </c>
      <c r="J47" s="155">
        <v>0</v>
      </c>
      <c r="K47" s="158">
        <v>0</v>
      </c>
      <c r="L47" s="155">
        <v>0</v>
      </c>
      <c r="M47" s="158">
        <v>0</v>
      </c>
      <c r="N47" s="155">
        <v>0</v>
      </c>
      <c r="O47" s="158">
        <v>0</v>
      </c>
      <c r="P47" s="155">
        <v>0</v>
      </c>
      <c r="Q47" s="158">
        <v>0</v>
      </c>
      <c r="R47" s="155">
        <v>0</v>
      </c>
      <c r="S47" s="158">
        <v>0</v>
      </c>
      <c r="T47" s="155">
        <v>0</v>
      </c>
      <c r="U47" s="157">
        <v>0</v>
      </c>
    </row>
    <row r="48" spans="1:21" x14ac:dyDescent="0.25">
      <c r="A48" s="149" t="s">
        <v>1194</v>
      </c>
      <c r="B48" s="150" t="s">
        <v>1195</v>
      </c>
      <c r="C48" s="150" t="s">
        <v>59</v>
      </c>
      <c r="D48" s="151">
        <v>0</v>
      </c>
      <c r="E48" s="152">
        <v>0</v>
      </c>
      <c r="F48" s="151">
        <v>0</v>
      </c>
      <c r="G48" s="152">
        <v>0</v>
      </c>
      <c r="H48" s="151">
        <v>0</v>
      </c>
      <c r="I48" s="152">
        <v>0</v>
      </c>
      <c r="J48" s="151">
        <v>0</v>
      </c>
      <c r="K48" s="152">
        <v>0</v>
      </c>
      <c r="L48" s="151">
        <v>0</v>
      </c>
      <c r="M48" s="152">
        <v>0</v>
      </c>
      <c r="N48" s="151">
        <v>0</v>
      </c>
      <c r="O48" s="152">
        <v>0</v>
      </c>
      <c r="P48" s="151">
        <v>0</v>
      </c>
      <c r="Q48" s="152">
        <v>0</v>
      </c>
      <c r="R48" s="151">
        <v>0</v>
      </c>
      <c r="S48" s="152">
        <v>0</v>
      </c>
      <c r="T48" s="151">
        <v>0</v>
      </c>
      <c r="U48" s="153">
        <v>0</v>
      </c>
    </row>
    <row r="49" spans="1:21" x14ac:dyDescent="0.25">
      <c r="A49" s="21" t="s">
        <v>1196</v>
      </c>
      <c r="B49" s="154" t="s">
        <v>1197</v>
      </c>
      <c r="C49" s="154" t="s">
        <v>59</v>
      </c>
      <c r="D49" s="155">
        <v>0</v>
      </c>
      <c r="E49" s="158">
        <v>0</v>
      </c>
      <c r="F49" s="155">
        <v>0</v>
      </c>
      <c r="G49" s="158">
        <v>0</v>
      </c>
      <c r="H49" s="155">
        <v>0</v>
      </c>
      <c r="I49" s="158">
        <v>0</v>
      </c>
      <c r="J49" s="155">
        <v>0</v>
      </c>
      <c r="K49" s="158">
        <v>0</v>
      </c>
      <c r="L49" s="155">
        <v>0</v>
      </c>
      <c r="M49" s="158">
        <v>0</v>
      </c>
      <c r="N49" s="155">
        <v>0</v>
      </c>
      <c r="O49" s="158">
        <v>0</v>
      </c>
      <c r="P49" s="155">
        <v>0</v>
      </c>
      <c r="Q49" s="158">
        <v>0</v>
      </c>
      <c r="R49" s="155">
        <v>0</v>
      </c>
      <c r="S49" s="158">
        <v>0</v>
      </c>
      <c r="T49" s="155">
        <v>0</v>
      </c>
      <c r="U49" s="157">
        <v>0</v>
      </c>
    </row>
    <row r="50" spans="1:21" x14ac:dyDescent="0.25">
      <c r="A50" s="149" t="s">
        <v>1453</v>
      </c>
      <c r="B50" s="150" t="s">
        <v>1454</v>
      </c>
      <c r="C50" s="150" t="s">
        <v>1455</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row>
    <row r="51" spans="1:21" x14ac:dyDescent="0.25">
      <c r="A51" s="21" t="s">
        <v>565</v>
      </c>
      <c r="B51" s="154" t="s">
        <v>1198</v>
      </c>
      <c r="C51" s="154" t="s">
        <v>59</v>
      </c>
      <c r="D51" s="155">
        <v>1911</v>
      </c>
      <c r="E51" s="158">
        <v>0</v>
      </c>
      <c r="F51" s="155">
        <v>0</v>
      </c>
      <c r="G51" s="158">
        <v>0</v>
      </c>
      <c r="H51" s="155">
        <v>0</v>
      </c>
      <c r="I51" s="158">
        <v>0</v>
      </c>
      <c r="J51" s="155">
        <v>0</v>
      </c>
      <c r="K51" s="158">
        <v>0</v>
      </c>
      <c r="L51" s="155">
        <v>0</v>
      </c>
      <c r="M51" s="158">
        <v>0</v>
      </c>
      <c r="N51" s="155">
        <v>430</v>
      </c>
      <c r="O51" s="158">
        <v>204</v>
      </c>
      <c r="P51" s="155">
        <v>1251</v>
      </c>
      <c r="Q51" s="158">
        <v>26</v>
      </c>
      <c r="R51" s="155">
        <v>0</v>
      </c>
      <c r="S51" s="158">
        <v>0</v>
      </c>
      <c r="T51" s="155">
        <v>0</v>
      </c>
      <c r="U51" s="157">
        <v>0</v>
      </c>
    </row>
    <row r="52" spans="1:21" x14ac:dyDescent="0.25">
      <c r="A52" s="149" t="s">
        <v>1199</v>
      </c>
      <c r="B52" s="150" t="s">
        <v>1200</v>
      </c>
      <c r="C52" s="150" t="s">
        <v>59</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row>
    <row r="53" spans="1:21" x14ac:dyDescent="0.25">
      <c r="A53" s="21" t="s">
        <v>1194</v>
      </c>
      <c r="B53" s="154" t="s">
        <v>1201</v>
      </c>
      <c r="C53" s="154" t="s">
        <v>59</v>
      </c>
      <c r="D53" s="155">
        <v>0</v>
      </c>
      <c r="E53" s="158">
        <v>0</v>
      </c>
      <c r="F53" s="155">
        <v>0</v>
      </c>
      <c r="G53" s="158">
        <v>0</v>
      </c>
      <c r="H53" s="155">
        <v>0</v>
      </c>
      <c r="I53" s="158">
        <v>0</v>
      </c>
      <c r="J53" s="155">
        <v>0</v>
      </c>
      <c r="K53" s="158">
        <v>0</v>
      </c>
      <c r="L53" s="155">
        <v>0</v>
      </c>
      <c r="M53" s="158">
        <v>0</v>
      </c>
      <c r="N53" s="155">
        <v>0</v>
      </c>
      <c r="O53" s="158">
        <v>0</v>
      </c>
      <c r="P53" s="155">
        <v>0</v>
      </c>
      <c r="Q53" s="158">
        <v>0</v>
      </c>
      <c r="R53" s="155">
        <v>0</v>
      </c>
      <c r="S53" s="158">
        <v>0</v>
      </c>
      <c r="T53" s="155">
        <v>0</v>
      </c>
      <c r="U53" s="157">
        <v>0</v>
      </c>
    </row>
    <row r="54" spans="1:21" x14ac:dyDescent="0.25">
      <c r="A54" s="149" t="s">
        <v>1196</v>
      </c>
      <c r="B54" s="150" t="s">
        <v>1197</v>
      </c>
      <c r="C54" s="150" t="s">
        <v>59</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row>
    <row r="55" spans="1:21" x14ac:dyDescent="0.25">
      <c r="A55" s="21" t="s">
        <v>565</v>
      </c>
      <c r="B55" s="154" t="s">
        <v>1198</v>
      </c>
      <c r="C55" s="154" t="s">
        <v>59</v>
      </c>
      <c r="D55" s="155">
        <v>297</v>
      </c>
      <c r="E55" s="158">
        <v>0</v>
      </c>
      <c r="F55" s="155">
        <v>0</v>
      </c>
      <c r="G55" s="158">
        <v>0</v>
      </c>
      <c r="H55" s="155">
        <v>0</v>
      </c>
      <c r="I55" s="158">
        <v>0</v>
      </c>
      <c r="J55" s="155">
        <v>0</v>
      </c>
      <c r="K55" s="158">
        <v>0</v>
      </c>
      <c r="L55" s="155">
        <v>0</v>
      </c>
      <c r="M55" s="158">
        <v>0</v>
      </c>
      <c r="N55" s="155">
        <v>46</v>
      </c>
      <c r="O55" s="158">
        <v>83</v>
      </c>
      <c r="P55" s="155">
        <v>90</v>
      </c>
      <c r="Q55" s="158">
        <v>78</v>
      </c>
      <c r="R55" s="155">
        <v>0</v>
      </c>
      <c r="S55" s="158">
        <v>0</v>
      </c>
      <c r="T55" s="155">
        <v>0</v>
      </c>
      <c r="U55" s="157">
        <v>0</v>
      </c>
    </row>
    <row r="56" spans="1:21" x14ac:dyDescent="0.25">
      <c r="A56" s="149" t="s">
        <v>1199</v>
      </c>
      <c r="B56" s="150" t="s">
        <v>1200</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row>
    <row r="57" spans="1:21" x14ac:dyDescent="0.25">
      <c r="A57" s="21" t="s">
        <v>1242</v>
      </c>
      <c r="B57" s="154" t="s">
        <v>1243</v>
      </c>
      <c r="C57" s="154" t="s">
        <v>1244</v>
      </c>
      <c r="D57" s="155">
        <v>142</v>
      </c>
      <c r="E57" s="158">
        <v>0</v>
      </c>
      <c r="F57" s="155">
        <v>142</v>
      </c>
      <c r="G57" s="158">
        <v>0</v>
      </c>
      <c r="H57" s="155">
        <v>0</v>
      </c>
      <c r="I57" s="158">
        <v>0</v>
      </c>
      <c r="J57" s="155">
        <v>0</v>
      </c>
      <c r="K57" s="158">
        <v>0</v>
      </c>
      <c r="L57" s="155">
        <v>0</v>
      </c>
      <c r="M57" s="158">
        <v>0</v>
      </c>
      <c r="N57" s="155">
        <v>0</v>
      </c>
      <c r="O57" s="158">
        <v>0</v>
      </c>
      <c r="P57" s="155">
        <v>0</v>
      </c>
      <c r="Q57" s="158">
        <v>0</v>
      </c>
      <c r="R57" s="155">
        <v>0</v>
      </c>
      <c r="S57" s="158">
        <v>0</v>
      </c>
      <c r="T57" s="155">
        <v>0</v>
      </c>
      <c r="U57" s="157">
        <v>0</v>
      </c>
    </row>
    <row r="58" spans="1:21" x14ac:dyDescent="0.25">
      <c r="A58" s="149" t="s">
        <v>1742</v>
      </c>
      <c r="B58" s="150" t="s">
        <v>1743</v>
      </c>
      <c r="C58" s="150" t="s">
        <v>1744</v>
      </c>
      <c r="D58" s="151">
        <v>0</v>
      </c>
      <c r="E58" s="152">
        <v>0</v>
      </c>
      <c r="F58" s="151">
        <v>0</v>
      </c>
      <c r="G58" s="152">
        <v>0</v>
      </c>
      <c r="H58" s="151">
        <v>0</v>
      </c>
      <c r="I58" s="152">
        <v>0</v>
      </c>
      <c r="J58" s="151">
        <v>0</v>
      </c>
      <c r="K58" s="152">
        <v>0</v>
      </c>
      <c r="L58" s="151">
        <v>0</v>
      </c>
      <c r="M58" s="152">
        <v>0</v>
      </c>
      <c r="N58" s="151">
        <v>0</v>
      </c>
      <c r="O58" s="152">
        <v>0</v>
      </c>
      <c r="P58" s="151">
        <v>0</v>
      </c>
      <c r="Q58" s="152">
        <v>0</v>
      </c>
      <c r="R58" s="151">
        <v>0</v>
      </c>
      <c r="S58" s="152">
        <v>0</v>
      </c>
      <c r="T58" s="151">
        <v>0</v>
      </c>
      <c r="U58" s="153">
        <v>0</v>
      </c>
    </row>
    <row r="59" spans="1:21" x14ac:dyDescent="0.25">
      <c r="A59" s="21" t="s">
        <v>1194</v>
      </c>
      <c r="B59" s="154" t="s">
        <v>1245</v>
      </c>
      <c r="C59" s="154" t="s">
        <v>59</v>
      </c>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row>
    <row r="60" spans="1:21" x14ac:dyDescent="0.25">
      <c r="A60" s="149" t="s">
        <v>1196</v>
      </c>
      <c r="B60" s="150" t="s">
        <v>1197</v>
      </c>
      <c r="C60" s="150" t="s">
        <v>59</v>
      </c>
      <c r="D60" s="151">
        <v>0</v>
      </c>
      <c r="E60" s="152">
        <v>0</v>
      </c>
      <c r="F60" s="151">
        <v>0</v>
      </c>
      <c r="G60" s="152">
        <v>0</v>
      </c>
      <c r="H60" s="151">
        <v>0</v>
      </c>
      <c r="I60" s="152">
        <v>0</v>
      </c>
      <c r="J60" s="151">
        <v>0</v>
      </c>
      <c r="K60" s="152">
        <v>0</v>
      </c>
      <c r="L60" s="151">
        <v>0</v>
      </c>
      <c r="M60" s="152">
        <v>0</v>
      </c>
      <c r="N60" s="151">
        <v>0</v>
      </c>
      <c r="O60" s="152">
        <v>0</v>
      </c>
      <c r="P60" s="151">
        <v>0</v>
      </c>
      <c r="Q60" s="152">
        <v>0</v>
      </c>
      <c r="R60" s="151">
        <v>0</v>
      </c>
      <c r="S60" s="152">
        <v>0</v>
      </c>
      <c r="T60" s="151">
        <v>0</v>
      </c>
      <c r="U60" s="153">
        <v>0</v>
      </c>
    </row>
    <row r="61" spans="1:21" x14ac:dyDescent="0.25">
      <c r="A61" s="21" t="s">
        <v>565</v>
      </c>
      <c r="B61" s="154" t="s">
        <v>1198</v>
      </c>
      <c r="C61" s="154" t="s">
        <v>59</v>
      </c>
      <c r="D61" s="155">
        <v>529</v>
      </c>
      <c r="E61" s="158">
        <v>0</v>
      </c>
      <c r="F61" s="155">
        <v>0</v>
      </c>
      <c r="G61" s="158">
        <v>0</v>
      </c>
      <c r="H61" s="155">
        <v>0</v>
      </c>
      <c r="I61" s="158">
        <v>0</v>
      </c>
      <c r="J61" s="155">
        <v>0</v>
      </c>
      <c r="K61" s="158">
        <v>0</v>
      </c>
      <c r="L61" s="155">
        <v>0</v>
      </c>
      <c r="M61" s="158">
        <v>0</v>
      </c>
      <c r="N61" s="155">
        <v>55</v>
      </c>
      <c r="O61" s="158">
        <v>209</v>
      </c>
      <c r="P61" s="155">
        <v>55</v>
      </c>
      <c r="Q61" s="158">
        <v>210</v>
      </c>
      <c r="R61" s="155">
        <v>0</v>
      </c>
      <c r="S61" s="158">
        <v>0</v>
      </c>
      <c r="T61" s="155">
        <v>0</v>
      </c>
      <c r="U61" s="157">
        <v>0</v>
      </c>
    </row>
    <row r="62" spans="1:21" x14ac:dyDescent="0.25">
      <c r="A62" s="149" t="s">
        <v>1199</v>
      </c>
      <c r="B62" s="150" t="s">
        <v>1200</v>
      </c>
      <c r="C62" s="150" t="s">
        <v>59</v>
      </c>
      <c r="D62" s="151">
        <v>0</v>
      </c>
      <c r="E62" s="152">
        <v>0</v>
      </c>
      <c r="F62" s="151">
        <v>0</v>
      </c>
      <c r="G62" s="152">
        <v>0</v>
      </c>
      <c r="H62" s="151">
        <v>0</v>
      </c>
      <c r="I62" s="152">
        <v>0</v>
      </c>
      <c r="J62" s="151">
        <v>0</v>
      </c>
      <c r="K62" s="152">
        <v>0</v>
      </c>
      <c r="L62" s="151">
        <v>0</v>
      </c>
      <c r="M62" s="152">
        <v>0</v>
      </c>
      <c r="N62" s="151">
        <v>0</v>
      </c>
      <c r="O62" s="152">
        <v>0</v>
      </c>
      <c r="P62" s="151">
        <v>0</v>
      </c>
      <c r="Q62" s="152">
        <v>0</v>
      </c>
      <c r="R62" s="151">
        <v>0</v>
      </c>
      <c r="S62" s="152">
        <v>0</v>
      </c>
      <c r="T62" s="151">
        <v>0</v>
      </c>
      <c r="U62" s="153">
        <v>0</v>
      </c>
    </row>
    <row r="63" spans="1:21" x14ac:dyDescent="0.25">
      <c r="A63" s="21" t="s">
        <v>1246</v>
      </c>
      <c r="B63" s="154" t="s">
        <v>1247</v>
      </c>
      <c r="C63" s="154" t="s">
        <v>1248</v>
      </c>
      <c r="D63" s="155">
        <v>415</v>
      </c>
      <c r="E63" s="158">
        <v>0</v>
      </c>
      <c r="F63" s="155">
        <v>415</v>
      </c>
      <c r="G63" s="158">
        <v>0</v>
      </c>
      <c r="H63" s="155">
        <v>0</v>
      </c>
      <c r="I63" s="158">
        <v>0</v>
      </c>
      <c r="J63" s="155">
        <v>0</v>
      </c>
      <c r="K63" s="158">
        <v>0</v>
      </c>
      <c r="L63" s="155">
        <v>0</v>
      </c>
      <c r="M63" s="158">
        <v>0</v>
      </c>
      <c r="N63" s="155">
        <v>0</v>
      </c>
      <c r="O63" s="158">
        <v>0</v>
      </c>
      <c r="P63" s="155">
        <v>0</v>
      </c>
      <c r="Q63" s="158">
        <v>0</v>
      </c>
      <c r="R63" s="155">
        <v>0</v>
      </c>
      <c r="S63" s="158">
        <v>0</v>
      </c>
      <c r="T63" s="155">
        <v>0</v>
      </c>
      <c r="U63" s="157">
        <v>0</v>
      </c>
    </row>
    <row r="64" spans="1:21" x14ac:dyDescent="0.25">
      <c r="A64" s="149" t="s">
        <v>1477</v>
      </c>
      <c r="B64" s="150" t="s">
        <v>1463</v>
      </c>
      <c r="C64" s="150" t="s">
        <v>1478</v>
      </c>
      <c r="D64" s="151">
        <v>0</v>
      </c>
      <c r="E64" s="152">
        <v>0</v>
      </c>
      <c r="F64" s="151">
        <v>0</v>
      </c>
      <c r="G64" s="152">
        <v>415</v>
      </c>
      <c r="H64" s="151">
        <v>0</v>
      </c>
      <c r="I64" s="152">
        <v>0</v>
      </c>
      <c r="J64" s="151">
        <v>0</v>
      </c>
      <c r="K64" s="152">
        <v>0</v>
      </c>
      <c r="L64" s="151">
        <v>382</v>
      </c>
      <c r="M64" s="152">
        <v>382</v>
      </c>
      <c r="N64" s="151">
        <v>0</v>
      </c>
      <c r="O64" s="152">
        <v>0</v>
      </c>
      <c r="P64" s="151">
        <v>0</v>
      </c>
      <c r="Q64" s="152">
        <v>0</v>
      </c>
      <c r="R64" s="151">
        <v>0</v>
      </c>
      <c r="S64" s="152">
        <v>0</v>
      </c>
      <c r="T64" s="151">
        <v>0</v>
      </c>
      <c r="U64" s="153">
        <v>0</v>
      </c>
    </row>
    <row r="65" spans="1:21" x14ac:dyDescent="0.25">
      <c r="A65" s="21" t="s">
        <v>1194</v>
      </c>
      <c r="B65" s="154" t="s">
        <v>1209</v>
      </c>
      <c r="C65" s="154" t="s">
        <v>59</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row>
    <row r="66" spans="1:21" x14ac:dyDescent="0.25">
      <c r="A66" s="149" t="s">
        <v>1196</v>
      </c>
      <c r="B66" s="150" t="s">
        <v>1197</v>
      </c>
      <c r="C66" s="150" t="s">
        <v>59</v>
      </c>
      <c r="D66" s="151">
        <v>0</v>
      </c>
      <c r="E66" s="152">
        <v>0</v>
      </c>
      <c r="F66" s="151">
        <v>0</v>
      </c>
      <c r="G66" s="152">
        <v>0</v>
      </c>
      <c r="H66" s="151">
        <v>0</v>
      </c>
      <c r="I66" s="152">
        <v>0</v>
      </c>
      <c r="J66" s="151">
        <v>0</v>
      </c>
      <c r="K66" s="152">
        <v>0</v>
      </c>
      <c r="L66" s="151">
        <v>0</v>
      </c>
      <c r="M66" s="152">
        <v>0</v>
      </c>
      <c r="N66" s="151">
        <v>0</v>
      </c>
      <c r="O66" s="152">
        <v>0</v>
      </c>
      <c r="P66" s="151">
        <v>0</v>
      </c>
      <c r="Q66" s="152">
        <v>0</v>
      </c>
      <c r="R66" s="151">
        <v>0</v>
      </c>
      <c r="S66" s="152">
        <v>0</v>
      </c>
      <c r="T66" s="151">
        <v>0</v>
      </c>
      <c r="U66" s="153">
        <v>0</v>
      </c>
    </row>
    <row r="67" spans="1:21" x14ac:dyDescent="0.25">
      <c r="A67" s="21" t="s">
        <v>565</v>
      </c>
      <c r="B67" s="154" t="s">
        <v>1198</v>
      </c>
      <c r="C67" s="154" t="s">
        <v>59</v>
      </c>
      <c r="D67" s="155">
        <v>514</v>
      </c>
      <c r="E67" s="158">
        <v>0</v>
      </c>
      <c r="F67" s="155">
        <v>0</v>
      </c>
      <c r="G67" s="158">
        <v>0</v>
      </c>
      <c r="H67" s="155">
        <v>0</v>
      </c>
      <c r="I67" s="158">
        <v>0</v>
      </c>
      <c r="J67" s="155">
        <v>0</v>
      </c>
      <c r="K67" s="158">
        <v>0</v>
      </c>
      <c r="L67" s="155">
        <v>0</v>
      </c>
      <c r="M67" s="158">
        <v>0</v>
      </c>
      <c r="N67" s="155">
        <v>128.5</v>
      </c>
      <c r="O67" s="158">
        <v>128.5</v>
      </c>
      <c r="P67" s="155">
        <v>128.5</v>
      </c>
      <c r="Q67" s="158">
        <v>128.5</v>
      </c>
      <c r="R67" s="155">
        <v>0</v>
      </c>
      <c r="S67" s="158">
        <v>0</v>
      </c>
      <c r="T67" s="155">
        <v>0</v>
      </c>
      <c r="U67" s="157">
        <v>0</v>
      </c>
    </row>
    <row r="68" spans="1:21" x14ac:dyDescent="0.25">
      <c r="A68" s="149" t="s">
        <v>1199</v>
      </c>
      <c r="B68" s="150" t="s">
        <v>1200</v>
      </c>
      <c r="C68" s="150" t="s">
        <v>59</v>
      </c>
      <c r="D68" s="151">
        <v>0</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row>
    <row r="69" spans="1:21" x14ac:dyDescent="0.25">
      <c r="A69" s="21" t="s">
        <v>1249</v>
      </c>
      <c r="B69" s="154" t="s">
        <v>1250</v>
      </c>
      <c r="C69" s="154" t="s">
        <v>1251</v>
      </c>
      <c r="D69" s="155">
        <v>129</v>
      </c>
      <c r="E69" s="158">
        <v>0</v>
      </c>
      <c r="F69" s="155">
        <v>129</v>
      </c>
      <c r="G69" s="158">
        <v>0</v>
      </c>
      <c r="H69" s="155">
        <v>98</v>
      </c>
      <c r="I69" s="158">
        <v>0</v>
      </c>
      <c r="J69" s="155">
        <v>0</v>
      </c>
      <c r="K69" s="158">
        <v>0</v>
      </c>
      <c r="L69" s="155">
        <v>0</v>
      </c>
      <c r="M69" s="158">
        <v>0</v>
      </c>
      <c r="N69" s="155">
        <v>0</v>
      </c>
      <c r="O69" s="158">
        <v>0</v>
      </c>
      <c r="P69" s="155">
        <v>0</v>
      </c>
      <c r="Q69" s="158">
        <v>0</v>
      </c>
      <c r="R69" s="155">
        <v>0</v>
      </c>
      <c r="S69" s="158">
        <v>0</v>
      </c>
      <c r="T69" s="155">
        <v>0</v>
      </c>
      <c r="U69" s="157">
        <v>0</v>
      </c>
    </row>
    <row r="70" spans="1:21" x14ac:dyDescent="0.25">
      <c r="A70" s="149" t="s">
        <v>1665</v>
      </c>
      <c r="B70" s="150" t="s">
        <v>1666</v>
      </c>
      <c r="C70" s="150" t="s">
        <v>1667</v>
      </c>
      <c r="D70" s="151">
        <v>0</v>
      </c>
      <c r="E70" s="152">
        <v>0</v>
      </c>
      <c r="F70" s="151">
        <v>0</v>
      </c>
      <c r="G70" s="152">
        <v>98</v>
      </c>
      <c r="H70" s="151">
        <v>0</v>
      </c>
      <c r="I70" s="152">
        <v>0</v>
      </c>
      <c r="J70" s="151">
        <v>0</v>
      </c>
      <c r="K70" s="152">
        <v>0</v>
      </c>
      <c r="L70" s="151">
        <v>97.797317504882813</v>
      </c>
      <c r="M70" s="152">
        <v>97.797317504882813</v>
      </c>
      <c r="N70" s="151">
        <v>0</v>
      </c>
      <c r="O70" s="152">
        <v>0</v>
      </c>
      <c r="P70" s="151">
        <v>0</v>
      </c>
      <c r="Q70" s="152">
        <v>0</v>
      </c>
      <c r="R70" s="151">
        <v>0</v>
      </c>
      <c r="S70" s="152">
        <v>0</v>
      </c>
      <c r="T70" s="151">
        <v>0</v>
      </c>
      <c r="U70" s="153">
        <v>0</v>
      </c>
    </row>
    <row r="71" spans="1:21" x14ac:dyDescent="0.25">
      <c r="A71" s="21" t="s">
        <v>1194</v>
      </c>
      <c r="B71" s="154" t="s">
        <v>1218</v>
      </c>
      <c r="C71" s="154" t="s">
        <v>59</v>
      </c>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row>
    <row r="72" spans="1:21" x14ac:dyDescent="0.25">
      <c r="A72" s="149" t="s">
        <v>1196</v>
      </c>
      <c r="B72" s="150" t="s">
        <v>1197</v>
      </c>
      <c r="C72" s="150" t="s">
        <v>59</v>
      </c>
      <c r="D72" s="151">
        <v>0</v>
      </c>
      <c r="E72" s="152">
        <v>0</v>
      </c>
      <c r="F72" s="151">
        <v>0</v>
      </c>
      <c r="G72" s="152">
        <v>0</v>
      </c>
      <c r="H72" s="151">
        <v>0</v>
      </c>
      <c r="I72" s="152">
        <v>0</v>
      </c>
      <c r="J72" s="151">
        <v>0</v>
      </c>
      <c r="K72" s="152">
        <v>0</v>
      </c>
      <c r="L72" s="151">
        <v>0</v>
      </c>
      <c r="M72" s="152">
        <v>0</v>
      </c>
      <c r="N72" s="151">
        <v>0</v>
      </c>
      <c r="O72" s="152">
        <v>0</v>
      </c>
      <c r="P72" s="151">
        <v>0</v>
      </c>
      <c r="Q72" s="152">
        <v>0</v>
      </c>
      <c r="R72" s="151">
        <v>0</v>
      </c>
      <c r="S72" s="152">
        <v>0</v>
      </c>
      <c r="T72" s="151">
        <v>0</v>
      </c>
      <c r="U72" s="153">
        <v>0</v>
      </c>
    </row>
    <row r="73" spans="1:21" x14ac:dyDescent="0.25">
      <c r="A73" s="21" t="s">
        <v>1456</v>
      </c>
      <c r="B73" s="154" t="s">
        <v>1457</v>
      </c>
      <c r="C73" s="154" t="s">
        <v>1458</v>
      </c>
      <c r="D73" s="155">
        <v>2058</v>
      </c>
      <c r="E73" s="158">
        <v>0</v>
      </c>
      <c r="F73" s="155">
        <v>0</v>
      </c>
      <c r="G73" s="158">
        <v>0</v>
      </c>
      <c r="H73" s="155">
        <v>0</v>
      </c>
      <c r="I73" s="158">
        <v>0</v>
      </c>
      <c r="J73" s="155">
        <v>0</v>
      </c>
      <c r="K73" s="158">
        <v>0</v>
      </c>
      <c r="L73" s="155">
        <v>0</v>
      </c>
      <c r="M73" s="158">
        <v>0</v>
      </c>
      <c r="N73" s="155">
        <v>0</v>
      </c>
      <c r="O73" s="158">
        <v>1050</v>
      </c>
      <c r="P73" s="155">
        <v>1008</v>
      </c>
      <c r="Q73" s="158">
        <v>0</v>
      </c>
      <c r="R73" s="155">
        <v>0</v>
      </c>
      <c r="S73" s="158">
        <v>0</v>
      </c>
      <c r="T73" s="155">
        <v>0</v>
      </c>
      <c r="U73" s="157">
        <v>0</v>
      </c>
    </row>
    <row r="74" spans="1:21" x14ac:dyDescent="0.25">
      <c r="A74" s="149" t="s">
        <v>1514</v>
      </c>
      <c r="B74" s="150" t="s">
        <v>1515</v>
      </c>
      <c r="C74" s="150" t="s">
        <v>1516</v>
      </c>
      <c r="D74" s="151">
        <v>0</v>
      </c>
      <c r="E74" s="152">
        <v>0</v>
      </c>
      <c r="F74" s="151">
        <v>0</v>
      </c>
      <c r="G74" s="152">
        <v>0</v>
      </c>
      <c r="H74" s="151">
        <v>0</v>
      </c>
      <c r="I74" s="152">
        <v>0</v>
      </c>
      <c r="J74" s="151">
        <v>0</v>
      </c>
      <c r="K74" s="152">
        <v>0</v>
      </c>
      <c r="L74" s="151">
        <v>0</v>
      </c>
      <c r="M74" s="152">
        <v>0</v>
      </c>
      <c r="N74" s="151">
        <v>0</v>
      </c>
      <c r="O74" s="152">
        <v>0</v>
      </c>
      <c r="P74" s="151">
        <v>0</v>
      </c>
      <c r="Q74" s="152">
        <v>0</v>
      </c>
      <c r="R74" s="151">
        <v>0</v>
      </c>
      <c r="S74" s="152">
        <v>0</v>
      </c>
      <c r="T74" s="151">
        <v>0</v>
      </c>
      <c r="U74" s="153">
        <v>0</v>
      </c>
    </row>
    <row r="75" spans="1:21" x14ac:dyDescent="0.25">
      <c r="A75" s="21" t="s">
        <v>565</v>
      </c>
      <c r="B75" s="154" t="s">
        <v>1198</v>
      </c>
      <c r="C75" s="154" t="s">
        <v>59</v>
      </c>
      <c r="D75" s="155">
        <v>0</v>
      </c>
      <c r="E75" s="158">
        <v>0</v>
      </c>
      <c r="F75" s="155">
        <v>0</v>
      </c>
      <c r="G75" s="158">
        <v>0</v>
      </c>
      <c r="H75" s="155">
        <v>0</v>
      </c>
      <c r="I75" s="158">
        <v>0</v>
      </c>
      <c r="J75" s="155">
        <v>0</v>
      </c>
      <c r="K75" s="158">
        <v>0</v>
      </c>
      <c r="L75" s="155">
        <v>0</v>
      </c>
      <c r="M75" s="158">
        <v>0</v>
      </c>
      <c r="N75" s="155">
        <v>0</v>
      </c>
      <c r="O75" s="158">
        <v>0</v>
      </c>
      <c r="P75" s="155">
        <v>0</v>
      </c>
      <c r="Q75" s="158">
        <v>0</v>
      </c>
      <c r="R75" s="155">
        <v>0</v>
      </c>
      <c r="S75" s="158">
        <v>0</v>
      </c>
      <c r="T75" s="155">
        <v>0</v>
      </c>
      <c r="U75" s="157">
        <v>0</v>
      </c>
    </row>
    <row r="76" spans="1:21" x14ac:dyDescent="0.25">
      <c r="A76" s="149" t="s">
        <v>1199</v>
      </c>
      <c r="B76" s="150" t="s">
        <v>1200</v>
      </c>
      <c r="C76" s="150" t="s">
        <v>59</v>
      </c>
      <c r="D76" s="151">
        <v>1618.1</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row>
    <row r="77" spans="1:21" x14ac:dyDescent="0.25">
      <c r="A77" s="21" t="s">
        <v>1194</v>
      </c>
      <c r="B77" s="154" t="s">
        <v>1252</v>
      </c>
      <c r="C77" s="154" t="s">
        <v>59</v>
      </c>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row>
    <row r="78" spans="1:21" x14ac:dyDescent="0.25">
      <c r="A78" s="149" t="s">
        <v>1196</v>
      </c>
      <c r="B78" s="150" t="s">
        <v>1197</v>
      </c>
      <c r="C78" s="150" t="s">
        <v>59</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row>
    <row r="79" spans="1:21" x14ac:dyDescent="0.25">
      <c r="A79" s="21" t="s">
        <v>1459</v>
      </c>
      <c r="B79" s="154" t="s">
        <v>1460</v>
      </c>
      <c r="C79" s="154" t="s">
        <v>1461</v>
      </c>
      <c r="D79" s="155">
        <v>1815</v>
      </c>
      <c r="E79" s="158">
        <v>0</v>
      </c>
      <c r="F79" s="155">
        <v>1815</v>
      </c>
      <c r="G79" s="158">
        <v>0</v>
      </c>
      <c r="H79" s="155">
        <v>116</v>
      </c>
      <c r="I79" s="158">
        <v>0</v>
      </c>
      <c r="J79" s="155">
        <v>0</v>
      </c>
      <c r="K79" s="158">
        <v>0</v>
      </c>
      <c r="L79" s="155">
        <v>0</v>
      </c>
      <c r="M79" s="158">
        <v>0</v>
      </c>
      <c r="N79" s="155">
        <v>0</v>
      </c>
      <c r="O79" s="158">
        <v>0</v>
      </c>
      <c r="P79" s="155">
        <v>0</v>
      </c>
      <c r="Q79" s="158">
        <v>0</v>
      </c>
      <c r="R79" s="155">
        <v>0</v>
      </c>
      <c r="S79" s="158">
        <v>0</v>
      </c>
      <c r="T79" s="155">
        <v>0</v>
      </c>
      <c r="U79" s="157">
        <v>0</v>
      </c>
    </row>
    <row r="80" spans="1:21" x14ac:dyDescent="0.25">
      <c r="A80" s="149" t="s">
        <v>1253</v>
      </c>
      <c r="B80" s="150" t="s">
        <v>1254</v>
      </c>
      <c r="C80" s="150" t="s">
        <v>1255</v>
      </c>
      <c r="D80" s="151">
        <v>0</v>
      </c>
      <c r="E80" s="152">
        <v>0</v>
      </c>
      <c r="F80" s="151">
        <v>0</v>
      </c>
      <c r="G80" s="152">
        <v>5</v>
      </c>
      <c r="H80" s="151">
        <v>0</v>
      </c>
      <c r="I80" s="152">
        <v>4.3380299806594849</v>
      </c>
      <c r="J80" s="151">
        <v>0</v>
      </c>
      <c r="K80" s="152">
        <v>4.3380299806594849</v>
      </c>
      <c r="L80" s="151">
        <v>125.55832672119141</v>
      </c>
      <c r="M80" s="152">
        <v>129.89635670185089</v>
      </c>
      <c r="N80" s="151">
        <v>0</v>
      </c>
      <c r="O80" s="152">
        <v>0</v>
      </c>
      <c r="P80" s="151">
        <v>0</v>
      </c>
      <c r="Q80" s="152">
        <v>0</v>
      </c>
      <c r="R80" s="151">
        <v>0</v>
      </c>
      <c r="S80" s="152">
        <v>0</v>
      </c>
      <c r="T80" s="151">
        <v>0</v>
      </c>
      <c r="U80" s="153">
        <v>0</v>
      </c>
    </row>
    <row r="81" spans="1:21" x14ac:dyDescent="0.25">
      <c r="A81" s="21" t="s">
        <v>1256</v>
      </c>
      <c r="B81" s="154" t="s">
        <v>1257</v>
      </c>
      <c r="C81" s="154" t="s">
        <v>1258</v>
      </c>
      <c r="D81" s="155">
        <v>0</v>
      </c>
      <c r="E81" s="158">
        <v>0</v>
      </c>
      <c r="F81" s="155">
        <v>0</v>
      </c>
      <c r="G81" s="158">
        <v>1088</v>
      </c>
      <c r="H81" s="155">
        <v>0</v>
      </c>
      <c r="I81" s="158">
        <v>18.819390416145325</v>
      </c>
      <c r="J81" s="155">
        <v>0</v>
      </c>
      <c r="K81" s="158">
        <v>18.819390416145325</v>
      </c>
      <c r="L81" s="155">
        <v>118.97235785739031</v>
      </c>
      <c r="M81" s="158">
        <v>137.79174827353563</v>
      </c>
      <c r="N81" s="155">
        <v>0</v>
      </c>
      <c r="O81" s="158">
        <v>0</v>
      </c>
      <c r="P81" s="155">
        <v>0</v>
      </c>
      <c r="Q81" s="158">
        <v>0</v>
      </c>
      <c r="R81" s="155">
        <v>0</v>
      </c>
      <c r="S81" s="158">
        <v>0</v>
      </c>
      <c r="T81" s="155">
        <v>0</v>
      </c>
      <c r="U81" s="157">
        <v>0</v>
      </c>
    </row>
    <row r="82" spans="1:21" x14ac:dyDescent="0.25">
      <c r="A82" s="149" t="s">
        <v>565</v>
      </c>
      <c r="B82" s="150" t="s">
        <v>1259</v>
      </c>
      <c r="C82" s="150" t="s">
        <v>59</v>
      </c>
      <c r="D82" s="151">
        <v>4823</v>
      </c>
      <c r="E82" s="152">
        <v>0</v>
      </c>
      <c r="F82" s="151">
        <v>0</v>
      </c>
      <c r="G82" s="152">
        <v>0</v>
      </c>
      <c r="H82" s="151">
        <v>0</v>
      </c>
      <c r="I82" s="152">
        <v>0</v>
      </c>
      <c r="J82" s="151">
        <v>0</v>
      </c>
      <c r="K82" s="152">
        <v>0</v>
      </c>
      <c r="L82" s="151">
        <v>0</v>
      </c>
      <c r="M82" s="152">
        <v>0</v>
      </c>
      <c r="N82" s="151">
        <v>1496</v>
      </c>
      <c r="O82" s="152">
        <v>777</v>
      </c>
      <c r="P82" s="151">
        <v>2550</v>
      </c>
      <c r="Q82" s="152">
        <v>0</v>
      </c>
      <c r="R82" s="151">
        <v>0</v>
      </c>
      <c r="S82" s="152">
        <v>0</v>
      </c>
      <c r="T82" s="151">
        <v>0</v>
      </c>
      <c r="U82" s="153">
        <v>0</v>
      </c>
    </row>
    <row r="83" spans="1:21" x14ac:dyDescent="0.25">
      <c r="A83" s="21" t="s">
        <v>1260</v>
      </c>
      <c r="B83" s="154" t="s">
        <v>1261</v>
      </c>
      <c r="C83" s="154" t="s">
        <v>1262</v>
      </c>
      <c r="D83" s="155">
        <v>0</v>
      </c>
      <c r="E83" s="158">
        <v>0</v>
      </c>
      <c r="F83" s="155">
        <v>0</v>
      </c>
      <c r="G83" s="158">
        <v>715</v>
      </c>
      <c r="H83" s="155">
        <v>0</v>
      </c>
      <c r="I83" s="158">
        <v>87.740310668945313</v>
      </c>
      <c r="J83" s="155">
        <v>0</v>
      </c>
      <c r="K83" s="158">
        <v>87.740310668945313</v>
      </c>
      <c r="L83" s="155">
        <v>590.78504490852356</v>
      </c>
      <c r="M83" s="158">
        <v>678.52535557746887</v>
      </c>
      <c r="N83" s="155">
        <v>0</v>
      </c>
      <c r="O83" s="158">
        <v>0</v>
      </c>
      <c r="P83" s="155">
        <v>0</v>
      </c>
      <c r="Q83" s="158">
        <v>0</v>
      </c>
      <c r="R83" s="155">
        <v>0</v>
      </c>
      <c r="S83" s="158">
        <v>0</v>
      </c>
      <c r="T83" s="155">
        <v>0</v>
      </c>
      <c r="U83" s="157">
        <v>0</v>
      </c>
    </row>
    <row r="84" spans="1:21" x14ac:dyDescent="0.25">
      <c r="A84" s="149" t="s">
        <v>1199</v>
      </c>
      <c r="B84" s="150" t="s">
        <v>1200</v>
      </c>
      <c r="C84" s="150" t="s">
        <v>59</v>
      </c>
      <c r="D84" s="151">
        <v>9.9920072216264089E-16</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row>
    <row r="85" spans="1:21" x14ac:dyDescent="0.25">
      <c r="A85" s="21" t="s">
        <v>1194</v>
      </c>
      <c r="B85" s="154" t="s">
        <v>1287</v>
      </c>
      <c r="C85" s="154" t="s">
        <v>59</v>
      </c>
      <c r="D85" s="155">
        <v>0</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row>
    <row r="86" spans="1:21" x14ac:dyDescent="0.25">
      <c r="A86" s="149" t="s">
        <v>1291</v>
      </c>
      <c r="B86" s="150" t="s">
        <v>1292</v>
      </c>
      <c r="C86" s="150" t="s">
        <v>1293</v>
      </c>
      <c r="D86" s="151">
        <v>0</v>
      </c>
      <c r="E86" s="152">
        <v>0</v>
      </c>
      <c r="F86" s="151">
        <v>0</v>
      </c>
      <c r="G86" s="152">
        <v>13</v>
      </c>
      <c r="H86" s="151">
        <v>0</v>
      </c>
      <c r="I86" s="152">
        <v>11.104649901390076</v>
      </c>
      <c r="J86" s="151">
        <v>0</v>
      </c>
      <c r="K86" s="152">
        <v>11.104649901390076</v>
      </c>
      <c r="L86" s="151">
        <v>0</v>
      </c>
      <c r="M86" s="152">
        <v>11.104649901390076</v>
      </c>
      <c r="N86" s="151">
        <v>0</v>
      </c>
      <c r="O86" s="152">
        <v>0</v>
      </c>
      <c r="P86" s="151">
        <v>0</v>
      </c>
      <c r="Q86" s="152">
        <v>0</v>
      </c>
      <c r="R86" s="151">
        <v>0</v>
      </c>
      <c r="S86" s="152">
        <v>0</v>
      </c>
      <c r="T86" s="151">
        <v>0</v>
      </c>
      <c r="U86" s="153">
        <v>0</v>
      </c>
    </row>
    <row r="87" spans="1:21" x14ac:dyDescent="0.25">
      <c r="A87" s="21" t="s">
        <v>1196</v>
      </c>
      <c r="B87" s="154" t="s">
        <v>1197</v>
      </c>
      <c r="C87" s="154" t="s">
        <v>59</v>
      </c>
      <c r="D87" s="155">
        <v>0</v>
      </c>
      <c r="E87" s="158">
        <v>0</v>
      </c>
      <c r="F87" s="155">
        <v>0</v>
      </c>
      <c r="G87" s="158">
        <v>0</v>
      </c>
      <c r="H87" s="155">
        <v>0</v>
      </c>
      <c r="I87" s="158">
        <v>0</v>
      </c>
      <c r="J87" s="155">
        <v>0</v>
      </c>
      <c r="K87" s="158">
        <v>0</v>
      </c>
      <c r="L87" s="155">
        <v>0</v>
      </c>
      <c r="M87" s="158">
        <v>0</v>
      </c>
      <c r="N87" s="155">
        <v>0</v>
      </c>
      <c r="O87" s="158">
        <v>0</v>
      </c>
      <c r="P87" s="155">
        <v>0</v>
      </c>
      <c r="Q87" s="158">
        <v>0</v>
      </c>
      <c r="R87" s="155">
        <v>0</v>
      </c>
      <c r="S87" s="158">
        <v>0</v>
      </c>
      <c r="T87" s="155">
        <v>0</v>
      </c>
      <c r="U87" s="157">
        <v>0</v>
      </c>
    </row>
    <row r="88" spans="1:21" x14ac:dyDescent="0.25">
      <c r="A88" s="149" t="s">
        <v>1758</v>
      </c>
      <c r="B88" s="150" t="s">
        <v>1891</v>
      </c>
      <c r="C88" s="150" t="s">
        <v>1760</v>
      </c>
      <c r="D88" s="151">
        <v>0</v>
      </c>
      <c r="E88" s="152">
        <v>0</v>
      </c>
      <c r="F88" s="151">
        <v>0</v>
      </c>
      <c r="G88" s="152">
        <v>250</v>
      </c>
      <c r="H88" s="151">
        <v>0</v>
      </c>
      <c r="I88" s="152">
        <v>0</v>
      </c>
      <c r="J88" s="151">
        <v>0</v>
      </c>
      <c r="K88" s="152">
        <v>0</v>
      </c>
      <c r="L88" s="151">
        <v>0</v>
      </c>
      <c r="M88" s="152">
        <v>0</v>
      </c>
      <c r="N88" s="151">
        <v>0</v>
      </c>
      <c r="O88" s="152">
        <v>0</v>
      </c>
      <c r="P88" s="151">
        <v>0</v>
      </c>
      <c r="Q88" s="152">
        <v>0</v>
      </c>
      <c r="R88" s="151">
        <v>0</v>
      </c>
      <c r="S88" s="152">
        <v>0</v>
      </c>
      <c r="T88" s="151">
        <v>0</v>
      </c>
      <c r="U88" s="153">
        <v>0</v>
      </c>
    </row>
    <row r="89" spans="1:21" x14ac:dyDescent="0.25">
      <c r="A89" s="21" t="s">
        <v>1294</v>
      </c>
      <c r="B89" s="154" t="s">
        <v>1295</v>
      </c>
      <c r="C89" s="154" t="s">
        <v>1296</v>
      </c>
      <c r="D89" s="155">
        <v>2417</v>
      </c>
      <c r="E89" s="158">
        <v>0</v>
      </c>
      <c r="F89" s="155">
        <v>2417</v>
      </c>
      <c r="G89" s="158">
        <v>0</v>
      </c>
      <c r="H89" s="155">
        <v>13</v>
      </c>
      <c r="I89" s="158">
        <v>0</v>
      </c>
      <c r="J89" s="155">
        <v>0</v>
      </c>
      <c r="K89" s="158">
        <v>0</v>
      </c>
      <c r="L89" s="155">
        <v>0</v>
      </c>
      <c r="M89" s="158">
        <v>0</v>
      </c>
      <c r="N89" s="155">
        <v>0</v>
      </c>
      <c r="O89" s="158">
        <v>0</v>
      </c>
      <c r="P89" s="155">
        <v>0</v>
      </c>
      <c r="Q89" s="158">
        <v>0</v>
      </c>
      <c r="R89" s="155">
        <v>0</v>
      </c>
      <c r="S89" s="158">
        <v>0</v>
      </c>
      <c r="T89" s="155">
        <v>0</v>
      </c>
      <c r="U89" s="157">
        <v>0</v>
      </c>
    </row>
    <row r="90" spans="1:21" x14ac:dyDescent="0.25">
      <c r="A90" s="149" t="s">
        <v>1641</v>
      </c>
      <c r="B90" s="150" t="s">
        <v>1642</v>
      </c>
      <c r="C90" s="150" t="s">
        <v>1643</v>
      </c>
      <c r="D90" s="151">
        <v>0</v>
      </c>
      <c r="E90" s="152">
        <v>0</v>
      </c>
      <c r="F90" s="151">
        <v>0</v>
      </c>
      <c r="G90" s="152">
        <v>350</v>
      </c>
      <c r="H90" s="151">
        <v>0</v>
      </c>
      <c r="I90" s="152">
        <v>0</v>
      </c>
      <c r="J90" s="151">
        <v>0</v>
      </c>
      <c r="K90" s="152">
        <v>0</v>
      </c>
      <c r="L90" s="151">
        <v>0</v>
      </c>
      <c r="M90" s="152">
        <v>0</v>
      </c>
      <c r="N90" s="151">
        <v>0</v>
      </c>
      <c r="O90" s="152">
        <v>0</v>
      </c>
      <c r="P90" s="151">
        <v>0</v>
      </c>
      <c r="Q90" s="152">
        <v>0</v>
      </c>
      <c r="R90" s="151">
        <v>0</v>
      </c>
      <c r="S90" s="152">
        <v>0</v>
      </c>
      <c r="T90" s="151">
        <v>0</v>
      </c>
      <c r="U90" s="153">
        <v>0</v>
      </c>
    </row>
    <row r="91" spans="1:21" x14ac:dyDescent="0.25">
      <c r="A91" s="21" t="s">
        <v>1425</v>
      </c>
      <c r="B91" s="154" t="s">
        <v>1075</v>
      </c>
      <c r="C91" s="154" t="s">
        <v>1573</v>
      </c>
      <c r="D91" s="155">
        <v>0</v>
      </c>
      <c r="E91" s="158">
        <v>0</v>
      </c>
      <c r="F91" s="155">
        <v>0</v>
      </c>
      <c r="G91" s="158">
        <v>940</v>
      </c>
      <c r="H91" s="155">
        <v>0</v>
      </c>
      <c r="I91" s="158">
        <v>0</v>
      </c>
      <c r="J91" s="155">
        <v>0</v>
      </c>
      <c r="K91" s="158">
        <v>0</v>
      </c>
      <c r="L91" s="155">
        <v>362.55000305175781</v>
      </c>
      <c r="M91" s="158">
        <v>362.55000305175781</v>
      </c>
      <c r="N91" s="155">
        <v>0</v>
      </c>
      <c r="O91" s="158">
        <v>0</v>
      </c>
      <c r="P91" s="155">
        <v>0</v>
      </c>
      <c r="Q91" s="158">
        <v>0</v>
      </c>
      <c r="R91" s="155">
        <v>0</v>
      </c>
      <c r="S91" s="158">
        <v>0</v>
      </c>
      <c r="T91" s="155">
        <v>0</v>
      </c>
      <c r="U91" s="157">
        <v>0</v>
      </c>
    </row>
    <row r="92" spans="1:21" x14ac:dyDescent="0.25">
      <c r="A92" s="149" t="s">
        <v>565</v>
      </c>
      <c r="B92" s="150" t="s">
        <v>1198</v>
      </c>
      <c r="C92" s="150" t="s">
        <v>59</v>
      </c>
      <c r="D92" s="151">
        <v>11667</v>
      </c>
      <c r="E92" s="152">
        <v>0</v>
      </c>
      <c r="F92" s="151">
        <v>0</v>
      </c>
      <c r="G92" s="152">
        <v>0</v>
      </c>
      <c r="H92" s="151">
        <v>0</v>
      </c>
      <c r="I92" s="152">
        <v>0</v>
      </c>
      <c r="J92" s="151">
        <v>0</v>
      </c>
      <c r="K92" s="152">
        <v>0</v>
      </c>
      <c r="L92" s="151">
        <v>0</v>
      </c>
      <c r="M92" s="152">
        <v>0</v>
      </c>
      <c r="N92" s="151">
        <v>2235</v>
      </c>
      <c r="O92" s="152">
        <v>3005</v>
      </c>
      <c r="P92" s="151">
        <v>3898</v>
      </c>
      <c r="Q92" s="152">
        <v>2529</v>
      </c>
      <c r="R92" s="151">
        <v>0</v>
      </c>
      <c r="S92" s="152">
        <v>0</v>
      </c>
      <c r="T92" s="151">
        <v>0</v>
      </c>
      <c r="U92" s="153">
        <v>0</v>
      </c>
    </row>
    <row r="93" spans="1:21" x14ac:dyDescent="0.25">
      <c r="A93" s="21" t="s">
        <v>1570</v>
      </c>
      <c r="B93" s="154" t="s">
        <v>1590</v>
      </c>
      <c r="C93" s="154" t="s">
        <v>1591</v>
      </c>
      <c r="D93" s="155">
        <v>0</v>
      </c>
      <c r="E93" s="158">
        <v>0</v>
      </c>
      <c r="F93" s="155">
        <v>0</v>
      </c>
      <c r="G93" s="158">
        <v>254</v>
      </c>
      <c r="H93" s="155">
        <v>0</v>
      </c>
      <c r="I93" s="158">
        <v>0</v>
      </c>
      <c r="J93" s="155">
        <v>0</v>
      </c>
      <c r="K93" s="158">
        <v>0</v>
      </c>
      <c r="L93" s="155">
        <v>176.8059983253479</v>
      </c>
      <c r="M93" s="158">
        <v>176.8059983253479</v>
      </c>
      <c r="N93" s="155">
        <v>0</v>
      </c>
      <c r="O93" s="158">
        <v>0</v>
      </c>
      <c r="P93" s="155">
        <v>0</v>
      </c>
      <c r="Q93" s="158">
        <v>0</v>
      </c>
      <c r="R93" s="155">
        <v>0</v>
      </c>
      <c r="S93" s="158">
        <v>0</v>
      </c>
      <c r="T93" s="155">
        <v>0</v>
      </c>
      <c r="U93" s="157">
        <v>0</v>
      </c>
    </row>
    <row r="94" spans="1:21" x14ac:dyDescent="0.25">
      <c r="A94" s="149" t="s">
        <v>1199</v>
      </c>
      <c r="B94" s="150" t="s">
        <v>1200</v>
      </c>
      <c r="C94" s="150" t="s">
        <v>59</v>
      </c>
      <c r="D94" s="151">
        <v>0</v>
      </c>
      <c r="E94" s="152">
        <v>0</v>
      </c>
      <c r="F94" s="151">
        <v>0</v>
      </c>
      <c r="G94" s="152">
        <v>0</v>
      </c>
      <c r="H94" s="151">
        <v>0</v>
      </c>
      <c r="I94" s="152">
        <v>0</v>
      </c>
      <c r="J94" s="151">
        <v>0</v>
      </c>
      <c r="K94" s="152">
        <v>0</v>
      </c>
      <c r="L94" s="151">
        <v>0</v>
      </c>
      <c r="M94" s="152">
        <v>0</v>
      </c>
      <c r="N94" s="151">
        <v>0</v>
      </c>
      <c r="O94" s="152">
        <v>0</v>
      </c>
      <c r="P94" s="151">
        <v>0</v>
      </c>
      <c r="Q94" s="152">
        <v>0</v>
      </c>
      <c r="R94" s="151">
        <v>0</v>
      </c>
      <c r="S94" s="152">
        <v>0</v>
      </c>
      <c r="T94" s="151">
        <v>0</v>
      </c>
      <c r="U94" s="153">
        <v>0</v>
      </c>
    </row>
    <row r="95" spans="1:21" x14ac:dyDescent="0.25">
      <c r="A95" s="21" t="s">
        <v>1194</v>
      </c>
      <c r="B95" s="154" t="s">
        <v>1195</v>
      </c>
      <c r="C95" s="154" t="s">
        <v>59</v>
      </c>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row>
    <row r="96" spans="1:21" x14ac:dyDescent="0.25">
      <c r="A96" s="149" t="s">
        <v>1157</v>
      </c>
      <c r="B96" s="150" t="s">
        <v>1300</v>
      </c>
      <c r="C96" s="150" t="s">
        <v>1158</v>
      </c>
      <c r="D96" s="151">
        <v>0</v>
      </c>
      <c r="E96" s="152">
        <v>0</v>
      </c>
      <c r="F96" s="151">
        <v>0</v>
      </c>
      <c r="G96" s="152">
        <v>56</v>
      </c>
      <c r="H96" s="151">
        <v>0</v>
      </c>
      <c r="I96" s="152">
        <v>54.296999216079712</v>
      </c>
      <c r="J96" s="151">
        <v>0</v>
      </c>
      <c r="K96" s="152">
        <v>54.296999216079712</v>
      </c>
      <c r="L96" s="151">
        <v>0</v>
      </c>
      <c r="M96" s="152">
        <v>54.296999216079712</v>
      </c>
      <c r="N96" s="151">
        <v>0</v>
      </c>
      <c r="O96" s="152">
        <v>0</v>
      </c>
      <c r="P96" s="151">
        <v>0</v>
      </c>
      <c r="Q96" s="152">
        <v>0</v>
      </c>
      <c r="R96" s="151">
        <v>0</v>
      </c>
      <c r="S96" s="152">
        <v>0</v>
      </c>
      <c r="T96" s="151">
        <v>0</v>
      </c>
      <c r="U96" s="153">
        <v>0</v>
      </c>
    </row>
    <row r="97" spans="1:21" x14ac:dyDescent="0.25">
      <c r="A97" s="21" t="s">
        <v>1662</v>
      </c>
      <c r="B97" s="154" t="s">
        <v>1745</v>
      </c>
      <c r="C97" s="154" t="s">
        <v>1663</v>
      </c>
      <c r="D97" s="155">
        <v>0</v>
      </c>
      <c r="E97" s="158">
        <v>0</v>
      </c>
      <c r="F97" s="155">
        <v>0</v>
      </c>
      <c r="G97" s="158">
        <v>59</v>
      </c>
      <c r="H97" s="155">
        <v>0</v>
      </c>
      <c r="I97" s="158">
        <v>0</v>
      </c>
      <c r="J97" s="155">
        <v>0</v>
      </c>
      <c r="K97" s="158">
        <v>0</v>
      </c>
      <c r="L97" s="155">
        <v>59</v>
      </c>
      <c r="M97" s="158">
        <v>59</v>
      </c>
      <c r="N97" s="155">
        <v>0</v>
      </c>
      <c r="O97" s="158">
        <v>0</v>
      </c>
      <c r="P97" s="155">
        <v>0</v>
      </c>
      <c r="Q97" s="158">
        <v>0</v>
      </c>
      <c r="R97" s="155">
        <v>0</v>
      </c>
      <c r="S97" s="158">
        <v>0</v>
      </c>
      <c r="T97" s="155">
        <v>0</v>
      </c>
      <c r="U97" s="157">
        <v>0</v>
      </c>
    </row>
    <row r="98" spans="1:21" x14ac:dyDescent="0.25">
      <c r="A98" s="149" t="s">
        <v>1196</v>
      </c>
      <c r="B98" s="150" t="s">
        <v>1197</v>
      </c>
      <c r="C98" s="150" t="s">
        <v>59</v>
      </c>
      <c r="D98" s="151">
        <v>0</v>
      </c>
      <c r="E98" s="152">
        <v>0</v>
      </c>
      <c r="F98" s="151">
        <v>0</v>
      </c>
      <c r="G98" s="152">
        <v>0</v>
      </c>
      <c r="H98" s="151">
        <v>0</v>
      </c>
      <c r="I98" s="152">
        <v>0</v>
      </c>
      <c r="J98" s="151">
        <v>0</v>
      </c>
      <c r="K98" s="152">
        <v>0</v>
      </c>
      <c r="L98" s="151">
        <v>0</v>
      </c>
      <c r="M98" s="152">
        <v>0</v>
      </c>
      <c r="N98" s="151">
        <v>0</v>
      </c>
      <c r="O98" s="152">
        <v>0</v>
      </c>
      <c r="P98" s="151">
        <v>0</v>
      </c>
      <c r="Q98" s="152">
        <v>0</v>
      </c>
      <c r="R98" s="151">
        <v>0</v>
      </c>
      <c r="S98" s="152">
        <v>0</v>
      </c>
      <c r="T98" s="151">
        <v>0</v>
      </c>
      <c r="U98" s="153">
        <v>0</v>
      </c>
    </row>
    <row r="99" spans="1:21" x14ac:dyDescent="0.25">
      <c r="A99" s="21" t="s">
        <v>1759</v>
      </c>
      <c r="B99" s="154" t="s">
        <v>1892</v>
      </c>
      <c r="C99" s="154" t="s">
        <v>1761</v>
      </c>
      <c r="D99" s="155">
        <v>0</v>
      </c>
      <c r="E99" s="158">
        <v>0</v>
      </c>
      <c r="F99" s="155">
        <v>0</v>
      </c>
      <c r="G99" s="158">
        <v>125</v>
      </c>
      <c r="H99" s="155">
        <v>0</v>
      </c>
      <c r="I99" s="158">
        <v>0</v>
      </c>
      <c r="J99" s="155">
        <v>0</v>
      </c>
      <c r="K99" s="158">
        <v>0</v>
      </c>
      <c r="L99" s="155">
        <v>0</v>
      </c>
      <c r="M99" s="158">
        <v>0</v>
      </c>
      <c r="N99" s="155">
        <v>0</v>
      </c>
      <c r="O99" s="158">
        <v>0</v>
      </c>
      <c r="P99" s="155">
        <v>0</v>
      </c>
      <c r="Q99" s="158">
        <v>0</v>
      </c>
      <c r="R99" s="155">
        <v>0</v>
      </c>
      <c r="S99" s="158">
        <v>0</v>
      </c>
      <c r="T99" s="155">
        <v>0</v>
      </c>
      <c r="U99" s="157">
        <v>0</v>
      </c>
    </row>
    <row r="100" spans="1:21" x14ac:dyDescent="0.25">
      <c r="A100" s="149" t="s">
        <v>1161</v>
      </c>
      <c r="B100" s="150" t="s">
        <v>1301</v>
      </c>
      <c r="C100" s="150" t="s">
        <v>1302</v>
      </c>
      <c r="D100" s="151">
        <v>0</v>
      </c>
      <c r="E100" s="152">
        <v>0</v>
      </c>
      <c r="F100" s="151">
        <v>0</v>
      </c>
      <c r="G100" s="152">
        <v>9</v>
      </c>
      <c r="H100" s="151">
        <v>0</v>
      </c>
      <c r="I100" s="152">
        <v>8.2119101285934448</v>
      </c>
      <c r="J100" s="151">
        <v>0</v>
      </c>
      <c r="K100" s="152">
        <v>8.2119101285934448</v>
      </c>
      <c r="L100" s="151">
        <v>0</v>
      </c>
      <c r="M100" s="152">
        <v>8.2119101285934448</v>
      </c>
      <c r="N100" s="151">
        <v>0</v>
      </c>
      <c r="O100" s="152">
        <v>0</v>
      </c>
      <c r="P100" s="151">
        <v>0</v>
      </c>
      <c r="Q100" s="152">
        <v>0</v>
      </c>
      <c r="R100" s="151">
        <v>0</v>
      </c>
      <c r="S100" s="152">
        <v>0</v>
      </c>
      <c r="T100" s="151">
        <v>0</v>
      </c>
      <c r="U100" s="153">
        <v>0</v>
      </c>
    </row>
    <row r="101" spans="1:21" x14ac:dyDescent="0.25">
      <c r="A101" s="21" t="s">
        <v>1303</v>
      </c>
      <c r="B101" s="154" t="s">
        <v>1304</v>
      </c>
      <c r="C101" s="154" t="s">
        <v>1517</v>
      </c>
      <c r="D101" s="155">
        <v>5812</v>
      </c>
      <c r="E101" s="158">
        <v>0</v>
      </c>
      <c r="F101" s="155">
        <v>2891</v>
      </c>
      <c r="G101" s="158">
        <v>0</v>
      </c>
      <c r="H101" s="155">
        <v>93</v>
      </c>
      <c r="I101" s="158">
        <v>0</v>
      </c>
      <c r="J101" s="155">
        <v>0</v>
      </c>
      <c r="K101" s="158">
        <v>0</v>
      </c>
      <c r="L101" s="155">
        <v>0</v>
      </c>
      <c r="M101" s="158">
        <v>0</v>
      </c>
      <c r="N101" s="155">
        <v>1547</v>
      </c>
      <c r="O101" s="158">
        <v>1374</v>
      </c>
      <c r="P101" s="155">
        <v>0</v>
      </c>
      <c r="Q101" s="158">
        <v>0</v>
      </c>
      <c r="R101" s="155">
        <v>0</v>
      </c>
      <c r="S101" s="158">
        <v>0</v>
      </c>
      <c r="T101" s="155">
        <v>0</v>
      </c>
      <c r="U101" s="157">
        <v>0</v>
      </c>
    </row>
    <row r="102" spans="1:21" x14ac:dyDescent="0.25">
      <c r="A102" s="149" t="s">
        <v>1613</v>
      </c>
      <c r="B102" s="150" t="s">
        <v>60</v>
      </c>
      <c r="C102" s="150" t="s">
        <v>1614</v>
      </c>
      <c r="D102" s="151">
        <v>0</v>
      </c>
      <c r="E102" s="152">
        <v>0</v>
      </c>
      <c r="F102" s="151">
        <v>0</v>
      </c>
      <c r="G102" s="152">
        <v>479</v>
      </c>
      <c r="H102" s="151">
        <v>0</v>
      </c>
      <c r="I102" s="152">
        <v>0</v>
      </c>
      <c r="J102" s="151">
        <v>0</v>
      </c>
      <c r="K102" s="152">
        <v>0</v>
      </c>
      <c r="L102" s="151">
        <v>340.75991821289062</v>
      </c>
      <c r="M102" s="152">
        <v>340.75991821289062</v>
      </c>
      <c r="N102" s="151">
        <v>0</v>
      </c>
      <c r="O102" s="152">
        <v>0</v>
      </c>
      <c r="P102" s="151">
        <v>0</v>
      </c>
      <c r="Q102" s="152">
        <v>0</v>
      </c>
      <c r="R102" s="151">
        <v>0</v>
      </c>
      <c r="S102" s="152">
        <v>0</v>
      </c>
      <c r="T102" s="151">
        <v>0</v>
      </c>
      <c r="U102" s="153">
        <v>0</v>
      </c>
    </row>
    <row r="103" spans="1:21" x14ac:dyDescent="0.25">
      <c r="A103" s="21" t="s">
        <v>1672</v>
      </c>
      <c r="B103" s="154" t="s">
        <v>1823</v>
      </c>
      <c r="C103" s="154" t="s">
        <v>1824</v>
      </c>
      <c r="D103" s="155">
        <v>0</v>
      </c>
      <c r="E103" s="158">
        <v>0</v>
      </c>
      <c r="F103" s="155">
        <v>0</v>
      </c>
      <c r="G103" s="158">
        <v>81</v>
      </c>
      <c r="H103" s="155">
        <v>0</v>
      </c>
      <c r="I103" s="158">
        <v>0</v>
      </c>
      <c r="J103" s="155">
        <v>0</v>
      </c>
      <c r="K103" s="158">
        <v>0</v>
      </c>
      <c r="L103" s="155">
        <v>0</v>
      </c>
      <c r="M103" s="158">
        <v>0</v>
      </c>
      <c r="N103" s="155">
        <v>0</v>
      </c>
      <c r="O103" s="158">
        <v>0</v>
      </c>
      <c r="P103" s="155">
        <v>0</v>
      </c>
      <c r="Q103" s="158">
        <v>0</v>
      </c>
      <c r="R103" s="155">
        <v>0</v>
      </c>
      <c r="S103" s="158">
        <v>0</v>
      </c>
      <c r="T103" s="155">
        <v>0</v>
      </c>
      <c r="U103" s="157">
        <v>0</v>
      </c>
    </row>
    <row r="104" spans="1:21" x14ac:dyDescent="0.25">
      <c r="A104" s="149" t="s">
        <v>565</v>
      </c>
      <c r="B104" s="150" t="s">
        <v>1198</v>
      </c>
      <c r="C104" s="150" t="s">
        <v>59</v>
      </c>
      <c r="D104" s="151">
        <v>31271</v>
      </c>
      <c r="E104" s="152">
        <v>0</v>
      </c>
      <c r="F104" s="151">
        <v>0</v>
      </c>
      <c r="G104" s="152">
        <v>0</v>
      </c>
      <c r="H104" s="151">
        <v>0</v>
      </c>
      <c r="I104" s="152">
        <v>0</v>
      </c>
      <c r="J104" s="151">
        <v>0</v>
      </c>
      <c r="K104" s="152">
        <v>0</v>
      </c>
      <c r="L104" s="151">
        <v>0</v>
      </c>
      <c r="M104" s="152">
        <v>0</v>
      </c>
      <c r="N104" s="151">
        <v>7156</v>
      </c>
      <c r="O104" s="152">
        <v>8462</v>
      </c>
      <c r="P104" s="151">
        <v>9596</v>
      </c>
      <c r="Q104" s="152">
        <v>6057</v>
      </c>
      <c r="R104" s="151">
        <v>0</v>
      </c>
      <c r="S104" s="152">
        <v>0</v>
      </c>
      <c r="T104" s="151">
        <v>0</v>
      </c>
      <c r="U104" s="153">
        <v>0</v>
      </c>
    </row>
    <row r="105" spans="1:21" x14ac:dyDescent="0.25">
      <c r="A105" s="21" t="s">
        <v>1518</v>
      </c>
      <c r="B105" s="154" t="s">
        <v>1519</v>
      </c>
      <c r="C105" s="154" t="s">
        <v>1520</v>
      </c>
      <c r="D105" s="155">
        <v>0</v>
      </c>
      <c r="E105" s="158">
        <v>0</v>
      </c>
      <c r="F105" s="155">
        <v>0</v>
      </c>
      <c r="G105" s="158">
        <v>513</v>
      </c>
      <c r="H105" s="155">
        <v>0</v>
      </c>
      <c r="I105" s="158">
        <v>0</v>
      </c>
      <c r="J105" s="155">
        <v>0</v>
      </c>
      <c r="K105" s="158">
        <v>0</v>
      </c>
      <c r="L105" s="155">
        <v>115.85500335693359</v>
      </c>
      <c r="M105" s="158">
        <v>115.85500335693359</v>
      </c>
      <c r="N105" s="155">
        <v>0</v>
      </c>
      <c r="O105" s="158">
        <v>0</v>
      </c>
      <c r="P105" s="155">
        <v>0</v>
      </c>
      <c r="Q105" s="158">
        <v>0</v>
      </c>
      <c r="R105" s="155">
        <v>0</v>
      </c>
      <c r="S105" s="158">
        <v>0</v>
      </c>
      <c r="T105" s="155">
        <v>0</v>
      </c>
      <c r="U105" s="157">
        <v>0</v>
      </c>
    </row>
    <row r="106" spans="1:21" x14ac:dyDescent="0.25">
      <c r="A106" s="149" t="s">
        <v>1153</v>
      </c>
      <c r="B106" s="150" t="s">
        <v>472</v>
      </c>
      <c r="C106" s="150" t="s">
        <v>1306</v>
      </c>
      <c r="D106" s="151">
        <v>0</v>
      </c>
      <c r="E106" s="152">
        <v>0</v>
      </c>
      <c r="F106" s="151">
        <v>0</v>
      </c>
      <c r="G106" s="152">
        <v>52</v>
      </c>
      <c r="H106" s="151">
        <v>0</v>
      </c>
      <c r="I106" s="152">
        <v>0</v>
      </c>
      <c r="J106" s="151">
        <v>0</v>
      </c>
      <c r="K106" s="152">
        <v>0</v>
      </c>
      <c r="L106" s="151">
        <v>51</v>
      </c>
      <c r="M106" s="152">
        <v>51</v>
      </c>
      <c r="N106" s="151">
        <v>0</v>
      </c>
      <c r="O106" s="152">
        <v>0</v>
      </c>
      <c r="P106" s="151">
        <v>0</v>
      </c>
      <c r="Q106" s="152">
        <v>0</v>
      </c>
      <c r="R106" s="151">
        <v>0</v>
      </c>
      <c r="S106" s="152">
        <v>0</v>
      </c>
      <c r="T106" s="151">
        <v>0</v>
      </c>
      <c r="U106" s="153">
        <v>0</v>
      </c>
    </row>
    <row r="107" spans="1:21" x14ac:dyDescent="0.25">
      <c r="A107" s="21" t="s">
        <v>1152</v>
      </c>
      <c r="B107" s="154" t="s">
        <v>1585</v>
      </c>
      <c r="C107" s="154" t="s">
        <v>1486</v>
      </c>
      <c r="D107" s="155">
        <v>0</v>
      </c>
      <c r="E107" s="158">
        <v>0</v>
      </c>
      <c r="F107" s="155">
        <v>0</v>
      </c>
      <c r="G107" s="158">
        <v>24</v>
      </c>
      <c r="H107" s="155">
        <v>0</v>
      </c>
      <c r="I107" s="158">
        <v>0</v>
      </c>
      <c r="J107" s="155">
        <v>0</v>
      </c>
      <c r="K107" s="158">
        <v>0</v>
      </c>
      <c r="L107" s="155">
        <v>0</v>
      </c>
      <c r="M107" s="158">
        <v>0</v>
      </c>
      <c r="N107" s="155">
        <v>0</v>
      </c>
      <c r="O107" s="158">
        <v>0</v>
      </c>
      <c r="P107" s="155">
        <v>0</v>
      </c>
      <c r="Q107" s="158">
        <v>0</v>
      </c>
      <c r="R107" s="155">
        <v>0</v>
      </c>
      <c r="S107" s="158">
        <v>0</v>
      </c>
      <c r="T107" s="155">
        <v>0</v>
      </c>
      <c r="U107" s="157">
        <v>0</v>
      </c>
    </row>
    <row r="108" spans="1:21" x14ac:dyDescent="0.25">
      <c r="A108" s="149" t="s">
        <v>1534</v>
      </c>
      <c r="B108" s="150" t="s">
        <v>1586</v>
      </c>
      <c r="C108" s="150" t="s">
        <v>1535</v>
      </c>
      <c r="D108" s="151">
        <v>0</v>
      </c>
      <c r="E108" s="152">
        <v>0</v>
      </c>
      <c r="F108" s="151">
        <v>0</v>
      </c>
      <c r="G108" s="152">
        <v>153</v>
      </c>
      <c r="H108" s="151">
        <v>0</v>
      </c>
      <c r="I108" s="152">
        <v>12.800000190734863</v>
      </c>
      <c r="J108" s="151">
        <v>0</v>
      </c>
      <c r="K108" s="152">
        <v>12.800000190734863</v>
      </c>
      <c r="L108" s="151">
        <v>58.07765007019043</v>
      </c>
      <c r="M108" s="152">
        <v>70.877650260925293</v>
      </c>
      <c r="N108" s="151">
        <v>0</v>
      </c>
      <c r="O108" s="152">
        <v>0</v>
      </c>
      <c r="P108" s="151">
        <v>0</v>
      </c>
      <c r="Q108" s="152">
        <v>0</v>
      </c>
      <c r="R108" s="151">
        <v>0</v>
      </c>
      <c r="S108" s="152">
        <v>0</v>
      </c>
      <c r="T108" s="151">
        <v>0</v>
      </c>
      <c r="U108" s="153">
        <v>0</v>
      </c>
    </row>
    <row r="109" spans="1:21" x14ac:dyDescent="0.25">
      <c r="A109" s="21" t="s">
        <v>1619</v>
      </c>
      <c r="B109" s="154" t="s">
        <v>1644</v>
      </c>
      <c r="C109" s="154" t="s">
        <v>1620</v>
      </c>
      <c r="D109" s="155">
        <v>0</v>
      </c>
      <c r="E109" s="158">
        <v>0</v>
      </c>
      <c r="F109" s="155">
        <v>0</v>
      </c>
      <c r="G109" s="158">
        <v>23</v>
      </c>
      <c r="H109" s="155">
        <v>0</v>
      </c>
      <c r="I109" s="158">
        <v>0</v>
      </c>
      <c r="J109" s="155">
        <v>0</v>
      </c>
      <c r="K109" s="158">
        <v>0</v>
      </c>
      <c r="L109" s="155">
        <v>0</v>
      </c>
      <c r="M109" s="158">
        <v>0</v>
      </c>
      <c r="N109" s="155">
        <v>0</v>
      </c>
      <c r="O109" s="158">
        <v>0</v>
      </c>
      <c r="P109" s="155">
        <v>0</v>
      </c>
      <c r="Q109" s="158">
        <v>0</v>
      </c>
      <c r="R109" s="155">
        <v>0</v>
      </c>
      <c r="S109" s="158">
        <v>0</v>
      </c>
      <c r="T109" s="155">
        <v>0</v>
      </c>
      <c r="U109" s="157">
        <v>0</v>
      </c>
    </row>
    <row r="110" spans="1:21" x14ac:dyDescent="0.25">
      <c r="A110" s="149" t="s">
        <v>1654</v>
      </c>
      <c r="B110" s="150" t="s">
        <v>1825</v>
      </c>
      <c r="C110" s="150" t="s">
        <v>1655</v>
      </c>
      <c r="D110" s="151">
        <v>0</v>
      </c>
      <c r="E110" s="152">
        <v>0</v>
      </c>
      <c r="F110" s="151">
        <v>0</v>
      </c>
      <c r="G110" s="152">
        <v>1209</v>
      </c>
      <c r="H110" s="151">
        <v>0</v>
      </c>
      <c r="I110" s="152">
        <v>0</v>
      </c>
      <c r="J110" s="151">
        <v>0</v>
      </c>
      <c r="K110" s="152">
        <v>0</v>
      </c>
      <c r="L110" s="151">
        <v>0</v>
      </c>
      <c r="M110" s="152">
        <v>0</v>
      </c>
      <c r="N110" s="151">
        <v>0</v>
      </c>
      <c r="O110" s="152">
        <v>0</v>
      </c>
      <c r="P110" s="151">
        <v>0</v>
      </c>
      <c r="Q110" s="152">
        <v>0</v>
      </c>
      <c r="R110" s="151">
        <v>0</v>
      </c>
      <c r="S110" s="152">
        <v>0</v>
      </c>
      <c r="T110" s="151">
        <v>0</v>
      </c>
      <c r="U110" s="153">
        <v>0</v>
      </c>
    </row>
    <row r="111" spans="1:21" x14ac:dyDescent="0.25">
      <c r="A111" s="21" t="s">
        <v>1657</v>
      </c>
      <c r="B111" s="154" t="s">
        <v>1659</v>
      </c>
      <c r="C111" s="154" t="s">
        <v>1658</v>
      </c>
      <c r="D111" s="155">
        <v>0</v>
      </c>
      <c r="E111" s="158">
        <v>0</v>
      </c>
      <c r="F111" s="155">
        <v>0</v>
      </c>
      <c r="G111" s="158">
        <v>16</v>
      </c>
      <c r="H111" s="155">
        <v>0</v>
      </c>
      <c r="I111" s="158">
        <v>0</v>
      </c>
      <c r="J111" s="155">
        <v>0</v>
      </c>
      <c r="K111" s="158">
        <v>0</v>
      </c>
      <c r="L111" s="155">
        <v>0</v>
      </c>
      <c r="M111" s="158">
        <v>0</v>
      </c>
      <c r="N111" s="155">
        <v>0</v>
      </c>
      <c r="O111" s="158">
        <v>0</v>
      </c>
      <c r="P111" s="155">
        <v>0</v>
      </c>
      <c r="Q111" s="158">
        <v>0</v>
      </c>
      <c r="R111" s="155">
        <v>0</v>
      </c>
      <c r="S111" s="158">
        <v>0</v>
      </c>
      <c r="T111" s="155">
        <v>0</v>
      </c>
      <c r="U111" s="157">
        <v>0</v>
      </c>
    </row>
    <row r="112" spans="1:21" x14ac:dyDescent="0.25">
      <c r="A112" s="149" t="s">
        <v>1199</v>
      </c>
      <c r="B112" s="150" t="s">
        <v>1200</v>
      </c>
      <c r="C112" s="150" t="s">
        <v>59</v>
      </c>
      <c r="D112" s="151">
        <v>3368.5</v>
      </c>
      <c r="E112" s="152">
        <v>0</v>
      </c>
      <c r="F112" s="151">
        <v>0</v>
      </c>
      <c r="G112" s="152">
        <v>0</v>
      </c>
      <c r="H112" s="151">
        <v>0</v>
      </c>
      <c r="I112" s="152">
        <v>0</v>
      </c>
      <c r="J112" s="151">
        <v>0</v>
      </c>
      <c r="K112" s="152">
        <v>0</v>
      </c>
      <c r="L112" s="151">
        <v>0</v>
      </c>
      <c r="M112" s="152">
        <v>0</v>
      </c>
      <c r="N112" s="151">
        <v>0</v>
      </c>
      <c r="O112" s="152">
        <v>0</v>
      </c>
      <c r="P112" s="151">
        <v>0</v>
      </c>
      <c r="Q112" s="152">
        <v>0</v>
      </c>
      <c r="R112" s="151">
        <v>0</v>
      </c>
      <c r="S112" s="152">
        <v>0</v>
      </c>
      <c r="T112" s="151">
        <v>0</v>
      </c>
      <c r="U112" s="153">
        <v>0</v>
      </c>
    </row>
    <row r="113" spans="1:21" x14ac:dyDescent="0.25">
      <c r="A113" s="21" t="s">
        <v>1538</v>
      </c>
      <c r="B113" s="154" t="s">
        <v>1549</v>
      </c>
      <c r="C113" s="154" t="s">
        <v>1539</v>
      </c>
      <c r="D113" s="155">
        <v>0</v>
      </c>
      <c r="E113" s="158">
        <v>0</v>
      </c>
      <c r="F113" s="155">
        <v>0</v>
      </c>
      <c r="G113" s="158">
        <v>20</v>
      </c>
      <c r="H113" s="155">
        <v>0</v>
      </c>
      <c r="I113" s="158">
        <v>0</v>
      </c>
      <c r="J113" s="155">
        <v>0</v>
      </c>
      <c r="K113" s="158">
        <v>0</v>
      </c>
      <c r="L113" s="155">
        <v>7.810999870300293</v>
      </c>
      <c r="M113" s="158">
        <v>7.810999870300293</v>
      </c>
      <c r="N113" s="155">
        <v>0</v>
      </c>
      <c r="O113" s="158">
        <v>0</v>
      </c>
      <c r="P113" s="155">
        <v>0</v>
      </c>
      <c r="Q113" s="158">
        <v>0</v>
      </c>
      <c r="R113" s="155">
        <v>0</v>
      </c>
      <c r="S113" s="158">
        <v>0</v>
      </c>
      <c r="T113" s="155">
        <v>0</v>
      </c>
      <c r="U113" s="157">
        <v>0</v>
      </c>
    </row>
    <row r="114" spans="1:21" x14ac:dyDescent="0.25">
      <c r="A114" s="149" t="s">
        <v>1194</v>
      </c>
      <c r="B114" s="150" t="s">
        <v>1307</v>
      </c>
      <c r="C114" s="150" t="s">
        <v>59</v>
      </c>
      <c r="D114" s="151">
        <v>0</v>
      </c>
      <c r="E114" s="152">
        <v>0</v>
      </c>
      <c r="F114" s="151">
        <v>0</v>
      </c>
      <c r="G114" s="152">
        <v>0</v>
      </c>
      <c r="H114" s="151">
        <v>0</v>
      </c>
      <c r="I114" s="152">
        <v>0</v>
      </c>
      <c r="J114" s="151">
        <v>0</v>
      </c>
      <c r="K114" s="152">
        <v>0</v>
      </c>
      <c r="L114" s="151">
        <v>0</v>
      </c>
      <c r="M114" s="152">
        <v>0</v>
      </c>
      <c r="N114" s="151">
        <v>0</v>
      </c>
      <c r="O114" s="152">
        <v>0</v>
      </c>
      <c r="P114" s="151">
        <v>0</v>
      </c>
      <c r="Q114" s="152">
        <v>0</v>
      </c>
      <c r="R114" s="151">
        <v>0</v>
      </c>
      <c r="S114" s="152">
        <v>0</v>
      </c>
      <c r="T114" s="151">
        <v>0</v>
      </c>
      <c r="U114" s="153">
        <v>0</v>
      </c>
    </row>
    <row r="115" spans="1:21" x14ac:dyDescent="0.25">
      <c r="A115" s="21" t="s">
        <v>1196</v>
      </c>
      <c r="B115" s="154" t="s">
        <v>1197</v>
      </c>
      <c r="C115" s="154" t="s">
        <v>59</v>
      </c>
      <c r="D115" s="155">
        <v>0</v>
      </c>
      <c r="E115" s="158">
        <v>0</v>
      </c>
      <c r="F115" s="155">
        <v>0</v>
      </c>
      <c r="G115" s="158">
        <v>0</v>
      </c>
      <c r="H115" s="155">
        <v>0</v>
      </c>
      <c r="I115" s="158">
        <v>0</v>
      </c>
      <c r="J115" s="155">
        <v>0</v>
      </c>
      <c r="K115" s="158">
        <v>0</v>
      </c>
      <c r="L115" s="155">
        <v>0</v>
      </c>
      <c r="M115" s="158">
        <v>0</v>
      </c>
      <c r="N115" s="155">
        <v>0</v>
      </c>
      <c r="O115" s="158">
        <v>0</v>
      </c>
      <c r="P115" s="155">
        <v>0</v>
      </c>
      <c r="Q115" s="158">
        <v>0</v>
      </c>
      <c r="R115" s="155">
        <v>0</v>
      </c>
      <c r="S115" s="158">
        <v>0</v>
      </c>
      <c r="T115" s="155">
        <v>0</v>
      </c>
      <c r="U115" s="157">
        <v>0</v>
      </c>
    </row>
    <row r="116" spans="1:21" x14ac:dyDescent="0.25">
      <c r="A116" s="149" t="s">
        <v>565</v>
      </c>
      <c r="B116" s="150" t="s">
        <v>1198</v>
      </c>
      <c r="C116" s="150" t="s">
        <v>59</v>
      </c>
      <c r="D116" s="151">
        <v>30451</v>
      </c>
      <c r="E116" s="152">
        <v>0</v>
      </c>
      <c r="F116" s="151">
        <v>0</v>
      </c>
      <c r="G116" s="152">
        <v>0</v>
      </c>
      <c r="H116" s="151">
        <v>0</v>
      </c>
      <c r="I116" s="152">
        <v>0</v>
      </c>
      <c r="J116" s="151">
        <v>0</v>
      </c>
      <c r="K116" s="152">
        <v>0</v>
      </c>
      <c r="L116" s="151">
        <v>0</v>
      </c>
      <c r="M116" s="152">
        <v>0</v>
      </c>
      <c r="N116" s="151">
        <v>5203</v>
      </c>
      <c r="O116" s="152">
        <v>8313</v>
      </c>
      <c r="P116" s="151">
        <v>9847</v>
      </c>
      <c r="Q116" s="152">
        <v>7088</v>
      </c>
      <c r="R116" s="151">
        <v>0</v>
      </c>
      <c r="S116" s="152">
        <v>0</v>
      </c>
      <c r="T116" s="151">
        <v>0</v>
      </c>
      <c r="U116" s="153">
        <v>0</v>
      </c>
    </row>
    <row r="117" spans="1:21" x14ac:dyDescent="0.25">
      <c r="A117" s="21" t="s">
        <v>1199</v>
      </c>
      <c r="B117" s="154" t="s">
        <v>1200</v>
      </c>
      <c r="C117" s="154" t="s">
        <v>59</v>
      </c>
      <c r="D117" s="155">
        <v>-1</v>
      </c>
      <c r="E117" s="158">
        <v>0</v>
      </c>
      <c r="F117" s="155">
        <v>0</v>
      </c>
      <c r="G117" s="158">
        <v>0</v>
      </c>
      <c r="H117" s="155">
        <v>0</v>
      </c>
      <c r="I117" s="158">
        <v>0</v>
      </c>
      <c r="J117" s="155">
        <v>0</v>
      </c>
      <c r="K117" s="158">
        <v>0</v>
      </c>
      <c r="L117" s="155">
        <v>0</v>
      </c>
      <c r="M117" s="158">
        <v>0</v>
      </c>
      <c r="N117" s="155">
        <v>0</v>
      </c>
      <c r="O117" s="158">
        <v>0</v>
      </c>
      <c r="P117" s="155">
        <v>0</v>
      </c>
      <c r="Q117" s="158">
        <v>0</v>
      </c>
      <c r="R117" s="155">
        <v>0</v>
      </c>
      <c r="S117" s="158">
        <v>0</v>
      </c>
      <c r="T117" s="155">
        <v>0</v>
      </c>
      <c r="U117" s="157">
        <v>0</v>
      </c>
    </row>
    <row r="118" spans="1:21" x14ac:dyDescent="0.25">
      <c r="A118" s="149" t="s">
        <v>1308</v>
      </c>
      <c r="B118" s="150" t="s">
        <v>1309</v>
      </c>
      <c r="C118" s="150" t="s">
        <v>1310</v>
      </c>
      <c r="D118" s="151">
        <v>4112</v>
      </c>
      <c r="E118" s="152">
        <v>0</v>
      </c>
      <c r="F118" s="151">
        <v>4112</v>
      </c>
      <c r="G118" s="152">
        <v>0</v>
      </c>
      <c r="H118" s="151">
        <v>367</v>
      </c>
      <c r="I118" s="152">
        <v>0</v>
      </c>
      <c r="J118" s="151">
        <v>0</v>
      </c>
      <c r="K118" s="152">
        <v>0</v>
      </c>
      <c r="L118" s="151">
        <v>0</v>
      </c>
      <c r="M118" s="152">
        <v>0</v>
      </c>
      <c r="N118" s="151">
        <v>0</v>
      </c>
      <c r="O118" s="152">
        <v>0</v>
      </c>
      <c r="P118" s="151">
        <v>0</v>
      </c>
      <c r="Q118" s="152">
        <v>0</v>
      </c>
      <c r="R118" s="151">
        <v>0</v>
      </c>
      <c r="S118" s="152">
        <v>0</v>
      </c>
      <c r="T118" s="151">
        <v>0</v>
      </c>
      <c r="U118" s="153">
        <v>0</v>
      </c>
    </row>
    <row r="119" spans="1:21" x14ac:dyDescent="0.25">
      <c r="A119" s="21" t="s">
        <v>1192</v>
      </c>
      <c r="B119" s="154" t="s">
        <v>1311</v>
      </c>
      <c r="C119" s="154" t="s">
        <v>1193</v>
      </c>
      <c r="D119" s="155">
        <v>0</v>
      </c>
      <c r="E119" s="158">
        <v>0</v>
      </c>
      <c r="F119" s="155">
        <v>0</v>
      </c>
      <c r="G119" s="158">
        <v>367</v>
      </c>
      <c r="H119" s="155">
        <v>0</v>
      </c>
      <c r="I119" s="158">
        <v>0</v>
      </c>
      <c r="J119" s="155">
        <v>0</v>
      </c>
      <c r="K119" s="158">
        <v>0</v>
      </c>
      <c r="L119" s="155">
        <v>356.9999942779541</v>
      </c>
      <c r="M119" s="158">
        <v>356.9999942779541</v>
      </c>
      <c r="N119" s="155">
        <v>0</v>
      </c>
      <c r="O119" s="158">
        <v>0</v>
      </c>
      <c r="P119" s="155">
        <v>0</v>
      </c>
      <c r="Q119" s="158">
        <v>0</v>
      </c>
      <c r="R119" s="155">
        <v>0</v>
      </c>
      <c r="S119" s="158">
        <v>0</v>
      </c>
      <c r="T119" s="155">
        <v>0</v>
      </c>
      <c r="U119" s="157">
        <v>0</v>
      </c>
    </row>
    <row r="120" spans="1:21" x14ac:dyDescent="0.25">
      <c r="A120" s="149" t="s">
        <v>1312</v>
      </c>
      <c r="B120" s="150" t="s">
        <v>1313</v>
      </c>
      <c r="C120" s="150" t="s">
        <v>1314</v>
      </c>
      <c r="D120" s="151">
        <v>0</v>
      </c>
      <c r="E120" s="152">
        <v>0</v>
      </c>
      <c r="F120" s="151">
        <v>0</v>
      </c>
      <c r="G120" s="152">
        <v>108</v>
      </c>
      <c r="H120" s="151">
        <v>0</v>
      </c>
      <c r="I120" s="152">
        <v>0</v>
      </c>
      <c r="J120" s="151">
        <v>0</v>
      </c>
      <c r="K120" s="152">
        <v>0</v>
      </c>
      <c r="L120" s="151">
        <v>16.879440307617187</v>
      </c>
      <c r="M120" s="152">
        <v>16.879440307617187</v>
      </c>
      <c r="N120" s="151">
        <v>0</v>
      </c>
      <c r="O120" s="152">
        <v>0</v>
      </c>
      <c r="P120" s="151">
        <v>0</v>
      </c>
      <c r="Q120" s="152">
        <v>0</v>
      </c>
      <c r="R120" s="151">
        <v>0</v>
      </c>
      <c r="S120" s="152">
        <v>0</v>
      </c>
      <c r="T120" s="151">
        <v>0</v>
      </c>
      <c r="U120" s="153">
        <v>0</v>
      </c>
    </row>
    <row r="121" spans="1:21" x14ac:dyDescent="0.25">
      <c r="A121" s="21" t="s">
        <v>1521</v>
      </c>
      <c r="B121" s="154" t="s">
        <v>1000</v>
      </c>
      <c r="C121" s="154" t="s">
        <v>1522</v>
      </c>
      <c r="D121" s="155">
        <v>0</v>
      </c>
      <c r="E121" s="158">
        <v>0</v>
      </c>
      <c r="F121" s="155">
        <v>0</v>
      </c>
      <c r="G121" s="158">
        <v>200</v>
      </c>
      <c r="H121" s="155">
        <v>0</v>
      </c>
      <c r="I121" s="158">
        <v>0</v>
      </c>
      <c r="J121" s="155">
        <v>0</v>
      </c>
      <c r="K121" s="158">
        <v>0</v>
      </c>
      <c r="L121" s="155">
        <v>194.82400512695312</v>
      </c>
      <c r="M121" s="158">
        <v>194.82400512695312</v>
      </c>
      <c r="N121" s="155">
        <v>0</v>
      </c>
      <c r="O121" s="158">
        <v>0</v>
      </c>
      <c r="P121" s="155">
        <v>0</v>
      </c>
      <c r="Q121" s="158">
        <v>0</v>
      </c>
      <c r="R121" s="155">
        <v>0</v>
      </c>
      <c r="S121" s="158">
        <v>0</v>
      </c>
      <c r="T121" s="155">
        <v>0</v>
      </c>
      <c r="U121" s="157">
        <v>0</v>
      </c>
    </row>
    <row r="122" spans="1:21" x14ac:dyDescent="0.25">
      <c r="A122" s="149" t="s">
        <v>1668</v>
      </c>
      <c r="B122" s="150" t="s">
        <v>745</v>
      </c>
      <c r="C122" s="150" t="s">
        <v>1669</v>
      </c>
      <c r="D122" s="151">
        <v>0</v>
      </c>
      <c r="E122" s="152">
        <v>0</v>
      </c>
      <c r="F122" s="151">
        <v>0</v>
      </c>
      <c r="G122" s="152">
        <v>2925</v>
      </c>
      <c r="H122" s="151">
        <v>0</v>
      </c>
      <c r="I122" s="152">
        <v>0</v>
      </c>
      <c r="J122" s="151">
        <v>0</v>
      </c>
      <c r="K122" s="152">
        <v>0</v>
      </c>
      <c r="L122" s="151">
        <v>622.66292190551758</v>
      </c>
      <c r="M122" s="152">
        <v>622.66292190551758</v>
      </c>
      <c r="N122" s="151">
        <v>0</v>
      </c>
      <c r="O122" s="152">
        <v>0</v>
      </c>
      <c r="P122" s="151">
        <v>0</v>
      </c>
      <c r="Q122" s="152">
        <v>0</v>
      </c>
      <c r="R122" s="151">
        <v>0</v>
      </c>
      <c r="S122" s="152">
        <v>0</v>
      </c>
      <c r="T122" s="151">
        <v>0</v>
      </c>
      <c r="U122" s="153">
        <v>0</v>
      </c>
    </row>
    <row r="123" spans="1:21" x14ac:dyDescent="0.25">
      <c r="A123" s="21" t="s">
        <v>1893</v>
      </c>
      <c r="B123" s="154" t="s">
        <v>1894</v>
      </c>
      <c r="C123" s="154" t="s">
        <v>1895</v>
      </c>
      <c r="D123" s="155">
        <v>0</v>
      </c>
      <c r="E123" s="158">
        <v>0</v>
      </c>
      <c r="F123" s="155">
        <v>0</v>
      </c>
      <c r="G123" s="158">
        <v>0</v>
      </c>
      <c r="H123" s="155">
        <v>0</v>
      </c>
      <c r="I123" s="158">
        <v>0</v>
      </c>
      <c r="J123" s="155">
        <v>0</v>
      </c>
      <c r="K123" s="158">
        <v>0</v>
      </c>
      <c r="L123" s="155">
        <v>0</v>
      </c>
      <c r="M123" s="158">
        <v>0</v>
      </c>
      <c r="N123" s="155">
        <v>0</v>
      </c>
      <c r="O123" s="158">
        <v>0</v>
      </c>
      <c r="P123" s="155">
        <v>0</v>
      </c>
      <c r="Q123" s="158">
        <v>0</v>
      </c>
      <c r="R123" s="155">
        <v>0</v>
      </c>
      <c r="S123" s="158">
        <v>0</v>
      </c>
      <c r="T123" s="155">
        <v>0</v>
      </c>
      <c r="U123" s="157">
        <v>0</v>
      </c>
    </row>
    <row r="124" spans="1:21" x14ac:dyDescent="0.25">
      <c r="A124" s="149" t="s">
        <v>1194</v>
      </c>
      <c r="B124" s="150" t="s">
        <v>1315</v>
      </c>
      <c r="C124" s="150" t="s">
        <v>59</v>
      </c>
      <c r="D124" s="151">
        <v>0</v>
      </c>
      <c r="E124" s="152">
        <v>0</v>
      </c>
      <c r="F124" s="151">
        <v>0</v>
      </c>
      <c r="G124" s="152">
        <v>0</v>
      </c>
      <c r="H124" s="151">
        <v>0</v>
      </c>
      <c r="I124" s="152">
        <v>0</v>
      </c>
      <c r="J124" s="151">
        <v>0</v>
      </c>
      <c r="K124" s="152">
        <v>0</v>
      </c>
      <c r="L124" s="151">
        <v>0</v>
      </c>
      <c r="M124" s="152">
        <v>0</v>
      </c>
      <c r="N124" s="151">
        <v>0</v>
      </c>
      <c r="O124" s="152">
        <v>0</v>
      </c>
      <c r="P124" s="151">
        <v>0</v>
      </c>
      <c r="Q124" s="152">
        <v>0</v>
      </c>
      <c r="R124" s="151">
        <v>0</v>
      </c>
      <c r="S124" s="152">
        <v>0</v>
      </c>
      <c r="T124" s="151">
        <v>0</v>
      </c>
      <c r="U124" s="153">
        <v>0</v>
      </c>
    </row>
    <row r="125" spans="1:21" x14ac:dyDescent="0.25">
      <c r="A125" s="21" t="s">
        <v>1196</v>
      </c>
      <c r="B125" s="154" t="s">
        <v>1197</v>
      </c>
      <c r="C125" s="154" t="s">
        <v>59</v>
      </c>
      <c r="D125" s="155">
        <v>0</v>
      </c>
      <c r="E125" s="158">
        <v>0</v>
      </c>
      <c r="F125" s="155">
        <v>0</v>
      </c>
      <c r="G125" s="158">
        <v>0</v>
      </c>
      <c r="H125" s="155">
        <v>0</v>
      </c>
      <c r="I125" s="158">
        <v>0</v>
      </c>
      <c r="J125" s="155">
        <v>0</v>
      </c>
      <c r="K125" s="158">
        <v>0</v>
      </c>
      <c r="L125" s="155">
        <v>0</v>
      </c>
      <c r="M125" s="158">
        <v>0</v>
      </c>
      <c r="N125" s="155">
        <v>0</v>
      </c>
      <c r="O125" s="158">
        <v>0</v>
      </c>
      <c r="P125" s="155">
        <v>0</v>
      </c>
      <c r="Q125" s="158">
        <v>0</v>
      </c>
      <c r="R125" s="155">
        <v>0</v>
      </c>
      <c r="S125" s="158">
        <v>0</v>
      </c>
      <c r="T125" s="155">
        <v>0</v>
      </c>
      <c r="U125" s="157">
        <v>0</v>
      </c>
    </row>
    <row r="126" spans="1:21" x14ac:dyDescent="0.25">
      <c r="A126" s="149" t="s">
        <v>565</v>
      </c>
      <c r="B126" s="150" t="s">
        <v>1316</v>
      </c>
      <c r="C126" s="150" t="s">
        <v>59</v>
      </c>
      <c r="D126" s="151">
        <v>21180</v>
      </c>
      <c r="E126" s="152">
        <v>0</v>
      </c>
      <c r="F126" s="151">
        <v>0</v>
      </c>
      <c r="G126" s="152">
        <v>0</v>
      </c>
      <c r="H126" s="151">
        <v>0</v>
      </c>
      <c r="I126" s="152">
        <v>0</v>
      </c>
      <c r="J126" s="151">
        <v>0</v>
      </c>
      <c r="K126" s="152">
        <v>0</v>
      </c>
      <c r="L126" s="151">
        <v>0</v>
      </c>
      <c r="M126" s="152">
        <v>0</v>
      </c>
      <c r="N126" s="151">
        <v>15470</v>
      </c>
      <c r="O126" s="152">
        <v>2660</v>
      </c>
      <c r="P126" s="151">
        <v>390</v>
      </c>
      <c r="Q126" s="152">
        <v>2660</v>
      </c>
      <c r="R126" s="151">
        <v>0</v>
      </c>
      <c r="S126" s="152">
        <v>0</v>
      </c>
      <c r="T126" s="151">
        <v>0</v>
      </c>
      <c r="U126" s="153">
        <v>0</v>
      </c>
    </row>
    <row r="127" spans="1:21" x14ac:dyDescent="0.25">
      <c r="A127" s="21" t="s">
        <v>1199</v>
      </c>
      <c r="B127" s="154" t="s">
        <v>1200</v>
      </c>
      <c r="C127" s="154" t="s">
        <v>59</v>
      </c>
      <c r="D127" s="155">
        <v>0</v>
      </c>
      <c r="E127" s="158">
        <v>0</v>
      </c>
      <c r="F127" s="155">
        <v>0</v>
      </c>
      <c r="G127" s="158">
        <v>0</v>
      </c>
      <c r="H127" s="155">
        <v>0</v>
      </c>
      <c r="I127" s="158">
        <v>0</v>
      </c>
      <c r="J127" s="155">
        <v>0</v>
      </c>
      <c r="K127" s="158">
        <v>0</v>
      </c>
      <c r="L127" s="155">
        <v>0</v>
      </c>
      <c r="M127" s="158">
        <v>0</v>
      </c>
      <c r="N127" s="155">
        <v>0</v>
      </c>
      <c r="O127" s="158">
        <v>0</v>
      </c>
      <c r="P127" s="155">
        <v>0</v>
      </c>
      <c r="Q127" s="158">
        <v>0</v>
      </c>
      <c r="R127" s="155">
        <v>0</v>
      </c>
      <c r="S127" s="158">
        <v>0</v>
      </c>
      <c r="T127" s="155">
        <v>0</v>
      </c>
      <c r="U127" s="157">
        <v>0</v>
      </c>
    </row>
    <row r="128" spans="1:21" x14ac:dyDescent="0.25">
      <c r="A128" s="149" t="s">
        <v>1317</v>
      </c>
      <c r="B128" s="150" t="s">
        <v>1318</v>
      </c>
      <c r="C128" s="150" t="s">
        <v>1319</v>
      </c>
      <c r="D128" s="151">
        <v>4684</v>
      </c>
      <c r="E128" s="152">
        <v>0</v>
      </c>
      <c r="F128" s="151">
        <v>4684</v>
      </c>
      <c r="G128" s="152">
        <v>0</v>
      </c>
      <c r="H128" s="151">
        <v>0</v>
      </c>
      <c r="I128" s="152">
        <v>0</v>
      </c>
      <c r="J128" s="151">
        <v>0</v>
      </c>
      <c r="K128" s="152">
        <v>0</v>
      </c>
      <c r="L128" s="151">
        <v>0</v>
      </c>
      <c r="M128" s="152">
        <v>0</v>
      </c>
      <c r="N128" s="151">
        <v>0</v>
      </c>
      <c r="O128" s="152">
        <v>0</v>
      </c>
      <c r="P128" s="151">
        <v>0</v>
      </c>
      <c r="Q128" s="152">
        <v>0</v>
      </c>
      <c r="R128" s="151">
        <v>0</v>
      </c>
      <c r="S128" s="152">
        <v>0</v>
      </c>
      <c r="T128" s="151">
        <v>0</v>
      </c>
      <c r="U128" s="153">
        <v>0</v>
      </c>
    </row>
    <row r="129" spans="1:21" x14ac:dyDescent="0.25">
      <c r="A129" s="21" t="s">
        <v>711</v>
      </c>
      <c r="B129" s="154" t="s">
        <v>1320</v>
      </c>
      <c r="C129" s="154" t="s">
        <v>1321</v>
      </c>
      <c r="D129" s="155">
        <v>0</v>
      </c>
      <c r="E129" s="158">
        <v>0</v>
      </c>
      <c r="F129" s="155">
        <v>0</v>
      </c>
      <c r="G129" s="158">
        <v>280</v>
      </c>
      <c r="H129" s="155">
        <v>0</v>
      </c>
      <c r="I129" s="158">
        <v>0</v>
      </c>
      <c r="J129" s="155">
        <v>0</v>
      </c>
      <c r="K129" s="158">
        <v>0</v>
      </c>
      <c r="L129" s="155">
        <v>280</v>
      </c>
      <c r="M129" s="158">
        <v>280</v>
      </c>
      <c r="N129" s="155">
        <v>0</v>
      </c>
      <c r="O129" s="158">
        <v>0</v>
      </c>
      <c r="P129" s="155">
        <v>0</v>
      </c>
      <c r="Q129" s="158">
        <v>0</v>
      </c>
      <c r="R129" s="155">
        <v>0</v>
      </c>
      <c r="S129" s="158">
        <v>0</v>
      </c>
      <c r="T129" s="155">
        <v>0</v>
      </c>
      <c r="U129" s="157">
        <v>0</v>
      </c>
    </row>
    <row r="130" spans="1:21" x14ac:dyDescent="0.25">
      <c r="A130" s="149" t="s">
        <v>1462</v>
      </c>
      <c r="B130" s="150" t="s">
        <v>1463</v>
      </c>
      <c r="C130" s="150" t="s">
        <v>1464</v>
      </c>
      <c r="D130" s="151">
        <v>0</v>
      </c>
      <c r="E130" s="152">
        <v>0</v>
      </c>
      <c r="F130" s="151">
        <v>0</v>
      </c>
      <c r="G130" s="152">
        <v>4184</v>
      </c>
      <c r="H130" s="151">
        <v>0</v>
      </c>
      <c r="I130" s="152">
        <v>0</v>
      </c>
      <c r="J130" s="151">
        <v>0</v>
      </c>
      <c r="K130" s="152">
        <v>0</v>
      </c>
      <c r="L130" s="151">
        <v>4157.25</v>
      </c>
      <c r="M130" s="152">
        <v>4157.25</v>
      </c>
      <c r="N130" s="151">
        <v>0</v>
      </c>
      <c r="O130" s="152">
        <v>0</v>
      </c>
      <c r="P130" s="151">
        <v>0</v>
      </c>
      <c r="Q130" s="152">
        <v>0</v>
      </c>
      <c r="R130" s="151">
        <v>0</v>
      </c>
      <c r="S130" s="152">
        <v>0</v>
      </c>
      <c r="T130" s="151">
        <v>0</v>
      </c>
      <c r="U130" s="153">
        <v>0</v>
      </c>
    </row>
    <row r="131" spans="1:21" x14ac:dyDescent="0.25">
      <c r="A131" s="21" t="s">
        <v>1523</v>
      </c>
      <c r="B131" s="154" t="s">
        <v>1524</v>
      </c>
      <c r="C131" s="154" t="s">
        <v>1525</v>
      </c>
      <c r="D131" s="155">
        <v>0</v>
      </c>
      <c r="E131" s="158">
        <v>0</v>
      </c>
      <c r="F131" s="155">
        <v>0</v>
      </c>
      <c r="G131" s="158">
        <v>55</v>
      </c>
      <c r="H131" s="155">
        <v>0</v>
      </c>
      <c r="I131" s="158">
        <v>46.814499855041504</v>
      </c>
      <c r="J131" s="155">
        <v>0</v>
      </c>
      <c r="K131" s="158">
        <v>46.814499855041504</v>
      </c>
      <c r="L131" s="155">
        <v>5.0538201332092285</v>
      </c>
      <c r="M131" s="158">
        <v>51.868319988250732</v>
      </c>
      <c r="N131" s="155">
        <v>0</v>
      </c>
      <c r="O131" s="158">
        <v>0</v>
      </c>
      <c r="P131" s="155">
        <v>0</v>
      </c>
      <c r="Q131" s="158">
        <v>0</v>
      </c>
      <c r="R131" s="155">
        <v>0</v>
      </c>
      <c r="S131" s="158">
        <v>0</v>
      </c>
      <c r="T131" s="155">
        <v>0</v>
      </c>
      <c r="U131" s="157">
        <v>0</v>
      </c>
    </row>
    <row r="132" spans="1:21" x14ac:dyDescent="0.25">
      <c r="A132" s="149" t="s">
        <v>1194</v>
      </c>
      <c r="B132" s="150" t="s">
        <v>1322</v>
      </c>
      <c r="C132" s="150" t="s">
        <v>59</v>
      </c>
      <c r="D132" s="151">
        <v>0</v>
      </c>
      <c r="E132" s="152">
        <v>0</v>
      </c>
      <c r="F132" s="151">
        <v>0</v>
      </c>
      <c r="G132" s="152">
        <v>0</v>
      </c>
      <c r="H132" s="151">
        <v>0</v>
      </c>
      <c r="I132" s="152">
        <v>0</v>
      </c>
      <c r="J132" s="151">
        <v>0</v>
      </c>
      <c r="K132" s="152">
        <v>0</v>
      </c>
      <c r="L132" s="151">
        <v>0</v>
      </c>
      <c r="M132" s="152">
        <v>0</v>
      </c>
      <c r="N132" s="151">
        <v>0</v>
      </c>
      <c r="O132" s="152">
        <v>0</v>
      </c>
      <c r="P132" s="151">
        <v>0</v>
      </c>
      <c r="Q132" s="152">
        <v>0</v>
      </c>
      <c r="R132" s="151">
        <v>0</v>
      </c>
      <c r="S132" s="152">
        <v>0</v>
      </c>
      <c r="T132" s="151">
        <v>0</v>
      </c>
      <c r="U132" s="153">
        <v>0</v>
      </c>
    </row>
    <row r="133" spans="1:21" x14ac:dyDescent="0.25">
      <c r="A133" s="21" t="s">
        <v>1196</v>
      </c>
      <c r="B133" s="154" t="s">
        <v>1197</v>
      </c>
      <c r="C133" s="154" t="s">
        <v>59</v>
      </c>
      <c r="D133" s="155">
        <v>0</v>
      </c>
      <c r="E133" s="158">
        <v>0</v>
      </c>
      <c r="F133" s="155">
        <v>0</v>
      </c>
      <c r="G133" s="158">
        <v>0</v>
      </c>
      <c r="H133" s="155">
        <v>0</v>
      </c>
      <c r="I133" s="158">
        <v>0</v>
      </c>
      <c r="J133" s="155">
        <v>0</v>
      </c>
      <c r="K133" s="158">
        <v>0</v>
      </c>
      <c r="L133" s="155">
        <v>0</v>
      </c>
      <c r="M133" s="158">
        <v>0</v>
      </c>
      <c r="N133" s="155">
        <v>0</v>
      </c>
      <c r="O133" s="158">
        <v>0</v>
      </c>
      <c r="P133" s="155">
        <v>0</v>
      </c>
      <c r="Q133" s="158">
        <v>0</v>
      </c>
      <c r="R133" s="155">
        <v>0</v>
      </c>
      <c r="S133" s="158">
        <v>0</v>
      </c>
      <c r="T133" s="155">
        <v>0</v>
      </c>
      <c r="U133" s="157">
        <v>0</v>
      </c>
    </row>
    <row r="134" spans="1:21" x14ac:dyDescent="0.25">
      <c r="A134" s="149" t="s">
        <v>565</v>
      </c>
      <c r="B134" s="150" t="s">
        <v>1323</v>
      </c>
      <c r="C134" s="150" t="s">
        <v>59</v>
      </c>
      <c r="D134" s="151">
        <v>118779</v>
      </c>
      <c r="E134" s="152">
        <v>0</v>
      </c>
      <c r="F134" s="151">
        <v>0</v>
      </c>
      <c r="G134" s="152">
        <v>0</v>
      </c>
      <c r="H134" s="151">
        <v>0</v>
      </c>
      <c r="I134" s="152">
        <v>0</v>
      </c>
      <c r="J134" s="151">
        <v>0</v>
      </c>
      <c r="K134" s="152">
        <v>0</v>
      </c>
      <c r="L134" s="151">
        <v>0</v>
      </c>
      <c r="M134" s="152">
        <v>0</v>
      </c>
      <c r="N134" s="151">
        <v>33549</v>
      </c>
      <c r="O134" s="152">
        <v>39434</v>
      </c>
      <c r="P134" s="151">
        <v>19449</v>
      </c>
      <c r="Q134" s="152">
        <v>26347</v>
      </c>
      <c r="R134" s="151">
        <v>0</v>
      </c>
      <c r="S134" s="152">
        <v>0</v>
      </c>
      <c r="T134" s="151">
        <v>0</v>
      </c>
      <c r="U134" s="153">
        <v>0</v>
      </c>
    </row>
    <row r="135" spans="1:21" x14ac:dyDescent="0.25">
      <c r="A135" s="21" t="s">
        <v>1199</v>
      </c>
      <c r="B135" s="154" t="s">
        <v>1200</v>
      </c>
      <c r="C135" s="154" t="s">
        <v>59</v>
      </c>
      <c r="D135" s="155">
        <v>0</v>
      </c>
      <c r="E135" s="158">
        <v>0</v>
      </c>
      <c r="F135" s="155">
        <v>0</v>
      </c>
      <c r="G135" s="158">
        <v>0</v>
      </c>
      <c r="H135" s="155">
        <v>0</v>
      </c>
      <c r="I135" s="158">
        <v>0</v>
      </c>
      <c r="J135" s="155">
        <v>0</v>
      </c>
      <c r="K135" s="158">
        <v>0</v>
      </c>
      <c r="L135" s="155">
        <v>0</v>
      </c>
      <c r="M135" s="158">
        <v>0</v>
      </c>
      <c r="N135" s="155">
        <v>0</v>
      </c>
      <c r="O135" s="158">
        <v>0</v>
      </c>
      <c r="P135" s="155">
        <v>0</v>
      </c>
      <c r="Q135" s="158">
        <v>0</v>
      </c>
      <c r="R135" s="155">
        <v>0</v>
      </c>
      <c r="S135" s="158">
        <v>0</v>
      </c>
      <c r="T135" s="155">
        <v>0</v>
      </c>
      <c r="U135" s="157">
        <v>0</v>
      </c>
    </row>
    <row r="136" spans="1:21" x14ac:dyDescent="0.25">
      <c r="A136" s="149" t="s">
        <v>1136</v>
      </c>
      <c r="B136" s="150" t="s">
        <v>1210</v>
      </c>
      <c r="C136" s="150" t="s">
        <v>1324</v>
      </c>
      <c r="D136" s="151">
        <v>0</v>
      </c>
      <c r="E136" s="152">
        <v>0</v>
      </c>
      <c r="F136" s="151">
        <v>0</v>
      </c>
      <c r="G136" s="152">
        <v>479</v>
      </c>
      <c r="H136" s="151">
        <v>0</v>
      </c>
      <c r="I136" s="152">
        <v>479.32675170898437</v>
      </c>
      <c r="J136" s="151">
        <v>0</v>
      </c>
      <c r="K136" s="152">
        <v>479.32675170898437</v>
      </c>
      <c r="L136" s="151">
        <v>0</v>
      </c>
      <c r="M136" s="152">
        <v>479.32675170898437</v>
      </c>
      <c r="N136" s="151">
        <v>0</v>
      </c>
      <c r="O136" s="152">
        <v>0</v>
      </c>
      <c r="P136" s="151">
        <v>0</v>
      </c>
      <c r="Q136" s="152">
        <v>0</v>
      </c>
      <c r="R136" s="151">
        <v>0</v>
      </c>
      <c r="S136" s="152">
        <v>0</v>
      </c>
      <c r="T136" s="151">
        <v>0</v>
      </c>
      <c r="U136" s="153">
        <v>0</v>
      </c>
    </row>
    <row r="137" spans="1:21" x14ac:dyDescent="0.25">
      <c r="A137" s="21" t="s">
        <v>1177</v>
      </c>
      <c r="B137" s="154" t="s">
        <v>1179</v>
      </c>
      <c r="C137" s="154" t="s">
        <v>1178</v>
      </c>
      <c r="D137" s="155">
        <v>0</v>
      </c>
      <c r="E137" s="158">
        <v>0</v>
      </c>
      <c r="F137" s="155">
        <v>0</v>
      </c>
      <c r="G137" s="158">
        <v>14</v>
      </c>
      <c r="H137" s="155">
        <v>0</v>
      </c>
      <c r="I137" s="158">
        <v>14.010740280151367</v>
      </c>
      <c r="J137" s="155">
        <v>0</v>
      </c>
      <c r="K137" s="158">
        <v>14.010740280151367</v>
      </c>
      <c r="L137" s="155">
        <v>0</v>
      </c>
      <c r="M137" s="158">
        <v>14.010740280151367</v>
      </c>
      <c r="N137" s="155">
        <v>0</v>
      </c>
      <c r="O137" s="158">
        <v>0</v>
      </c>
      <c r="P137" s="155">
        <v>0</v>
      </c>
      <c r="Q137" s="158">
        <v>0</v>
      </c>
      <c r="R137" s="155">
        <v>0</v>
      </c>
      <c r="S137" s="158">
        <v>0</v>
      </c>
      <c r="T137" s="155">
        <v>0</v>
      </c>
      <c r="U137" s="157">
        <v>0</v>
      </c>
    </row>
    <row r="138" spans="1:21" x14ac:dyDescent="0.25">
      <c r="A138" s="149" t="s">
        <v>1185</v>
      </c>
      <c r="B138" s="150" t="s">
        <v>1187</v>
      </c>
      <c r="C138" s="150" t="s">
        <v>1186</v>
      </c>
      <c r="D138" s="151">
        <v>0</v>
      </c>
      <c r="E138" s="152">
        <v>0</v>
      </c>
      <c r="F138" s="151">
        <v>0</v>
      </c>
      <c r="G138" s="152">
        <v>10</v>
      </c>
      <c r="H138" s="151">
        <v>0</v>
      </c>
      <c r="I138" s="152">
        <v>9.5870800018310547</v>
      </c>
      <c r="J138" s="151">
        <v>0</v>
      </c>
      <c r="K138" s="152">
        <v>9.5870800018310547</v>
      </c>
      <c r="L138" s="151">
        <v>0</v>
      </c>
      <c r="M138" s="152">
        <v>9.5870800018310547</v>
      </c>
      <c r="N138" s="151">
        <v>0</v>
      </c>
      <c r="O138" s="152">
        <v>0</v>
      </c>
      <c r="P138" s="151">
        <v>0</v>
      </c>
      <c r="Q138" s="152">
        <v>0</v>
      </c>
      <c r="R138" s="151">
        <v>0</v>
      </c>
      <c r="S138" s="152">
        <v>0</v>
      </c>
      <c r="T138" s="151">
        <v>0</v>
      </c>
      <c r="U138" s="153">
        <v>0</v>
      </c>
    </row>
    <row r="139" spans="1:21" x14ac:dyDescent="0.25">
      <c r="A139" s="21" t="s">
        <v>1181</v>
      </c>
      <c r="B139" s="154" t="s">
        <v>1183</v>
      </c>
      <c r="C139" s="154" t="s">
        <v>1182</v>
      </c>
      <c r="D139" s="155">
        <v>0</v>
      </c>
      <c r="E139" s="158">
        <v>0</v>
      </c>
      <c r="F139" s="155">
        <v>0</v>
      </c>
      <c r="G139" s="158">
        <v>11</v>
      </c>
      <c r="H139" s="155">
        <v>0</v>
      </c>
      <c r="I139" s="158">
        <v>10.502650260925293</v>
      </c>
      <c r="J139" s="155">
        <v>0</v>
      </c>
      <c r="K139" s="158">
        <v>10.502650260925293</v>
      </c>
      <c r="L139" s="155">
        <v>0</v>
      </c>
      <c r="M139" s="158">
        <v>10.502650260925293</v>
      </c>
      <c r="N139" s="155">
        <v>0</v>
      </c>
      <c r="O139" s="158">
        <v>0</v>
      </c>
      <c r="P139" s="155">
        <v>0</v>
      </c>
      <c r="Q139" s="158">
        <v>0</v>
      </c>
      <c r="R139" s="155">
        <v>0</v>
      </c>
      <c r="S139" s="158">
        <v>0</v>
      </c>
      <c r="T139" s="155">
        <v>0</v>
      </c>
      <c r="U139" s="157">
        <v>0</v>
      </c>
    </row>
    <row r="140" spans="1:21" x14ac:dyDescent="0.25">
      <c r="A140" s="149" t="s">
        <v>758</v>
      </c>
      <c r="B140" s="150" t="s">
        <v>1325</v>
      </c>
      <c r="C140" s="150" t="s">
        <v>1326</v>
      </c>
      <c r="D140" s="151">
        <v>0</v>
      </c>
      <c r="E140" s="152">
        <v>0</v>
      </c>
      <c r="F140" s="151">
        <v>0</v>
      </c>
      <c r="G140" s="152">
        <v>102</v>
      </c>
      <c r="H140" s="151">
        <v>0</v>
      </c>
      <c r="I140" s="152">
        <v>52.566009163856506</v>
      </c>
      <c r="J140" s="151">
        <v>0</v>
      </c>
      <c r="K140" s="152">
        <v>52.566009163856506</v>
      </c>
      <c r="L140" s="151">
        <v>48.807849884033203</v>
      </c>
      <c r="M140" s="152">
        <v>101.37385904788971</v>
      </c>
      <c r="N140" s="151">
        <v>0</v>
      </c>
      <c r="O140" s="152">
        <v>0</v>
      </c>
      <c r="P140" s="151">
        <v>0</v>
      </c>
      <c r="Q140" s="152">
        <v>0</v>
      </c>
      <c r="R140" s="151">
        <v>0</v>
      </c>
      <c r="S140" s="152">
        <v>0</v>
      </c>
      <c r="T140" s="151">
        <v>0</v>
      </c>
      <c r="U140" s="153">
        <v>0</v>
      </c>
    </row>
    <row r="141" spans="1:21" x14ac:dyDescent="0.25">
      <c r="A141" s="21" t="s">
        <v>757</v>
      </c>
      <c r="B141" s="154" t="s">
        <v>341</v>
      </c>
      <c r="C141" s="154" t="s">
        <v>1330</v>
      </c>
      <c r="D141" s="155">
        <v>0</v>
      </c>
      <c r="E141" s="158">
        <v>0</v>
      </c>
      <c r="F141" s="155">
        <v>0</v>
      </c>
      <c r="G141" s="158">
        <v>122</v>
      </c>
      <c r="H141" s="155">
        <v>0</v>
      </c>
      <c r="I141" s="158">
        <v>103.01386070251465</v>
      </c>
      <c r="J141" s="155">
        <v>0</v>
      </c>
      <c r="K141" s="158">
        <v>103.01386070251465</v>
      </c>
      <c r="L141" s="155">
        <v>0</v>
      </c>
      <c r="M141" s="158">
        <v>103.01386070251465</v>
      </c>
      <c r="N141" s="155">
        <v>0</v>
      </c>
      <c r="O141" s="158">
        <v>0</v>
      </c>
      <c r="P141" s="155">
        <v>0</v>
      </c>
      <c r="Q141" s="158">
        <v>0</v>
      </c>
      <c r="R141" s="155">
        <v>0</v>
      </c>
      <c r="S141" s="158">
        <v>0</v>
      </c>
      <c r="T141" s="155">
        <v>0</v>
      </c>
      <c r="U141" s="157">
        <v>0</v>
      </c>
    </row>
    <row r="142" spans="1:21" x14ac:dyDescent="0.25">
      <c r="A142" s="149" t="s">
        <v>755</v>
      </c>
      <c r="B142" s="150" t="s">
        <v>1331</v>
      </c>
      <c r="C142" s="150" t="s">
        <v>1332</v>
      </c>
      <c r="D142" s="151">
        <v>0</v>
      </c>
      <c r="E142" s="152">
        <v>0</v>
      </c>
      <c r="F142" s="151">
        <v>0</v>
      </c>
      <c r="G142" s="152">
        <v>440</v>
      </c>
      <c r="H142" s="151">
        <v>0</v>
      </c>
      <c r="I142" s="152">
        <v>183.79908752441406</v>
      </c>
      <c r="J142" s="151">
        <v>0</v>
      </c>
      <c r="K142" s="152">
        <v>183.79908752441406</v>
      </c>
      <c r="L142" s="151">
        <v>254.36210632324219</v>
      </c>
      <c r="M142" s="152">
        <v>438.16119384765625</v>
      </c>
      <c r="N142" s="151">
        <v>0</v>
      </c>
      <c r="O142" s="152">
        <v>0</v>
      </c>
      <c r="P142" s="151">
        <v>0</v>
      </c>
      <c r="Q142" s="152">
        <v>0</v>
      </c>
      <c r="R142" s="151">
        <v>0</v>
      </c>
      <c r="S142" s="152">
        <v>0</v>
      </c>
      <c r="T142" s="151">
        <v>0</v>
      </c>
      <c r="U142" s="153">
        <v>0</v>
      </c>
    </row>
    <row r="143" spans="1:21" x14ac:dyDescent="0.25">
      <c r="A143" s="21" t="s">
        <v>1336</v>
      </c>
      <c r="B143" s="154" t="s">
        <v>823</v>
      </c>
      <c r="C143" s="154" t="s">
        <v>1337</v>
      </c>
      <c r="D143" s="155">
        <v>0</v>
      </c>
      <c r="E143" s="158">
        <v>0</v>
      </c>
      <c r="F143" s="155">
        <v>0</v>
      </c>
      <c r="G143" s="158">
        <v>0</v>
      </c>
      <c r="H143" s="155">
        <v>0</v>
      </c>
      <c r="I143" s="158">
        <v>0</v>
      </c>
      <c r="J143" s="155">
        <v>0</v>
      </c>
      <c r="K143" s="158">
        <v>0</v>
      </c>
      <c r="L143" s="155">
        <v>0</v>
      </c>
      <c r="M143" s="158">
        <v>0</v>
      </c>
      <c r="N143" s="155">
        <v>0</v>
      </c>
      <c r="O143" s="158">
        <v>0</v>
      </c>
      <c r="P143" s="155">
        <v>0</v>
      </c>
      <c r="Q143" s="158">
        <v>0</v>
      </c>
      <c r="R143" s="155">
        <v>0</v>
      </c>
      <c r="S143" s="158">
        <v>0</v>
      </c>
      <c r="T143" s="155">
        <v>0</v>
      </c>
      <c r="U143" s="157">
        <v>0</v>
      </c>
    </row>
    <row r="144" spans="1:21" x14ac:dyDescent="0.25">
      <c r="A144" s="149" t="s">
        <v>1189</v>
      </c>
      <c r="B144" s="150" t="s">
        <v>1338</v>
      </c>
      <c r="C144" s="150" t="s">
        <v>1190</v>
      </c>
      <c r="D144" s="151">
        <v>0</v>
      </c>
      <c r="E144" s="152">
        <v>0</v>
      </c>
      <c r="F144" s="151">
        <v>0</v>
      </c>
      <c r="G144" s="152">
        <v>1</v>
      </c>
      <c r="H144" s="151">
        <v>0</v>
      </c>
      <c r="I144" s="152">
        <v>0.70901525020599365</v>
      </c>
      <c r="J144" s="151">
        <v>0</v>
      </c>
      <c r="K144" s="152">
        <v>0.70901525020599365</v>
      </c>
      <c r="L144" s="151">
        <v>0</v>
      </c>
      <c r="M144" s="152">
        <v>0.70901525020599365</v>
      </c>
      <c r="N144" s="151">
        <v>0</v>
      </c>
      <c r="O144" s="152">
        <v>0</v>
      </c>
      <c r="P144" s="151">
        <v>0</v>
      </c>
      <c r="Q144" s="152">
        <v>0</v>
      </c>
      <c r="R144" s="151">
        <v>0</v>
      </c>
      <c r="S144" s="152">
        <v>0</v>
      </c>
      <c r="T144" s="151">
        <v>0</v>
      </c>
      <c r="U144" s="153">
        <v>0</v>
      </c>
    </row>
    <row r="145" spans="1:21" x14ac:dyDescent="0.25">
      <c r="A145" s="21" t="s">
        <v>1339</v>
      </c>
      <c r="B145" s="154" t="s">
        <v>1003</v>
      </c>
      <c r="C145" s="154" t="s">
        <v>1340</v>
      </c>
      <c r="D145" s="155">
        <v>0</v>
      </c>
      <c r="E145" s="158">
        <v>0</v>
      </c>
      <c r="F145" s="155">
        <v>0</v>
      </c>
      <c r="G145" s="158">
        <v>0</v>
      </c>
      <c r="H145" s="155">
        <v>0</v>
      </c>
      <c r="I145" s="158">
        <v>0</v>
      </c>
      <c r="J145" s="155">
        <v>0</v>
      </c>
      <c r="K145" s="158">
        <v>0</v>
      </c>
      <c r="L145" s="155">
        <v>0</v>
      </c>
      <c r="M145" s="158">
        <v>0</v>
      </c>
      <c r="N145" s="155">
        <v>0</v>
      </c>
      <c r="O145" s="158">
        <v>0</v>
      </c>
      <c r="P145" s="155">
        <v>0</v>
      </c>
      <c r="Q145" s="158">
        <v>0</v>
      </c>
      <c r="R145" s="155">
        <v>0</v>
      </c>
      <c r="S145" s="158">
        <v>0</v>
      </c>
      <c r="T145" s="155">
        <v>0</v>
      </c>
      <c r="U145" s="157">
        <v>0</v>
      </c>
    </row>
    <row r="146" spans="1:21" x14ac:dyDescent="0.25">
      <c r="A146" s="149" t="s">
        <v>564</v>
      </c>
      <c r="B146" s="150" t="s">
        <v>1341</v>
      </c>
      <c r="C146" s="150" t="s">
        <v>1342</v>
      </c>
      <c r="D146" s="151">
        <v>0</v>
      </c>
      <c r="E146" s="152">
        <v>0</v>
      </c>
      <c r="F146" s="151">
        <v>0</v>
      </c>
      <c r="G146" s="152">
        <v>2954</v>
      </c>
      <c r="H146" s="151">
        <v>0</v>
      </c>
      <c r="I146" s="152">
        <v>156.83368110656738</v>
      </c>
      <c r="J146" s="151">
        <v>0</v>
      </c>
      <c r="K146" s="152">
        <v>156.83368110656738</v>
      </c>
      <c r="L146" s="151">
        <v>756.182861328125</v>
      </c>
      <c r="M146" s="152">
        <v>913.01654243469238</v>
      </c>
      <c r="N146" s="151">
        <v>0</v>
      </c>
      <c r="O146" s="152">
        <v>0</v>
      </c>
      <c r="P146" s="151">
        <v>0</v>
      </c>
      <c r="Q146" s="152">
        <v>0</v>
      </c>
      <c r="R146" s="151">
        <v>0</v>
      </c>
      <c r="S146" s="152">
        <v>0</v>
      </c>
      <c r="T146" s="151">
        <v>0</v>
      </c>
      <c r="U146" s="153">
        <v>0</v>
      </c>
    </row>
    <row r="147" spans="1:21" x14ac:dyDescent="0.25">
      <c r="A147" s="21" t="s">
        <v>1343</v>
      </c>
      <c r="B147" s="154" t="s">
        <v>1344</v>
      </c>
      <c r="C147" s="154" t="s">
        <v>1345</v>
      </c>
      <c r="D147" s="155">
        <v>0</v>
      </c>
      <c r="E147" s="158">
        <v>0</v>
      </c>
      <c r="F147" s="155">
        <v>0</v>
      </c>
      <c r="G147" s="158">
        <v>0</v>
      </c>
      <c r="H147" s="155">
        <v>0</v>
      </c>
      <c r="I147" s="158">
        <v>0</v>
      </c>
      <c r="J147" s="155">
        <v>0</v>
      </c>
      <c r="K147" s="158">
        <v>0</v>
      </c>
      <c r="L147" s="155">
        <v>0</v>
      </c>
      <c r="M147" s="158">
        <v>0</v>
      </c>
      <c r="N147" s="155">
        <v>0</v>
      </c>
      <c r="O147" s="158">
        <v>0</v>
      </c>
      <c r="P147" s="155">
        <v>0</v>
      </c>
      <c r="Q147" s="158">
        <v>0</v>
      </c>
      <c r="R147" s="155">
        <v>0</v>
      </c>
      <c r="S147" s="158">
        <v>0</v>
      </c>
      <c r="T147" s="155">
        <v>0</v>
      </c>
      <c r="U147" s="157">
        <v>0</v>
      </c>
    </row>
    <row r="148" spans="1:21" x14ac:dyDescent="0.25">
      <c r="A148" s="149" t="s">
        <v>1167</v>
      </c>
      <c r="B148" s="150" t="s">
        <v>1346</v>
      </c>
      <c r="C148" s="150" t="s">
        <v>1168</v>
      </c>
      <c r="D148" s="151">
        <v>0</v>
      </c>
      <c r="E148" s="152">
        <v>0</v>
      </c>
      <c r="F148" s="151">
        <v>0</v>
      </c>
      <c r="G148" s="152">
        <v>1606</v>
      </c>
      <c r="H148" s="151">
        <v>0</v>
      </c>
      <c r="I148" s="152">
        <v>1236.459716796875</v>
      </c>
      <c r="J148" s="151">
        <v>0</v>
      </c>
      <c r="K148" s="152">
        <v>1236.459716796875</v>
      </c>
      <c r="L148" s="151">
        <v>0</v>
      </c>
      <c r="M148" s="152">
        <v>1236.459716796875</v>
      </c>
      <c r="N148" s="151">
        <v>0</v>
      </c>
      <c r="O148" s="152">
        <v>0</v>
      </c>
      <c r="P148" s="151">
        <v>0</v>
      </c>
      <c r="Q148" s="152">
        <v>0</v>
      </c>
      <c r="R148" s="151">
        <v>0</v>
      </c>
      <c r="S148" s="152">
        <v>0</v>
      </c>
      <c r="T148" s="151">
        <v>0</v>
      </c>
      <c r="U148" s="153">
        <v>0</v>
      </c>
    </row>
    <row r="149" spans="1:21" x14ac:dyDescent="0.25">
      <c r="A149" s="21" t="s">
        <v>1350</v>
      </c>
      <c r="B149" s="154" t="s">
        <v>1351</v>
      </c>
      <c r="C149" s="154" t="s">
        <v>1352</v>
      </c>
      <c r="D149" s="155">
        <v>0</v>
      </c>
      <c r="E149" s="158">
        <v>0</v>
      </c>
      <c r="F149" s="155">
        <v>0</v>
      </c>
      <c r="G149" s="158">
        <v>0</v>
      </c>
      <c r="H149" s="155">
        <v>0</v>
      </c>
      <c r="I149" s="158">
        <v>0</v>
      </c>
      <c r="J149" s="155">
        <v>0</v>
      </c>
      <c r="K149" s="158">
        <v>0</v>
      </c>
      <c r="L149" s="155">
        <v>0</v>
      </c>
      <c r="M149" s="158">
        <v>0</v>
      </c>
      <c r="N149" s="155">
        <v>0</v>
      </c>
      <c r="O149" s="158">
        <v>0</v>
      </c>
      <c r="P149" s="155">
        <v>0</v>
      </c>
      <c r="Q149" s="158">
        <v>0</v>
      </c>
      <c r="R149" s="155">
        <v>0</v>
      </c>
      <c r="S149" s="158">
        <v>0</v>
      </c>
      <c r="T149" s="155">
        <v>0</v>
      </c>
      <c r="U149" s="157">
        <v>0</v>
      </c>
    </row>
    <row r="150" spans="1:21" x14ac:dyDescent="0.25">
      <c r="A150" s="149" t="s">
        <v>759</v>
      </c>
      <c r="B150" s="150" t="s">
        <v>347</v>
      </c>
      <c r="C150" s="150" t="s">
        <v>1353</v>
      </c>
      <c r="D150" s="151">
        <v>0</v>
      </c>
      <c r="E150" s="152">
        <v>0</v>
      </c>
      <c r="F150" s="151">
        <v>0</v>
      </c>
      <c r="G150" s="152">
        <v>217</v>
      </c>
      <c r="H150" s="151">
        <v>0</v>
      </c>
      <c r="I150" s="152">
        <v>141.84867095947266</v>
      </c>
      <c r="J150" s="151">
        <v>0</v>
      </c>
      <c r="K150" s="152">
        <v>141.84867095947266</v>
      </c>
      <c r="L150" s="151">
        <v>56.086551666259766</v>
      </c>
      <c r="M150" s="152">
        <v>197.93522262573242</v>
      </c>
      <c r="N150" s="151">
        <v>0</v>
      </c>
      <c r="O150" s="152">
        <v>0</v>
      </c>
      <c r="P150" s="151">
        <v>0</v>
      </c>
      <c r="Q150" s="152">
        <v>0</v>
      </c>
      <c r="R150" s="151">
        <v>0</v>
      </c>
      <c r="S150" s="152">
        <v>0</v>
      </c>
      <c r="T150" s="151">
        <v>0</v>
      </c>
      <c r="U150" s="153">
        <v>0</v>
      </c>
    </row>
    <row r="151" spans="1:21" x14ac:dyDescent="0.25">
      <c r="A151" s="21" t="s">
        <v>1354</v>
      </c>
      <c r="B151" s="154" t="s">
        <v>1355</v>
      </c>
      <c r="C151" s="154" t="s">
        <v>1356</v>
      </c>
      <c r="D151" s="155">
        <v>85316</v>
      </c>
      <c r="E151" s="158">
        <v>0</v>
      </c>
      <c r="F151" s="155">
        <v>54226</v>
      </c>
      <c r="G151" s="158">
        <v>0</v>
      </c>
      <c r="H151" s="155">
        <v>12462</v>
      </c>
      <c r="I151" s="158">
        <v>0</v>
      </c>
      <c r="J151" s="155">
        <v>0</v>
      </c>
      <c r="K151" s="158">
        <v>0</v>
      </c>
      <c r="L151" s="155">
        <v>0</v>
      </c>
      <c r="M151" s="158">
        <v>0</v>
      </c>
      <c r="N151" s="155">
        <v>17762</v>
      </c>
      <c r="O151" s="158">
        <v>10187</v>
      </c>
      <c r="P151" s="155">
        <v>3141</v>
      </c>
      <c r="Q151" s="158">
        <v>0</v>
      </c>
      <c r="R151" s="155">
        <v>0</v>
      </c>
      <c r="S151" s="158">
        <v>0</v>
      </c>
      <c r="T151" s="155">
        <v>0</v>
      </c>
      <c r="U151" s="157">
        <v>0</v>
      </c>
    </row>
    <row r="152" spans="1:21" x14ac:dyDescent="0.25">
      <c r="A152" s="149" t="s">
        <v>752</v>
      </c>
      <c r="B152" s="150" t="s">
        <v>329</v>
      </c>
      <c r="C152" s="150" t="s">
        <v>1360</v>
      </c>
      <c r="D152" s="151">
        <v>0</v>
      </c>
      <c r="E152" s="152">
        <v>0</v>
      </c>
      <c r="F152" s="151">
        <v>0</v>
      </c>
      <c r="G152" s="152">
        <v>8350</v>
      </c>
      <c r="H152" s="151">
        <v>0</v>
      </c>
      <c r="I152" s="152">
        <v>4138.4391467571259</v>
      </c>
      <c r="J152" s="151">
        <v>0</v>
      </c>
      <c r="K152" s="152">
        <v>4138.4391467571259</v>
      </c>
      <c r="L152" s="151">
        <v>3214.4389572143555</v>
      </c>
      <c r="M152" s="152">
        <v>7352.8781039714813</v>
      </c>
      <c r="N152" s="151">
        <v>0</v>
      </c>
      <c r="O152" s="152">
        <v>0</v>
      </c>
      <c r="P152" s="151">
        <v>0</v>
      </c>
      <c r="Q152" s="152">
        <v>0</v>
      </c>
      <c r="R152" s="151">
        <v>0</v>
      </c>
      <c r="S152" s="152">
        <v>0</v>
      </c>
      <c r="T152" s="151">
        <v>0</v>
      </c>
      <c r="U152" s="153">
        <v>0</v>
      </c>
    </row>
    <row r="153" spans="1:21" x14ac:dyDescent="0.25">
      <c r="A153" s="21" t="s">
        <v>763</v>
      </c>
      <c r="B153" s="154" t="s">
        <v>1361</v>
      </c>
      <c r="C153" s="154" t="s">
        <v>1362</v>
      </c>
      <c r="D153" s="155">
        <v>0</v>
      </c>
      <c r="E153" s="158">
        <v>0</v>
      </c>
      <c r="F153" s="155">
        <v>0</v>
      </c>
      <c r="G153" s="158">
        <v>684</v>
      </c>
      <c r="H153" s="155">
        <v>0</v>
      </c>
      <c r="I153" s="158">
        <v>265.6845703125</v>
      </c>
      <c r="J153" s="155">
        <v>0</v>
      </c>
      <c r="K153" s="158">
        <v>265.6845703125</v>
      </c>
      <c r="L153" s="155">
        <v>0</v>
      </c>
      <c r="M153" s="158">
        <v>265.6845703125</v>
      </c>
      <c r="N153" s="155">
        <v>0</v>
      </c>
      <c r="O153" s="158">
        <v>0</v>
      </c>
      <c r="P153" s="155">
        <v>0</v>
      </c>
      <c r="Q153" s="158">
        <v>0</v>
      </c>
      <c r="R153" s="155">
        <v>0</v>
      </c>
      <c r="S153" s="158">
        <v>0</v>
      </c>
      <c r="T153" s="155">
        <v>0</v>
      </c>
      <c r="U153" s="157">
        <v>0</v>
      </c>
    </row>
    <row r="154" spans="1:21" x14ac:dyDescent="0.25">
      <c r="A154" s="149" t="s">
        <v>563</v>
      </c>
      <c r="B154" s="150" t="s">
        <v>1363</v>
      </c>
      <c r="C154" s="150" t="s">
        <v>1364</v>
      </c>
      <c r="D154" s="151">
        <v>0</v>
      </c>
      <c r="E154" s="152">
        <v>0</v>
      </c>
      <c r="F154" s="151">
        <v>0</v>
      </c>
      <c r="G154" s="152">
        <v>6163</v>
      </c>
      <c r="H154" s="151">
        <v>0</v>
      </c>
      <c r="I154" s="152">
        <v>810.03533935546875</v>
      </c>
      <c r="J154" s="151">
        <v>0</v>
      </c>
      <c r="K154" s="152">
        <v>810.03533935546875</v>
      </c>
      <c r="L154" s="151">
        <v>24.569290161132813</v>
      </c>
      <c r="M154" s="152">
        <v>834.60462951660156</v>
      </c>
      <c r="N154" s="151">
        <v>0</v>
      </c>
      <c r="O154" s="152">
        <v>0</v>
      </c>
      <c r="P154" s="151">
        <v>0</v>
      </c>
      <c r="Q154" s="152">
        <v>0</v>
      </c>
      <c r="R154" s="151">
        <v>0</v>
      </c>
      <c r="S154" s="152">
        <v>0</v>
      </c>
      <c r="T154" s="151">
        <v>0</v>
      </c>
      <c r="U154" s="153">
        <v>0</v>
      </c>
    </row>
    <row r="155" spans="1:21" x14ac:dyDescent="0.25">
      <c r="A155" s="21" t="s">
        <v>767</v>
      </c>
      <c r="B155" s="154" t="s">
        <v>768</v>
      </c>
      <c r="C155" s="154" t="s">
        <v>1365</v>
      </c>
      <c r="D155" s="155">
        <v>0</v>
      </c>
      <c r="E155" s="158">
        <v>0</v>
      </c>
      <c r="F155" s="155">
        <v>0</v>
      </c>
      <c r="G155" s="158">
        <v>120</v>
      </c>
      <c r="H155" s="155">
        <v>0</v>
      </c>
      <c r="I155" s="158">
        <v>0</v>
      </c>
      <c r="J155" s="155">
        <v>0</v>
      </c>
      <c r="K155" s="158">
        <v>0</v>
      </c>
      <c r="L155" s="155">
        <v>0</v>
      </c>
      <c r="M155" s="158">
        <v>0</v>
      </c>
      <c r="N155" s="155">
        <v>0</v>
      </c>
      <c r="O155" s="158">
        <v>0</v>
      </c>
      <c r="P155" s="155">
        <v>0</v>
      </c>
      <c r="Q155" s="158">
        <v>0</v>
      </c>
      <c r="R155" s="155">
        <v>0</v>
      </c>
      <c r="S155" s="158">
        <v>0</v>
      </c>
      <c r="T155" s="155">
        <v>0</v>
      </c>
      <c r="U155" s="157">
        <v>0</v>
      </c>
    </row>
    <row r="156" spans="1:21" x14ac:dyDescent="0.25">
      <c r="A156" s="149" t="s">
        <v>1175</v>
      </c>
      <c r="B156" s="150" t="s">
        <v>1173</v>
      </c>
      <c r="C156" s="150" t="s">
        <v>1176</v>
      </c>
      <c r="D156" s="151">
        <v>0</v>
      </c>
      <c r="E156" s="152">
        <v>0</v>
      </c>
      <c r="F156" s="151">
        <v>0</v>
      </c>
      <c r="G156" s="152">
        <v>300</v>
      </c>
      <c r="H156" s="151">
        <v>0</v>
      </c>
      <c r="I156" s="152">
        <v>0</v>
      </c>
      <c r="J156" s="151">
        <v>0</v>
      </c>
      <c r="K156" s="152">
        <v>0</v>
      </c>
      <c r="L156" s="151">
        <v>0</v>
      </c>
      <c r="M156" s="152">
        <v>0</v>
      </c>
      <c r="N156" s="151">
        <v>0</v>
      </c>
      <c r="O156" s="152">
        <v>0</v>
      </c>
      <c r="P156" s="151">
        <v>0</v>
      </c>
      <c r="Q156" s="152">
        <v>0</v>
      </c>
      <c r="R156" s="151">
        <v>0</v>
      </c>
      <c r="S156" s="152">
        <v>0</v>
      </c>
      <c r="T156" s="151">
        <v>0</v>
      </c>
      <c r="U156" s="153">
        <v>0</v>
      </c>
    </row>
    <row r="157" spans="1:21" x14ac:dyDescent="0.25">
      <c r="A157" s="21" t="s">
        <v>1368</v>
      </c>
      <c r="B157" s="154" t="s">
        <v>1369</v>
      </c>
      <c r="C157" s="154" t="s">
        <v>1370</v>
      </c>
      <c r="D157" s="155">
        <v>0</v>
      </c>
      <c r="E157" s="158">
        <v>0</v>
      </c>
      <c r="F157" s="155">
        <v>0</v>
      </c>
      <c r="G157" s="158">
        <v>373</v>
      </c>
      <c r="H157" s="155">
        <v>0</v>
      </c>
      <c r="I157" s="158">
        <v>69.509599685668945</v>
      </c>
      <c r="J157" s="155">
        <v>0</v>
      </c>
      <c r="K157" s="158">
        <v>69.509599685668945</v>
      </c>
      <c r="L157" s="155">
        <v>176.40750122070312</v>
      </c>
      <c r="M157" s="158">
        <v>245.91710090637207</v>
      </c>
      <c r="N157" s="155">
        <v>0</v>
      </c>
      <c r="O157" s="158">
        <v>0</v>
      </c>
      <c r="P157" s="155">
        <v>0</v>
      </c>
      <c r="Q157" s="158">
        <v>0</v>
      </c>
      <c r="R157" s="155">
        <v>0</v>
      </c>
      <c r="S157" s="158">
        <v>0</v>
      </c>
      <c r="T157" s="155">
        <v>0</v>
      </c>
      <c r="U157" s="157">
        <v>0</v>
      </c>
    </row>
    <row r="158" spans="1:21" x14ac:dyDescent="0.25">
      <c r="A158" s="149" t="s">
        <v>1171</v>
      </c>
      <c r="B158" s="150" t="s">
        <v>764</v>
      </c>
      <c r="C158" s="150" t="s">
        <v>1172</v>
      </c>
      <c r="D158" s="151">
        <v>0</v>
      </c>
      <c r="E158" s="152">
        <v>0</v>
      </c>
      <c r="F158" s="151">
        <v>0</v>
      </c>
      <c r="G158" s="152">
        <v>693</v>
      </c>
      <c r="H158" s="151">
        <v>0</v>
      </c>
      <c r="I158" s="152">
        <v>693.4403076171875</v>
      </c>
      <c r="J158" s="151">
        <v>0</v>
      </c>
      <c r="K158" s="152">
        <v>693.4403076171875</v>
      </c>
      <c r="L158" s="151">
        <v>0</v>
      </c>
      <c r="M158" s="152">
        <v>693.4403076171875</v>
      </c>
      <c r="N158" s="151">
        <v>0</v>
      </c>
      <c r="O158" s="152">
        <v>0</v>
      </c>
      <c r="P158" s="151">
        <v>0</v>
      </c>
      <c r="Q158" s="152">
        <v>0</v>
      </c>
      <c r="R158" s="151">
        <v>0</v>
      </c>
      <c r="S158" s="152">
        <v>0</v>
      </c>
      <c r="T158" s="151">
        <v>0</v>
      </c>
      <c r="U158" s="153">
        <v>0</v>
      </c>
    </row>
    <row r="159" spans="1:21" x14ac:dyDescent="0.25">
      <c r="A159" s="21" t="s">
        <v>753</v>
      </c>
      <c r="B159" s="154" t="s">
        <v>1371</v>
      </c>
      <c r="C159" s="154" t="s">
        <v>1372</v>
      </c>
      <c r="D159" s="155">
        <v>0</v>
      </c>
      <c r="E159" s="158">
        <v>0</v>
      </c>
      <c r="F159" s="155">
        <v>0</v>
      </c>
      <c r="G159" s="158">
        <v>350</v>
      </c>
      <c r="H159" s="155">
        <v>0</v>
      </c>
      <c r="I159" s="158">
        <v>41.252120971679688</v>
      </c>
      <c r="J159" s="155">
        <v>0</v>
      </c>
      <c r="K159" s="158">
        <v>41.252120971679688</v>
      </c>
      <c r="L159" s="155">
        <v>7.4446201324462891</v>
      </c>
      <c r="M159" s="158">
        <v>48.696741104125977</v>
      </c>
      <c r="N159" s="155">
        <v>0</v>
      </c>
      <c r="O159" s="158">
        <v>0</v>
      </c>
      <c r="P159" s="155">
        <v>0</v>
      </c>
      <c r="Q159" s="158">
        <v>0</v>
      </c>
      <c r="R159" s="155">
        <v>0</v>
      </c>
      <c r="S159" s="158">
        <v>0</v>
      </c>
      <c r="T159" s="155">
        <v>0</v>
      </c>
      <c r="U159" s="157">
        <v>0</v>
      </c>
    </row>
    <row r="160" spans="1:21" x14ac:dyDescent="0.25">
      <c r="A160" s="149" t="s">
        <v>566</v>
      </c>
      <c r="B160" s="150" t="s">
        <v>1373</v>
      </c>
      <c r="C160" s="150" t="s">
        <v>1374</v>
      </c>
      <c r="D160" s="151">
        <v>0</v>
      </c>
      <c r="E160" s="152">
        <v>0</v>
      </c>
      <c r="F160" s="151">
        <v>0</v>
      </c>
      <c r="G160" s="152">
        <v>0</v>
      </c>
      <c r="H160" s="151">
        <v>0</v>
      </c>
      <c r="I160" s="152">
        <v>0</v>
      </c>
      <c r="J160" s="151">
        <v>0</v>
      </c>
      <c r="K160" s="152">
        <v>0</v>
      </c>
      <c r="L160" s="151">
        <v>0</v>
      </c>
      <c r="M160" s="152">
        <v>0</v>
      </c>
      <c r="N160" s="151">
        <v>0</v>
      </c>
      <c r="O160" s="152">
        <v>0</v>
      </c>
      <c r="P160" s="151">
        <v>0</v>
      </c>
      <c r="Q160" s="152">
        <v>0</v>
      </c>
      <c r="R160" s="151">
        <v>0</v>
      </c>
      <c r="S160" s="152">
        <v>0</v>
      </c>
      <c r="T160" s="151">
        <v>0</v>
      </c>
      <c r="U160" s="153">
        <v>0</v>
      </c>
    </row>
    <row r="161" spans="1:21" x14ac:dyDescent="0.25">
      <c r="A161" s="21" t="s">
        <v>568</v>
      </c>
      <c r="B161" s="154" t="s">
        <v>567</v>
      </c>
      <c r="C161" s="154" t="s">
        <v>1375</v>
      </c>
      <c r="D161" s="155">
        <v>0</v>
      </c>
      <c r="E161" s="158">
        <v>0</v>
      </c>
      <c r="F161" s="155">
        <v>0</v>
      </c>
      <c r="G161" s="158">
        <v>0</v>
      </c>
      <c r="H161" s="155">
        <v>0</v>
      </c>
      <c r="I161" s="158">
        <v>0</v>
      </c>
      <c r="J161" s="155">
        <v>0</v>
      </c>
      <c r="K161" s="158">
        <v>0</v>
      </c>
      <c r="L161" s="155">
        <v>0</v>
      </c>
      <c r="M161" s="158">
        <v>0</v>
      </c>
      <c r="N161" s="155">
        <v>0</v>
      </c>
      <c r="O161" s="158">
        <v>0</v>
      </c>
      <c r="P161" s="155">
        <v>0</v>
      </c>
      <c r="Q161" s="158">
        <v>0</v>
      </c>
      <c r="R161" s="155">
        <v>0</v>
      </c>
      <c r="S161" s="158">
        <v>0</v>
      </c>
      <c r="T161" s="155">
        <v>0</v>
      </c>
      <c r="U161" s="157">
        <v>0</v>
      </c>
    </row>
    <row r="162" spans="1:21" x14ac:dyDescent="0.25">
      <c r="A162" s="149" t="s">
        <v>1164</v>
      </c>
      <c r="B162" s="150" t="s">
        <v>1376</v>
      </c>
      <c r="C162" s="150" t="s">
        <v>1165</v>
      </c>
      <c r="D162" s="151">
        <v>0</v>
      </c>
      <c r="E162" s="152">
        <v>0</v>
      </c>
      <c r="F162" s="151">
        <v>0</v>
      </c>
      <c r="G162" s="152">
        <v>1225</v>
      </c>
      <c r="H162" s="151">
        <v>0</v>
      </c>
      <c r="I162" s="152">
        <v>0</v>
      </c>
      <c r="J162" s="151">
        <v>0</v>
      </c>
      <c r="K162" s="152">
        <v>0</v>
      </c>
      <c r="L162" s="151">
        <v>1080</v>
      </c>
      <c r="M162" s="152">
        <v>1080</v>
      </c>
      <c r="N162" s="151">
        <v>0</v>
      </c>
      <c r="O162" s="152">
        <v>0</v>
      </c>
      <c r="P162" s="151">
        <v>0</v>
      </c>
      <c r="Q162" s="152">
        <v>0</v>
      </c>
      <c r="R162" s="151">
        <v>0</v>
      </c>
      <c r="S162" s="152">
        <v>0</v>
      </c>
      <c r="T162" s="151">
        <v>0</v>
      </c>
      <c r="U162" s="153">
        <v>0</v>
      </c>
    </row>
    <row r="163" spans="1:21" x14ac:dyDescent="0.25">
      <c r="A163" s="21" t="s">
        <v>1377</v>
      </c>
      <c r="B163" s="154" t="s">
        <v>1378</v>
      </c>
      <c r="C163" s="154" t="s">
        <v>1379</v>
      </c>
      <c r="D163" s="155">
        <v>0</v>
      </c>
      <c r="E163" s="158">
        <v>0</v>
      </c>
      <c r="F163" s="155">
        <v>0</v>
      </c>
      <c r="G163" s="158">
        <v>3223</v>
      </c>
      <c r="H163" s="155">
        <v>0</v>
      </c>
      <c r="I163" s="158">
        <v>142.675537109375</v>
      </c>
      <c r="J163" s="155">
        <v>0</v>
      </c>
      <c r="K163" s="158">
        <v>142.675537109375</v>
      </c>
      <c r="L163" s="155">
        <v>2855.5419702529907</v>
      </c>
      <c r="M163" s="158">
        <v>2998.2175073623657</v>
      </c>
      <c r="N163" s="155">
        <v>0</v>
      </c>
      <c r="O163" s="158">
        <v>0</v>
      </c>
      <c r="P163" s="155">
        <v>0</v>
      </c>
      <c r="Q163" s="158">
        <v>0</v>
      </c>
      <c r="R163" s="155">
        <v>0</v>
      </c>
      <c r="S163" s="158">
        <v>0</v>
      </c>
      <c r="T163" s="155">
        <v>0</v>
      </c>
      <c r="U163" s="157">
        <v>0</v>
      </c>
    </row>
    <row r="164" spans="1:21" x14ac:dyDescent="0.25">
      <c r="A164" s="149" t="s">
        <v>1010</v>
      </c>
      <c r="B164" s="150" t="s">
        <v>1011</v>
      </c>
      <c r="C164" s="150" t="s">
        <v>1380</v>
      </c>
      <c r="D164" s="151">
        <v>0</v>
      </c>
      <c r="E164" s="152">
        <v>0</v>
      </c>
      <c r="F164" s="151">
        <v>0</v>
      </c>
      <c r="G164" s="152">
        <v>600</v>
      </c>
      <c r="H164" s="151">
        <v>0</v>
      </c>
      <c r="I164" s="152">
        <v>599.97772216796875</v>
      </c>
      <c r="J164" s="151">
        <v>0</v>
      </c>
      <c r="K164" s="152">
        <v>599.97772216796875</v>
      </c>
      <c r="L164" s="151">
        <v>0</v>
      </c>
      <c r="M164" s="152">
        <v>599.97772216796875</v>
      </c>
      <c r="N164" s="151">
        <v>0</v>
      </c>
      <c r="O164" s="152">
        <v>0</v>
      </c>
      <c r="P164" s="151">
        <v>0</v>
      </c>
      <c r="Q164" s="152">
        <v>0</v>
      </c>
      <c r="R164" s="151">
        <v>0</v>
      </c>
      <c r="S164" s="152">
        <v>0</v>
      </c>
      <c r="T164" s="151">
        <v>0</v>
      </c>
      <c r="U164" s="153">
        <v>0</v>
      </c>
    </row>
    <row r="165" spans="1:21" x14ac:dyDescent="0.25">
      <c r="A165" s="21" t="s">
        <v>1163</v>
      </c>
      <c r="B165" s="154" t="s">
        <v>335</v>
      </c>
      <c r="C165" s="154" t="s">
        <v>1381</v>
      </c>
      <c r="D165" s="155">
        <v>0</v>
      </c>
      <c r="E165" s="158">
        <v>0</v>
      </c>
      <c r="F165" s="155">
        <v>0</v>
      </c>
      <c r="G165" s="158">
        <v>504</v>
      </c>
      <c r="H165" s="155">
        <v>0</v>
      </c>
      <c r="I165" s="158">
        <v>96.815998077392578</v>
      </c>
      <c r="J165" s="155">
        <v>0</v>
      </c>
      <c r="K165" s="158">
        <v>96.815998077392578</v>
      </c>
      <c r="L165" s="155">
        <v>407.36207246780396</v>
      </c>
      <c r="M165" s="158">
        <v>504.17807054519653</v>
      </c>
      <c r="N165" s="155">
        <v>0</v>
      </c>
      <c r="O165" s="158">
        <v>0</v>
      </c>
      <c r="P165" s="155">
        <v>0</v>
      </c>
      <c r="Q165" s="158">
        <v>0</v>
      </c>
      <c r="R165" s="155">
        <v>0</v>
      </c>
      <c r="S165" s="158">
        <v>0</v>
      </c>
      <c r="T165" s="155">
        <v>0</v>
      </c>
      <c r="U165" s="157">
        <v>0</v>
      </c>
    </row>
    <row r="166" spans="1:21" x14ac:dyDescent="0.25">
      <c r="A166" s="149" t="s">
        <v>1144</v>
      </c>
      <c r="B166" s="150" t="s">
        <v>1382</v>
      </c>
      <c r="C166" s="150" t="s">
        <v>1383</v>
      </c>
      <c r="D166" s="151">
        <v>0</v>
      </c>
      <c r="E166" s="152">
        <v>0</v>
      </c>
      <c r="F166" s="151">
        <v>0</v>
      </c>
      <c r="G166" s="152">
        <v>216</v>
      </c>
      <c r="H166" s="151">
        <v>0</v>
      </c>
      <c r="I166" s="152">
        <v>11.423999786376953</v>
      </c>
      <c r="J166" s="151">
        <v>0</v>
      </c>
      <c r="K166" s="152">
        <v>11.423999786376953</v>
      </c>
      <c r="L166" s="151">
        <v>204.57600402832031</v>
      </c>
      <c r="M166" s="152">
        <v>216.00000381469727</v>
      </c>
      <c r="N166" s="151">
        <v>0</v>
      </c>
      <c r="O166" s="152">
        <v>0</v>
      </c>
      <c r="P166" s="151">
        <v>0</v>
      </c>
      <c r="Q166" s="152">
        <v>0</v>
      </c>
      <c r="R166" s="151">
        <v>0</v>
      </c>
      <c r="S166" s="152">
        <v>0</v>
      </c>
      <c r="T166" s="151">
        <v>0</v>
      </c>
      <c r="U166" s="153">
        <v>0</v>
      </c>
    </row>
    <row r="167" spans="1:21" x14ac:dyDescent="0.25">
      <c r="A167" s="21" t="s">
        <v>1049</v>
      </c>
      <c r="B167" s="154" t="s">
        <v>1338</v>
      </c>
      <c r="C167" s="154" t="s">
        <v>1384</v>
      </c>
      <c r="D167" s="155">
        <v>0</v>
      </c>
      <c r="E167" s="158">
        <v>0</v>
      </c>
      <c r="F167" s="155">
        <v>0</v>
      </c>
      <c r="G167" s="158">
        <v>1500</v>
      </c>
      <c r="H167" s="155">
        <v>0</v>
      </c>
      <c r="I167" s="158">
        <v>0</v>
      </c>
      <c r="J167" s="155">
        <v>0</v>
      </c>
      <c r="K167" s="158">
        <v>0</v>
      </c>
      <c r="L167" s="155">
        <v>1496.0580673217773</v>
      </c>
      <c r="M167" s="158">
        <v>1496.0580673217773</v>
      </c>
      <c r="N167" s="155">
        <v>0</v>
      </c>
      <c r="O167" s="158">
        <v>0</v>
      </c>
      <c r="P167" s="155">
        <v>0</v>
      </c>
      <c r="Q167" s="158">
        <v>0</v>
      </c>
      <c r="R167" s="155">
        <v>0</v>
      </c>
      <c r="S167" s="158">
        <v>0</v>
      </c>
      <c r="T167" s="155">
        <v>0</v>
      </c>
      <c r="U167" s="157">
        <v>0</v>
      </c>
    </row>
    <row r="168" spans="1:21" x14ac:dyDescent="0.25">
      <c r="A168" s="149" t="s">
        <v>1051</v>
      </c>
      <c r="B168" s="150" t="s">
        <v>1024</v>
      </c>
      <c r="C168" s="150" t="s">
        <v>1385</v>
      </c>
      <c r="D168" s="151">
        <v>0</v>
      </c>
      <c r="E168" s="152">
        <v>0</v>
      </c>
      <c r="F168" s="151">
        <v>0</v>
      </c>
      <c r="G168" s="152">
        <v>278</v>
      </c>
      <c r="H168" s="151">
        <v>0</v>
      </c>
      <c r="I168" s="152">
        <v>108.51967239379883</v>
      </c>
      <c r="J168" s="151">
        <v>0</v>
      </c>
      <c r="K168" s="152">
        <v>108.51967239379883</v>
      </c>
      <c r="L168" s="151">
        <v>169.582275390625</v>
      </c>
      <c r="M168" s="152">
        <v>278.10194778442383</v>
      </c>
      <c r="N168" s="151">
        <v>0</v>
      </c>
      <c r="O168" s="152">
        <v>0</v>
      </c>
      <c r="P168" s="151">
        <v>0</v>
      </c>
      <c r="Q168" s="152">
        <v>0</v>
      </c>
      <c r="R168" s="151">
        <v>0</v>
      </c>
      <c r="S168" s="152">
        <v>0</v>
      </c>
      <c r="T168" s="151">
        <v>0</v>
      </c>
      <c r="U168" s="153">
        <v>0</v>
      </c>
    </row>
    <row r="169" spans="1:21" x14ac:dyDescent="0.25">
      <c r="A169" s="21" t="s">
        <v>1465</v>
      </c>
      <c r="B169" s="154" t="s">
        <v>1466</v>
      </c>
      <c r="C169" s="154" t="s">
        <v>1467</v>
      </c>
      <c r="D169" s="155">
        <v>0</v>
      </c>
      <c r="E169" s="158">
        <v>0</v>
      </c>
      <c r="F169" s="155">
        <v>0</v>
      </c>
      <c r="G169" s="158">
        <v>245</v>
      </c>
      <c r="H169" s="155">
        <v>0</v>
      </c>
      <c r="I169" s="158">
        <v>0</v>
      </c>
      <c r="J169" s="155">
        <v>0</v>
      </c>
      <c r="K169" s="158">
        <v>0</v>
      </c>
      <c r="L169" s="155">
        <v>232.37596130371094</v>
      </c>
      <c r="M169" s="158">
        <v>232.37596130371094</v>
      </c>
      <c r="N169" s="155">
        <v>0</v>
      </c>
      <c r="O169" s="158">
        <v>0</v>
      </c>
      <c r="P169" s="155">
        <v>0</v>
      </c>
      <c r="Q169" s="158">
        <v>0</v>
      </c>
      <c r="R169" s="155">
        <v>0</v>
      </c>
      <c r="S169" s="158">
        <v>0</v>
      </c>
      <c r="T169" s="155">
        <v>0</v>
      </c>
      <c r="U169" s="157">
        <v>0</v>
      </c>
    </row>
    <row r="170" spans="1:21" x14ac:dyDescent="0.25">
      <c r="A170" s="149" t="s">
        <v>1140</v>
      </c>
      <c r="B170" s="150" t="s">
        <v>1386</v>
      </c>
      <c r="C170" s="150" t="s">
        <v>1387</v>
      </c>
      <c r="D170" s="151">
        <v>0</v>
      </c>
      <c r="E170" s="152">
        <v>0</v>
      </c>
      <c r="F170" s="151">
        <v>0</v>
      </c>
      <c r="G170" s="152">
        <v>814</v>
      </c>
      <c r="H170" s="151">
        <v>0</v>
      </c>
      <c r="I170" s="152">
        <v>813.67767333984375</v>
      </c>
      <c r="J170" s="151">
        <v>0</v>
      </c>
      <c r="K170" s="152">
        <v>813.67767333984375</v>
      </c>
      <c r="L170" s="151">
        <v>0</v>
      </c>
      <c r="M170" s="152">
        <v>813.67767333984375</v>
      </c>
      <c r="N170" s="151">
        <v>0</v>
      </c>
      <c r="O170" s="152">
        <v>0</v>
      </c>
      <c r="P170" s="151">
        <v>0</v>
      </c>
      <c r="Q170" s="152">
        <v>0</v>
      </c>
      <c r="R170" s="151">
        <v>0</v>
      </c>
      <c r="S170" s="152">
        <v>0</v>
      </c>
      <c r="T170" s="151">
        <v>0</v>
      </c>
      <c r="U170" s="153">
        <v>0</v>
      </c>
    </row>
    <row r="171" spans="1:21" x14ac:dyDescent="0.25">
      <c r="A171" s="21" t="s">
        <v>1147</v>
      </c>
      <c r="B171" s="154" t="s">
        <v>1023</v>
      </c>
      <c r="C171" s="154" t="s">
        <v>1388</v>
      </c>
      <c r="D171" s="155">
        <v>0</v>
      </c>
      <c r="E171" s="158">
        <v>0</v>
      </c>
      <c r="F171" s="155">
        <v>0</v>
      </c>
      <c r="G171" s="158">
        <v>155</v>
      </c>
      <c r="H171" s="155">
        <v>0</v>
      </c>
      <c r="I171" s="158">
        <v>0</v>
      </c>
      <c r="J171" s="155">
        <v>0</v>
      </c>
      <c r="K171" s="158">
        <v>0</v>
      </c>
      <c r="L171" s="155">
        <v>154.5</v>
      </c>
      <c r="M171" s="158">
        <v>154.5</v>
      </c>
      <c r="N171" s="155">
        <v>0</v>
      </c>
      <c r="O171" s="158">
        <v>0</v>
      </c>
      <c r="P171" s="155">
        <v>0</v>
      </c>
      <c r="Q171" s="158">
        <v>0</v>
      </c>
      <c r="R171" s="155">
        <v>0</v>
      </c>
      <c r="S171" s="158">
        <v>0</v>
      </c>
      <c r="T171" s="155">
        <v>0</v>
      </c>
      <c r="U171" s="157">
        <v>0</v>
      </c>
    </row>
    <row r="172" spans="1:21" x14ac:dyDescent="0.25">
      <c r="A172" s="149" t="s">
        <v>1050</v>
      </c>
      <c r="B172" s="150" t="s">
        <v>1022</v>
      </c>
      <c r="C172" s="150" t="s">
        <v>1389</v>
      </c>
      <c r="D172" s="151">
        <v>0</v>
      </c>
      <c r="E172" s="152">
        <v>0</v>
      </c>
      <c r="F172" s="151">
        <v>0</v>
      </c>
      <c r="G172" s="152">
        <v>247</v>
      </c>
      <c r="H172" s="151">
        <v>0</v>
      </c>
      <c r="I172" s="152">
        <v>35.544418334960938</v>
      </c>
      <c r="J172" s="151">
        <v>0</v>
      </c>
      <c r="K172" s="152">
        <v>35.544418334960938</v>
      </c>
      <c r="L172" s="151">
        <v>211.65557861328125</v>
      </c>
      <c r="M172" s="152">
        <v>247.19999694824219</v>
      </c>
      <c r="N172" s="151">
        <v>0</v>
      </c>
      <c r="O172" s="152">
        <v>0</v>
      </c>
      <c r="P172" s="151">
        <v>0</v>
      </c>
      <c r="Q172" s="152">
        <v>0</v>
      </c>
      <c r="R172" s="151">
        <v>0</v>
      </c>
      <c r="S172" s="152">
        <v>0</v>
      </c>
      <c r="T172" s="151">
        <v>0</v>
      </c>
      <c r="U172" s="153">
        <v>0</v>
      </c>
    </row>
    <row r="173" spans="1:21" x14ac:dyDescent="0.25">
      <c r="A173" s="21" t="s">
        <v>1143</v>
      </c>
      <c r="B173" s="154" t="s">
        <v>1390</v>
      </c>
      <c r="C173" s="154" t="s">
        <v>1391</v>
      </c>
      <c r="D173" s="155">
        <v>0</v>
      </c>
      <c r="E173" s="158">
        <v>0</v>
      </c>
      <c r="F173" s="155">
        <v>0</v>
      </c>
      <c r="G173" s="158">
        <v>871</v>
      </c>
      <c r="H173" s="155">
        <v>0</v>
      </c>
      <c r="I173" s="158">
        <v>0</v>
      </c>
      <c r="J173" s="155">
        <v>0</v>
      </c>
      <c r="K173" s="158">
        <v>0</v>
      </c>
      <c r="L173" s="155">
        <v>384.39999389648437</v>
      </c>
      <c r="M173" s="158">
        <v>384.39999389648437</v>
      </c>
      <c r="N173" s="155">
        <v>0</v>
      </c>
      <c r="O173" s="158">
        <v>0</v>
      </c>
      <c r="P173" s="155">
        <v>0</v>
      </c>
      <c r="Q173" s="158">
        <v>0</v>
      </c>
      <c r="R173" s="155">
        <v>0</v>
      </c>
      <c r="S173" s="158">
        <v>0</v>
      </c>
      <c r="T173" s="155">
        <v>0</v>
      </c>
      <c r="U173" s="157">
        <v>0</v>
      </c>
    </row>
    <row r="174" spans="1:21" x14ac:dyDescent="0.25">
      <c r="A174" s="149" t="s">
        <v>1550</v>
      </c>
      <c r="B174" s="150" t="s">
        <v>1551</v>
      </c>
      <c r="C174" s="150" t="s">
        <v>1552</v>
      </c>
      <c r="D174" s="151">
        <v>0</v>
      </c>
      <c r="E174" s="152">
        <v>0</v>
      </c>
      <c r="F174" s="151">
        <v>0</v>
      </c>
      <c r="G174" s="152">
        <v>150</v>
      </c>
      <c r="H174" s="151">
        <v>0</v>
      </c>
      <c r="I174" s="152">
        <v>0</v>
      </c>
      <c r="J174" s="151">
        <v>0</v>
      </c>
      <c r="K174" s="152">
        <v>0</v>
      </c>
      <c r="L174" s="151">
        <v>0</v>
      </c>
      <c r="M174" s="152">
        <v>0</v>
      </c>
      <c r="N174" s="151">
        <v>0</v>
      </c>
      <c r="O174" s="152">
        <v>0</v>
      </c>
      <c r="P174" s="151">
        <v>0</v>
      </c>
      <c r="Q174" s="152">
        <v>0</v>
      </c>
      <c r="R174" s="151">
        <v>0</v>
      </c>
      <c r="S174" s="152">
        <v>0</v>
      </c>
      <c r="T174" s="151">
        <v>0</v>
      </c>
      <c r="U174" s="153">
        <v>0</v>
      </c>
    </row>
    <row r="175" spans="1:21" x14ac:dyDescent="0.25">
      <c r="A175" s="21" t="s">
        <v>1479</v>
      </c>
      <c r="B175" s="154" t="s">
        <v>1480</v>
      </c>
      <c r="C175" s="154" t="s">
        <v>1481</v>
      </c>
      <c r="D175" s="155">
        <v>0</v>
      </c>
      <c r="E175" s="158">
        <v>0</v>
      </c>
      <c r="F175" s="155">
        <v>0</v>
      </c>
      <c r="G175" s="158">
        <v>141</v>
      </c>
      <c r="H175" s="155">
        <v>0</v>
      </c>
      <c r="I175" s="158">
        <v>0</v>
      </c>
      <c r="J175" s="155">
        <v>0</v>
      </c>
      <c r="K175" s="158">
        <v>0</v>
      </c>
      <c r="L175" s="155">
        <v>141.22349548339844</v>
      </c>
      <c r="M175" s="158">
        <v>141.22349548339844</v>
      </c>
      <c r="N175" s="155">
        <v>0</v>
      </c>
      <c r="O175" s="158">
        <v>0</v>
      </c>
      <c r="P175" s="155">
        <v>0</v>
      </c>
      <c r="Q175" s="158">
        <v>0</v>
      </c>
      <c r="R175" s="155">
        <v>0</v>
      </c>
      <c r="S175" s="158">
        <v>0</v>
      </c>
      <c r="T175" s="155">
        <v>0</v>
      </c>
      <c r="U175" s="157">
        <v>0</v>
      </c>
    </row>
    <row r="176" spans="1:21" x14ac:dyDescent="0.25">
      <c r="A176" s="149" t="s">
        <v>1587</v>
      </c>
      <c r="B176" s="150" t="s">
        <v>1588</v>
      </c>
      <c r="C176" s="150" t="s">
        <v>1589</v>
      </c>
      <c r="D176" s="151">
        <v>0</v>
      </c>
      <c r="E176" s="152">
        <v>0</v>
      </c>
      <c r="F176" s="151">
        <v>0</v>
      </c>
      <c r="G176" s="152">
        <v>420</v>
      </c>
      <c r="H176" s="151">
        <v>0</v>
      </c>
      <c r="I176" s="152">
        <v>0</v>
      </c>
      <c r="J176" s="151">
        <v>0</v>
      </c>
      <c r="K176" s="152">
        <v>0</v>
      </c>
      <c r="L176" s="151">
        <v>420.44839477539062</v>
      </c>
      <c r="M176" s="152">
        <v>420.44839477539062</v>
      </c>
      <c r="N176" s="151">
        <v>0</v>
      </c>
      <c r="O176" s="152">
        <v>0</v>
      </c>
      <c r="P176" s="151">
        <v>0</v>
      </c>
      <c r="Q176" s="152">
        <v>0</v>
      </c>
      <c r="R176" s="151">
        <v>0</v>
      </c>
      <c r="S176" s="152">
        <v>0</v>
      </c>
      <c r="T176" s="151">
        <v>0</v>
      </c>
      <c r="U176" s="153">
        <v>0</v>
      </c>
    </row>
    <row r="177" spans="1:21" x14ac:dyDescent="0.25">
      <c r="A177" s="21" t="s">
        <v>1615</v>
      </c>
      <c r="B177" s="154" t="s">
        <v>1616</v>
      </c>
      <c r="C177" s="154" t="s">
        <v>1617</v>
      </c>
      <c r="D177" s="155">
        <v>0</v>
      </c>
      <c r="E177" s="158">
        <v>0</v>
      </c>
      <c r="F177" s="155">
        <v>0</v>
      </c>
      <c r="G177" s="158">
        <v>800</v>
      </c>
      <c r="H177" s="155">
        <v>0</v>
      </c>
      <c r="I177" s="158">
        <v>0</v>
      </c>
      <c r="J177" s="155">
        <v>0</v>
      </c>
      <c r="K177" s="158">
        <v>0</v>
      </c>
      <c r="L177" s="155">
        <v>800</v>
      </c>
      <c r="M177" s="158">
        <v>800</v>
      </c>
      <c r="N177" s="155">
        <v>0</v>
      </c>
      <c r="O177" s="158">
        <v>0</v>
      </c>
      <c r="P177" s="155">
        <v>0</v>
      </c>
      <c r="Q177" s="158">
        <v>0</v>
      </c>
      <c r="R177" s="155">
        <v>0</v>
      </c>
      <c r="S177" s="158">
        <v>0</v>
      </c>
      <c r="T177" s="155">
        <v>0</v>
      </c>
      <c r="U177" s="157">
        <v>0</v>
      </c>
    </row>
    <row r="178" spans="1:21" x14ac:dyDescent="0.25">
      <c r="A178" s="149" t="s">
        <v>1645</v>
      </c>
      <c r="B178" s="150" t="s">
        <v>1605</v>
      </c>
      <c r="C178" s="150" t="s">
        <v>1646</v>
      </c>
      <c r="D178" s="151">
        <v>0</v>
      </c>
      <c r="E178" s="152">
        <v>0</v>
      </c>
      <c r="F178" s="151">
        <v>0</v>
      </c>
      <c r="G178" s="152">
        <v>500</v>
      </c>
      <c r="H178" s="151">
        <v>0</v>
      </c>
      <c r="I178" s="152">
        <v>0</v>
      </c>
      <c r="J178" s="151">
        <v>0</v>
      </c>
      <c r="K178" s="152">
        <v>0</v>
      </c>
      <c r="L178" s="151">
        <v>439.99998474121094</v>
      </c>
      <c r="M178" s="152">
        <v>439.99998474121094</v>
      </c>
      <c r="N178" s="151">
        <v>0</v>
      </c>
      <c r="O178" s="152">
        <v>0</v>
      </c>
      <c r="P178" s="151">
        <v>0</v>
      </c>
      <c r="Q178" s="152">
        <v>0</v>
      </c>
      <c r="R178" s="151">
        <v>0</v>
      </c>
      <c r="S178" s="152">
        <v>0</v>
      </c>
      <c r="T178" s="151">
        <v>0</v>
      </c>
      <c r="U178" s="153">
        <v>0</v>
      </c>
    </row>
    <row r="179" spans="1:21" x14ac:dyDescent="0.25">
      <c r="A179" s="21" t="s">
        <v>1647</v>
      </c>
      <c r="B179" s="154" t="s">
        <v>1574</v>
      </c>
      <c r="C179" s="154" t="s">
        <v>1648</v>
      </c>
      <c r="D179" s="155">
        <v>0</v>
      </c>
      <c r="E179" s="158">
        <v>0</v>
      </c>
      <c r="F179" s="155">
        <v>0</v>
      </c>
      <c r="G179" s="158">
        <v>760</v>
      </c>
      <c r="H179" s="155">
        <v>0</v>
      </c>
      <c r="I179" s="158">
        <v>0</v>
      </c>
      <c r="J179" s="155">
        <v>0</v>
      </c>
      <c r="K179" s="158">
        <v>0</v>
      </c>
      <c r="L179" s="155">
        <v>572.49600219726562</v>
      </c>
      <c r="M179" s="158">
        <v>572.49600219726562</v>
      </c>
      <c r="N179" s="155">
        <v>0</v>
      </c>
      <c r="O179" s="158">
        <v>0</v>
      </c>
      <c r="P179" s="155">
        <v>0</v>
      </c>
      <c r="Q179" s="158">
        <v>0</v>
      </c>
      <c r="R179" s="155">
        <v>0</v>
      </c>
      <c r="S179" s="158">
        <v>0</v>
      </c>
      <c r="T179" s="155">
        <v>0</v>
      </c>
      <c r="U179" s="157">
        <v>0</v>
      </c>
    </row>
    <row r="180" spans="1:21" x14ac:dyDescent="0.25">
      <c r="A180" s="149" t="s">
        <v>1649</v>
      </c>
      <c r="B180" s="150" t="s">
        <v>843</v>
      </c>
      <c r="C180" s="150" t="s">
        <v>1650</v>
      </c>
      <c r="D180" s="151">
        <v>0</v>
      </c>
      <c r="E180" s="152">
        <v>0</v>
      </c>
      <c r="F180" s="151">
        <v>0</v>
      </c>
      <c r="G180" s="152">
        <v>1865</v>
      </c>
      <c r="H180" s="151">
        <v>0</v>
      </c>
      <c r="I180" s="152">
        <v>0</v>
      </c>
      <c r="J180" s="151">
        <v>0</v>
      </c>
      <c r="K180" s="152">
        <v>0</v>
      </c>
      <c r="L180" s="151">
        <v>1678.5040016174316</v>
      </c>
      <c r="M180" s="152">
        <v>1678.5040016174316</v>
      </c>
      <c r="N180" s="151">
        <v>0</v>
      </c>
      <c r="O180" s="152">
        <v>0</v>
      </c>
      <c r="P180" s="151">
        <v>0</v>
      </c>
      <c r="Q180" s="152">
        <v>0</v>
      </c>
      <c r="R180" s="151">
        <v>0</v>
      </c>
      <c r="S180" s="152">
        <v>0</v>
      </c>
      <c r="T180" s="151">
        <v>0</v>
      </c>
      <c r="U180" s="153">
        <v>0</v>
      </c>
    </row>
    <row r="181" spans="1:21" x14ac:dyDescent="0.25">
      <c r="A181" s="21" t="s">
        <v>1651</v>
      </c>
      <c r="B181" s="154" t="s">
        <v>1652</v>
      </c>
      <c r="C181" s="154" t="s">
        <v>1653</v>
      </c>
      <c r="D181" s="155">
        <v>0</v>
      </c>
      <c r="E181" s="158">
        <v>0</v>
      </c>
      <c r="F181" s="155">
        <v>0</v>
      </c>
      <c r="G181" s="158">
        <v>179</v>
      </c>
      <c r="H181" s="155">
        <v>0</v>
      </c>
      <c r="I181" s="158">
        <v>0</v>
      </c>
      <c r="J181" s="155">
        <v>0</v>
      </c>
      <c r="K181" s="158">
        <v>0</v>
      </c>
      <c r="L181" s="155">
        <v>0</v>
      </c>
      <c r="M181" s="158">
        <v>0</v>
      </c>
      <c r="N181" s="155">
        <v>0</v>
      </c>
      <c r="O181" s="158">
        <v>0</v>
      </c>
      <c r="P181" s="155">
        <v>0</v>
      </c>
      <c r="Q181" s="158">
        <v>0</v>
      </c>
      <c r="R181" s="155">
        <v>0</v>
      </c>
      <c r="S181" s="158">
        <v>0</v>
      </c>
      <c r="T181" s="155">
        <v>0</v>
      </c>
      <c r="U181" s="157">
        <v>0</v>
      </c>
    </row>
    <row r="182" spans="1:21" x14ac:dyDescent="0.25">
      <c r="A182" s="149" t="s">
        <v>1746</v>
      </c>
      <c r="B182" s="150" t="s">
        <v>1684</v>
      </c>
      <c r="C182" s="150" t="s">
        <v>1747</v>
      </c>
      <c r="D182" s="151">
        <v>0</v>
      </c>
      <c r="E182" s="152">
        <v>0</v>
      </c>
      <c r="F182" s="151">
        <v>0</v>
      </c>
      <c r="G182" s="152">
        <v>0</v>
      </c>
      <c r="H182" s="151">
        <v>0</v>
      </c>
      <c r="I182" s="152">
        <v>0</v>
      </c>
      <c r="J182" s="151">
        <v>0</v>
      </c>
      <c r="K182" s="152">
        <v>0</v>
      </c>
      <c r="L182" s="151">
        <v>0</v>
      </c>
      <c r="M182" s="152">
        <v>0</v>
      </c>
      <c r="N182" s="151">
        <v>0</v>
      </c>
      <c r="O182" s="152">
        <v>0</v>
      </c>
      <c r="P182" s="151">
        <v>0</v>
      </c>
      <c r="Q182" s="152">
        <v>0</v>
      </c>
      <c r="R182" s="151">
        <v>0</v>
      </c>
      <c r="S182" s="152">
        <v>0</v>
      </c>
      <c r="T182" s="151">
        <v>0</v>
      </c>
      <c r="U182" s="153">
        <v>0</v>
      </c>
    </row>
    <row r="183" spans="1:21" x14ac:dyDescent="0.25">
      <c r="A183" s="21" t="s">
        <v>1748</v>
      </c>
      <c r="B183" s="154" t="s">
        <v>1678</v>
      </c>
      <c r="C183" s="154" t="s">
        <v>1749</v>
      </c>
      <c r="D183" s="155">
        <v>0</v>
      </c>
      <c r="E183" s="158">
        <v>0</v>
      </c>
      <c r="F183" s="155">
        <v>0</v>
      </c>
      <c r="G183" s="158">
        <v>26</v>
      </c>
      <c r="H183" s="155">
        <v>0</v>
      </c>
      <c r="I183" s="158">
        <v>0</v>
      </c>
      <c r="J183" s="155">
        <v>0</v>
      </c>
      <c r="K183" s="158">
        <v>0</v>
      </c>
      <c r="L183" s="155">
        <v>25.677000045776367</v>
      </c>
      <c r="M183" s="158">
        <v>25.677000045776367</v>
      </c>
      <c r="N183" s="155">
        <v>0</v>
      </c>
      <c r="O183" s="158">
        <v>0</v>
      </c>
      <c r="P183" s="155">
        <v>0</v>
      </c>
      <c r="Q183" s="158">
        <v>0</v>
      </c>
      <c r="R183" s="155">
        <v>0</v>
      </c>
      <c r="S183" s="158">
        <v>0</v>
      </c>
      <c r="T183" s="155">
        <v>0</v>
      </c>
      <c r="U183" s="157">
        <v>0</v>
      </c>
    </row>
    <row r="184" spans="1:21" x14ac:dyDescent="0.25">
      <c r="A184" s="149" t="s">
        <v>1750</v>
      </c>
      <c r="B184" s="150" t="s">
        <v>1025</v>
      </c>
      <c r="C184" s="150" t="s">
        <v>1751</v>
      </c>
      <c r="D184" s="151">
        <v>0</v>
      </c>
      <c r="E184" s="152">
        <v>0</v>
      </c>
      <c r="F184" s="151">
        <v>0</v>
      </c>
      <c r="G184" s="152">
        <v>68</v>
      </c>
      <c r="H184" s="151">
        <v>0</v>
      </c>
      <c r="I184" s="152">
        <v>0</v>
      </c>
      <c r="J184" s="151">
        <v>0</v>
      </c>
      <c r="K184" s="152">
        <v>0</v>
      </c>
      <c r="L184" s="151">
        <v>68.472000122070313</v>
      </c>
      <c r="M184" s="152">
        <v>68.472000122070313</v>
      </c>
      <c r="N184" s="151">
        <v>0</v>
      </c>
      <c r="O184" s="152">
        <v>0</v>
      </c>
      <c r="P184" s="151">
        <v>0</v>
      </c>
      <c r="Q184" s="152">
        <v>0</v>
      </c>
      <c r="R184" s="151">
        <v>0</v>
      </c>
      <c r="S184" s="152">
        <v>0</v>
      </c>
      <c r="T184" s="151">
        <v>0</v>
      </c>
      <c r="U184" s="153">
        <v>0</v>
      </c>
    </row>
    <row r="185" spans="1:21" x14ac:dyDescent="0.25">
      <c r="A185" s="21" t="s">
        <v>1752</v>
      </c>
      <c r="B185" s="154" t="s">
        <v>834</v>
      </c>
      <c r="C185" s="154" t="s">
        <v>1753</v>
      </c>
      <c r="D185" s="155">
        <v>0</v>
      </c>
      <c r="E185" s="158">
        <v>0</v>
      </c>
      <c r="F185" s="155">
        <v>0</v>
      </c>
      <c r="G185" s="158">
        <v>860</v>
      </c>
      <c r="H185" s="155">
        <v>0</v>
      </c>
      <c r="I185" s="158">
        <v>0</v>
      </c>
      <c r="J185" s="155">
        <v>0</v>
      </c>
      <c r="K185" s="158">
        <v>0</v>
      </c>
      <c r="L185" s="155">
        <v>0</v>
      </c>
      <c r="M185" s="158">
        <v>0</v>
      </c>
      <c r="N185" s="155">
        <v>0</v>
      </c>
      <c r="O185" s="158">
        <v>0</v>
      </c>
      <c r="P185" s="155">
        <v>0</v>
      </c>
      <c r="Q185" s="158">
        <v>0</v>
      </c>
      <c r="R185" s="155">
        <v>0</v>
      </c>
      <c r="S185" s="158">
        <v>0</v>
      </c>
      <c r="T185" s="155">
        <v>0</v>
      </c>
      <c r="U185" s="157">
        <v>0</v>
      </c>
    </row>
    <row r="186" spans="1:21" x14ac:dyDescent="0.25">
      <c r="A186" s="149" t="s">
        <v>1798</v>
      </c>
      <c r="B186" s="150" t="s">
        <v>854</v>
      </c>
      <c r="C186" s="150" t="s">
        <v>1799</v>
      </c>
      <c r="D186" s="151">
        <v>0</v>
      </c>
      <c r="E186" s="152">
        <v>0</v>
      </c>
      <c r="F186" s="151">
        <v>0</v>
      </c>
      <c r="G186" s="152">
        <v>12</v>
      </c>
      <c r="H186" s="151">
        <v>0</v>
      </c>
      <c r="I186" s="152">
        <v>0</v>
      </c>
      <c r="J186" s="151">
        <v>0</v>
      </c>
      <c r="K186" s="152">
        <v>0</v>
      </c>
      <c r="L186" s="151">
        <v>0</v>
      </c>
      <c r="M186" s="152">
        <v>0</v>
      </c>
      <c r="N186" s="151">
        <v>0</v>
      </c>
      <c r="O186" s="152">
        <v>0</v>
      </c>
      <c r="P186" s="151">
        <v>0</v>
      </c>
      <c r="Q186" s="152">
        <v>0</v>
      </c>
      <c r="R186" s="151">
        <v>0</v>
      </c>
      <c r="S186" s="152">
        <v>0</v>
      </c>
      <c r="T186" s="151">
        <v>0</v>
      </c>
      <c r="U186" s="153">
        <v>0</v>
      </c>
    </row>
    <row r="187" spans="1:21" x14ac:dyDescent="0.25">
      <c r="A187" s="21" t="s">
        <v>1800</v>
      </c>
      <c r="B187" s="154" t="s">
        <v>1796</v>
      </c>
      <c r="C187" s="154" t="s">
        <v>1801</v>
      </c>
      <c r="D187" s="155">
        <v>0</v>
      </c>
      <c r="E187" s="158">
        <v>0</v>
      </c>
      <c r="F187" s="155">
        <v>0</v>
      </c>
      <c r="G187" s="158">
        <v>99</v>
      </c>
      <c r="H187" s="155">
        <v>0</v>
      </c>
      <c r="I187" s="158">
        <v>0</v>
      </c>
      <c r="J187" s="155">
        <v>0</v>
      </c>
      <c r="K187" s="158">
        <v>0</v>
      </c>
      <c r="L187" s="155">
        <v>99.022499084472656</v>
      </c>
      <c r="M187" s="158">
        <v>99.022499084472656</v>
      </c>
      <c r="N187" s="155">
        <v>0</v>
      </c>
      <c r="O187" s="158">
        <v>0</v>
      </c>
      <c r="P187" s="155">
        <v>0</v>
      </c>
      <c r="Q187" s="158">
        <v>0</v>
      </c>
      <c r="R187" s="155">
        <v>0</v>
      </c>
      <c r="S187" s="158">
        <v>0</v>
      </c>
      <c r="T187" s="155">
        <v>0</v>
      </c>
      <c r="U187" s="157">
        <v>0</v>
      </c>
    </row>
    <row r="188" spans="1:21" x14ac:dyDescent="0.25">
      <c r="A188" s="149" t="s">
        <v>1194</v>
      </c>
      <c r="B188" s="150" t="s">
        <v>1392</v>
      </c>
      <c r="C188" s="150" t="s">
        <v>59</v>
      </c>
      <c r="D188" s="151">
        <v>0</v>
      </c>
      <c r="E188" s="152">
        <v>0</v>
      </c>
      <c r="F188" s="151">
        <v>0</v>
      </c>
      <c r="G188" s="152">
        <v>0</v>
      </c>
      <c r="H188" s="151">
        <v>0</v>
      </c>
      <c r="I188" s="152">
        <v>0</v>
      </c>
      <c r="J188" s="151">
        <v>0</v>
      </c>
      <c r="K188" s="152">
        <v>0</v>
      </c>
      <c r="L188" s="151">
        <v>0</v>
      </c>
      <c r="M188" s="152">
        <v>0</v>
      </c>
      <c r="N188" s="151">
        <v>0</v>
      </c>
      <c r="O188" s="152">
        <v>0</v>
      </c>
      <c r="P188" s="151">
        <v>0</v>
      </c>
      <c r="Q188" s="152">
        <v>0</v>
      </c>
      <c r="R188" s="151">
        <v>0</v>
      </c>
      <c r="S188" s="152">
        <v>0</v>
      </c>
      <c r="T188" s="151">
        <v>0</v>
      </c>
      <c r="U188" s="153">
        <v>0</v>
      </c>
    </row>
    <row r="189" spans="1:21" x14ac:dyDescent="0.25">
      <c r="A189" s="21" t="s">
        <v>1196</v>
      </c>
      <c r="B189" s="154" t="s">
        <v>1197</v>
      </c>
      <c r="C189" s="154" t="s">
        <v>59</v>
      </c>
      <c r="D189" s="155">
        <v>0</v>
      </c>
      <c r="E189" s="158">
        <v>0</v>
      </c>
      <c r="F189" s="155">
        <v>0</v>
      </c>
      <c r="G189" s="158">
        <v>0</v>
      </c>
      <c r="H189" s="155">
        <v>0</v>
      </c>
      <c r="I189" s="158">
        <v>0</v>
      </c>
      <c r="J189" s="155">
        <v>0</v>
      </c>
      <c r="K189" s="158">
        <v>0</v>
      </c>
      <c r="L189" s="155">
        <v>0</v>
      </c>
      <c r="M189" s="158">
        <v>0</v>
      </c>
      <c r="N189" s="155">
        <v>0</v>
      </c>
      <c r="O189" s="158">
        <v>0</v>
      </c>
      <c r="P189" s="155">
        <v>0</v>
      </c>
      <c r="Q189" s="158">
        <v>0</v>
      </c>
      <c r="R189" s="155">
        <v>0</v>
      </c>
      <c r="S189" s="158">
        <v>0</v>
      </c>
      <c r="T189" s="155">
        <v>0</v>
      </c>
      <c r="U189" s="157">
        <v>0</v>
      </c>
    </row>
    <row r="190" spans="1:21" x14ac:dyDescent="0.25">
      <c r="A190" s="149" t="s">
        <v>1393</v>
      </c>
      <c r="B190" s="150" t="s">
        <v>1394</v>
      </c>
      <c r="C190" s="150" t="s">
        <v>1510</v>
      </c>
      <c r="D190" s="151">
        <v>1746</v>
      </c>
      <c r="E190" s="152">
        <v>0</v>
      </c>
      <c r="F190" s="151">
        <v>90</v>
      </c>
      <c r="G190" s="152">
        <v>0</v>
      </c>
      <c r="H190" s="151">
        <v>0</v>
      </c>
      <c r="I190" s="152">
        <v>0</v>
      </c>
      <c r="J190" s="151">
        <v>0</v>
      </c>
      <c r="K190" s="152">
        <v>0</v>
      </c>
      <c r="L190" s="151">
        <v>0</v>
      </c>
      <c r="M190" s="152">
        <v>0</v>
      </c>
      <c r="N190" s="151">
        <v>1656</v>
      </c>
      <c r="O190" s="152">
        <v>0</v>
      </c>
      <c r="P190" s="151">
        <v>0</v>
      </c>
      <c r="Q190" s="152">
        <v>0</v>
      </c>
      <c r="R190" s="151">
        <v>0</v>
      </c>
      <c r="S190" s="152">
        <v>0</v>
      </c>
      <c r="T190" s="151">
        <v>0</v>
      </c>
      <c r="U190" s="153">
        <v>0</v>
      </c>
    </row>
    <row r="191" spans="1:21" x14ac:dyDescent="0.25">
      <c r="A191" s="21" t="s">
        <v>1426</v>
      </c>
      <c r="B191" s="154" t="s">
        <v>1511</v>
      </c>
      <c r="C191" s="154" t="s">
        <v>1512</v>
      </c>
      <c r="D191" s="155">
        <v>0</v>
      </c>
      <c r="E191" s="158">
        <v>0</v>
      </c>
      <c r="F191" s="155">
        <v>0</v>
      </c>
      <c r="G191" s="158">
        <v>0</v>
      </c>
      <c r="H191" s="155">
        <v>0</v>
      </c>
      <c r="I191" s="158">
        <v>0</v>
      </c>
      <c r="J191" s="155">
        <v>0</v>
      </c>
      <c r="K191" s="158">
        <v>0</v>
      </c>
      <c r="L191" s="155">
        <v>0</v>
      </c>
      <c r="M191" s="158">
        <v>0</v>
      </c>
      <c r="N191" s="155">
        <v>0</v>
      </c>
      <c r="O191" s="158">
        <v>0</v>
      </c>
      <c r="P191" s="155">
        <v>0</v>
      </c>
      <c r="Q191" s="158">
        <v>0</v>
      </c>
      <c r="R191" s="155">
        <v>0</v>
      </c>
      <c r="S191" s="158">
        <v>0</v>
      </c>
      <c r="T191" s="155">
        <v>0</v>
      </c>
      <c r="U191" s="157">
        <v>0</v>
      </c>
    </row>
    <row r="192" spans="1:21" x14ac:dyDescent="0.25">
      <c r="A192" s="149" t="s">
        <v>565</v>
      </c>
      <c r="B192" s="150" t="s">
        <v>1198</v>
      </c>
      <c r="C192" s="150" t="s">
        <v>59</v>
      </c>
      <c r="D192" s="151">
        <v>3710</v>
      </c>
      <c r="E192" s="152">
        <v>0</v>
      </c>
      <c r="F192" s="151">
        <v>0</v>
      </c>
      <c r="G192" s="152">
        <v>0</v>
      </c>
      <c r="H192" s="151">
        <v>0</v>
      </c>
      <c r="I192" s="152">
        <v>0</v>
      </c>
      <c r="J192" s="151">
        <v>0</v>
      </c>
      <c r="K192" s="152">
        <v>0</v>
      </c>
      <c r="L192" s="151">
        <v>0</v>
      </c>
      <c r="M192" s="152">
        <v>0</v>
      </c>
      <c r="N192" s="151">
        <v>208</v>
      </c>
      <c r="O192" s="152">
        <v>2982</v>
      </c>
      <c r="P192" s="151">
        <v>350</v>
      </c>
      <c r="Q192" s="152">
        <v>170</v>
      </c>
      <c r="R192" s="151">
        <v>0</v>
      </c>
      <c r="S192" s="152">
        <v>0</v>
      </c>
      <c r="T192" s="151">
        <v>0</v>
      </c>
      <c r="U192" s="153">
        <v>0</v>
      </c>
    </row>
    <row r="193" spans="1:21" x14ac:dyDescent="0.25">
      <c r="A193" s="21" t="s">
        <v>1199</v>
      </c>
      <c r="B193" s="154" t="s">
        <v>1200</v>
      </c>
      <c r="C193" s="154" t="s">
        <v>59</v>
      </c>
      <c r="D193" s="155">
        <v>3092</v>
      </c>
      <c r="E193" s="158">
        <v>0</v>
      </c>
      <c r="F193" s="155">
        <v>0</v>
      </c>
      <c r="G193" s="158">
        <v>0</v>
      </c>
      <c r="H193" s="155">
        <v>0</v>
      </c>
      <c r="I193" s="158">
        <v>0</v>
      </c>
      <c r="J193" s="155">
        <v>0</v>
      </c>
      <c r="K193" s="158">
        <v>0</v>
      </c>
      <c r="L193" s="155">
        <v>0</v>
      </c>
      <c r="M193" s="158">
        <v>0</v>
      </c>
      <c r="N193" s="155">
        <v>0</v>
      </c>
      <c r="O193" s="158">
        <v>0</v>
      </c>
      <c r="P193" s="155">
        <v>0</v>
      </c>
      <c r="Q193" s="158">
        <v>0</v>
      </c>
      <c r="R193" s="155">
        <v>0</v>
      </c>
      <c r="S193" s="158">
        <v>0</v>
      </c>
      <c r="T193" s="155">
        <v>0</v>
      </c>
      <c r="U193" s="157">
        <v>0</v>
      </c>
    </row>
    <row r="194" spans="1:21" x14ac:dyDescent="0.25">
      <c r="A194" s="149" t="s">
        <v>1194</v>
      </c>
      <c r="B194" s="150" t="s">
        <v>1315</v>
      </c>
      <c r="C194" s="150" t="s">
        <v>59</v>
      </c>
      <c r="D194" s="151">
        <v>0</v>
      </c>
      <c r="E194" s="152">
        <v>0</v>
      </c>
      <c r="F194" s="151">
        <v>0</v>
      </c>
      <c r="G194" s="152">
        <v>0</v>
      </c>
      <c r="H194" s="151">
        <v>0</v>
      </c>
      <c r="I194" s="152">
        <v>0</v>
      </c>
      <c r="J194" s="151">
        <v>0</v>
      </c>
      <c r="K194" s="152">
        <v>0</v>
      </c>
      <c r="L194" s="151">
        <v>0</v>
      </c>
      <c r="M194" s="152">
        <v>0</v>
      </c>
      <c r="N194" s="151">
        <v>0</v>
      </c>
      <c r="O194" s="152">
        <v>0</v>
      </c>
      <c r="P194" s="151">
        <v>0</v>
      </c>
      <c r="Q194" s="152">
        <v>0</v>
      </c>
      <c r="R194" s="151">
        <v>0</v>
      </c>
      <c r="S194" s="152">
        <v>0</v>
      </c>
      <c r="T194" s="151">
        <v>0</v>
      </c>
      <c r="U194" s="153">
        <v>0</v>
      </c>
    </row>
    <row r="195" spans="1:21" x14ac:dyDescent="0.25">
      <c r="A195" s="21" t="s">
        <v>1196</v>
      </c>
      <c r="B195" s="154" t="s">
        <v>1197</v>
      </c>
      <c r="C195" s="154" t="s">
        <v>59</v>
      </c>
      <c r="D195" s="155">
        <v>0</v>
      </c>
      <c r="E195" s="158">
        <v>0</v>
      </c>
      <c r="F195" s="155">
        <v>0</v>
      </c>
      <c r="G195" s="158">
        <v>0</v>
      </c>
      <c r="H195" s="155">
        <v>0</v>
      </c>
      <c r="I195" s="158">
        <v>0</v>
      </c>
      <c r="J195" s="155">
        <v>0</v>
      </c>
      <c r="K195" s="158">
        <v>0</v>
      </c>
      <c r="L195" s="155">
        <v>0</v>
      </c>
      <c r="M195" s="158">
        <v>0</v>
      </c>
      <c r="N195" s="155">
        <v>0</v>
      </c>
      <c r="O195" s="158">
        <v>0</v>
      </c>
      <c r="P195" s="155">
        <v>0</v>
      </c>
      <c r="Q195" s="158">
        <v>0</v>
      </c>
      <c r="R195" s="155">
        <v>0</v>
      </c>
      <c r="S195" s="158">
        <v>0</v>
      </c>
      <c r="T195" s="155">
        <v>0</v>
      </c>
      <c r="U195" s="157">
        <v>0</v>
      </c>
    </row>
    <row r="196" spans="1:21" x14ac:dyDescent="0.25">
      <c r="A196" s="149" t="s">
        <v>565</v>
      </c>
      <c r="B196" s="150" t="s">
        <v>1396</v>
      </c>
      <c r="C196" s="150" t="s">
        <v>59</v>
      </c>
      <c r="D196" s="151">
        <v>625</v>
      </c>
      <c r="E196" s="152">
        <v>0</v>
      </c>
      <c r="F196" s="151">
        <v>0</v>
      </c>
      <c r="G196" s="152">
        <v>0</v>
      </c>
      <c r="H196" s="151">
        <v>0</v>
      </c>
      <c r="I196" s="152">
        <v>0</v>
      </c>
      <c r="J196" s="151">
        <v>0</v>
      </c>
      <c r="K196" s="152">
        <v>0</v>
      </c>
      <c r="L196" s="151">
        <v>0</v>
      </c>
      <c r="M196" s="152">
        <v>0</v>
      </c>
      <c r="N196" s="151">
        <v>75</v>
      </c>
      <c r="O196" s="152">
        <v>150</v>
      </c>
      <c r="P196" s="151">
        <v>150</v>
      </c>
      <c r="Q196" s="152">
        <v>250</v>
      </c>
      <c r="R196" s="151">
        <v>0</v>
      </c>
      <c r="S196" s="152">
        <v>0</v>
      </c>
      <c r="T196" s="151">
        <v>0</v>
      </c>
      <c r="U196" s="153">
        <v>0</v>
      </c>
    </row>
    <row r="197" spans="1:21" x14ac:dyDescent="0.25">
      <c r="A197" s="21" t="s">
        <v>1199</v>
      </c>
      <c r="B197" s="154" t="s">
        <v>1200</v>
      </c>
      <c r="C197" s="154" t="s">
        <v>59</v>
      </c>
      <c r="D197" s="155">
        <v>0</v>
      </c>
      <c r="E197" s="158">
        <v>0</v>
      </c>
      <c r="F197" s="155">
        <v>0</v>
      </c>
      <c r="G197" s="158">
        <v>0</v>
      </c>
      <c r="H197" s="155">
        <v>0</v>
      </c>
      <c r="I197" s="158">
        <v>0</v>
      </c>
      <c r="J197" s="155">
        <v>0</v>
      </c>
      <c r="K197" s="158">
        <v>0</v>
      </c>
      <c r="L197" s="155">
        <v>0</v>
      </c>
      <c r="M197" s="158">
        <v>0</v>
      </c>
      <c r="N197" s="155">
        <v>0</v>
      </c>
      <c r="O197" s="158">
        <v>0</v>
      </c>
      <c r="P197" s="155">
        <v>0</v>
      </c>
      <c r="Q197" s="158">
        <v>0</v>
      </c>
      <c r="R197" s="155">
        <v>0</v>
      </c>
      <c r="S197" s="158">
        <v>0</v>
      </c>
      <c r="T197" s="155">
        <v>0</v>
      </c>
      <c r="U197" s="157">
        <v>0</v>
      </c>
    </row>
    <row r="198" spans="1:21" x14ac:dyDescent="0.25">
      <c r="A198" s="149" t="s">
        <v>1397</v>
      </c>
      <c r="B198" s="150" t="s">
        <v>1398</v>
      </c>
      <c r="C198" s="150" t="s">
        <v>1399</v>
      </c>
      <c r="D198" s="151">
        <v>75</v>
      </c>
      <c r="E198" s="152">
        <v>0</v>
      </c>
      <c r="F198" s="151">
        <v>75</v>
      </c>
      <c r="G198" s="152">
        <v>0</v>
      </c>
      <c r="H198" s="151">
        <v>0</v>
      </c>
      <c r="I198" s="152">
        <v>0</v>
      </c>
      <c r="J198" s="151">
        <v>0</v>
      </c>
      <c r="K198" s="152">
        <v>0</v>
      </c>
      <c r="L198" s="151">
        <v>0</v>
      </c>
      <c r="M198" s="152">
        <v>0</v>
      </c>
      <c r="N198" s="151">
        <v>0</v>
      </c>
      <c r="O198" s="152">
        <v>0</v>
      </c>
      <c r="P198" s="151">
        <v>0</v>
      </c>
      <c r="Q198" s="152">
        <v>0</v>
      </c>
      <c r="R198" s="151">
        <v>0</v>
      </c>
      <c r="S198" s="152">
        <v>0</v>
      </c>
      <c r="T198" s="151">
        <v>0</v>
      </c>
      <c r="U198" s="153">
        <v>0</v>
      </c>
    </row>
    <row r="199" spans="1:21" x14ac:dyDescent="0.25">
      <c r="A199" s="21" t="s">
        <v>1482</v>
      </c>
      <c r="B199" s="154" t="s">
        <v>1463</v>
      </c>
      <c r="C199" s="154" t="s">
        <v>1483</v>
      </c>
      <c r="D199" s="155">
        <v>0</v>
      </c>
      <c r="E199" s="158">
        <v>0</v>
      </c>
      <c r="F199" s="155">
        <v>0</v>
      </c>
      <c r="G199" s="158">
        <v>75</v>
      </c>
      <c r="H199" s="155">
        <v>0</v>
      </c>
      <c r="I199" s="158">
        <v>0</v>
      </c>
      <c r="J199" s="155">
        <v>0</v>
      </c>
      <c r="K199" s="158">
        <v>0</v>
      </c>
      <c r="L199" s="155">
        <v>0</v>
      </c>
      <c r="M199" s="158">
        <v>0</v>
      </c>
      <c r="N199" s="155">
        <v>0</v>
      </c>
      <c r="O199" s="158">
        <v>0</v>
      </c>
      <c r="P199" s="155">
        <v>0</v>
      </c>
      <c r="Q199" s="158">
        <v>0</v>
      </c>
      <c r="R199" s="155">
        <v>0</v>
      </c>
      <c r="S199" s="158">
        <v>0</v>
      </c>
      <c r="T199" s="155">
        <v>0</v>
      </c>
      <c r="U199" s="157">
        <v>0</v>
      </c>
    </row>
    <row r="200" spans="1:21" x14ac:dyDescent="0.25">
      <c r="A200" s="149" t="s">
        <v>1194</v>
      </c>
      <c r="B200" s="150" t="s">
        <v>1400</v>
      </c>
      <c r="C200" s="150" t="s">
        <v>59</v>
      </c>
      <c r="D200" s="151">
        <v>0</v>
      </c>
      <c r="E200" s="152">
        <v>0</v>
      </c>
      <c r="F200" s="151">
        <v>0</v>
      </c>
      <c r="G200" s="152">
        <v>0</v>
      </c>
      <c r="H200" s="151">
        <v>0</v>
      </c>
      <c r="I200" s="152">
        <v>0</v>
      </c>
      <c r="J200" s="151">
        <v>0</v>
      </c>
      <c r="K200" s="152">
        <v>0</v>
      </c>
      <c r="L200" s="151">
        <v>0</v>
      </c>
      <c r="M200" s="152">
        <v>0</v>
      </c>
      <c r="N200" s="151">
        <v>0</v>
      </c>
      <c r="O200" s="152">
        <v>0</v>
      </c>
      <c r="P200" s="151">
        <v>0</v>
      </c>
      <c r="Q200" s="152">
        <v>0</v>
      </c>
      <c r="R200" s="151">
        <v>0</v>
      </c>
      <c r="S200" s="152">
        <v>0</v>
      </c>
      <c r="T200" s="151">
        <v>0</v>
      </c>
      <c r="U200" s="153">
        <v>0</v>
      </c>
    </row>
    <row r="201" spans="1:21" x14ac:dyDescent="0.25">
      <c r="A201" s="21" t="s">
        <v>1196</v>
      </c>
      <c r="B201" s="154" t="s">
        <v>1197</v>
      </c>
      <c r="C201" s="154" t="s">
        <v>59</v>
      </c>
      <c r="D201" s="155">
        <v>0</v>
      </c>
      <c r="E201" s="158">
        <v>0</v>
      </c>
      <c r="F201" s="155">
        <v>0</v>
      </c>
      <c r="G201" s="158">
        <v>0</v>
      </c>
      <c r="H201" s="155">
        <v>0</v>
      </c>
      <c r="I201" s="158">
        <v>0</v>
      </c>
      <c r="J201" s="155">
        <v>0</v>
      </c>
      <c r="K201" s="158">
        <v>0</v>
      </c>
      <c r="L201" s="155">
        <v>0</v>
      </c>
      <c r="M201" s="158">
        <v>0</v>
      </c>
      <c r="N201" s="155">
        <v>0</v>
      </c>
      <c r="O201" s="158">
        <v>0</v>
      </c>
      <c r="P201" s="155">
        <v>0</v>
      </c>
      <c r="Q201" s="158">
        <v>0</v>
      </c>
      <c r="R201" s="155">
        <v>0</v>
      </c>
      <c r="S201" s="158">
        <v>0</v>
      </c>
      <c r="T201" s="155">
        <v>0</v>
      </c>
      <c r="U201" s="157">
        <v>0</v>
      </c>
    </row>
    <row r="202" spans="1:21" x14ac:dyDescent="0.25">
      <c r="A202" s="149" t="s">
        <v>565</v>
      </c>
      <c r="B202" s="150" t="s">
        <v>1401</v>
      </c>
      <c r="C202" s="150" t="s">
        <v>59</v>
      </c>
      <c r="D202" s="151">
        <v>571</v>
      </c>
      <c r="E202" s="152">
        <v>0</v>
      </c>
      <c r="F202" s="151">
        <v>0</v>
      </c>
      <c r="G202" s="152">
        <v>0</v>
      </c>
      <c r="H202" s="151">
        <v>0</v>
      </c>
      <c r="I202" s="152">
        <v>0</v>
      </c>
      <c r="J202" s="151">
        <v>0</v>
      </c>
      <c r="K202" s="152">
        <v>0</v>
      </c>
      <c r="L202" s="151">
        <v>0</v>
      </c>
      <c r="M202" s="152">
        <v>0</v>
      </c>
      <c r="N202" s="151">
        <v>135</v>
      </c>
      <c r="O202" s="152">
        <v>136</v>
      </c>
      <c r="P202" s="151">
        <v>150</v>
      </c>
      <c r="Q202" s="152">
        <v>150</v>
      </c>
      <c r="R202" s="151">
        <v>0</v>
      </c>
      <c r="S202" s="152">
        <v>0</v>
      </c>
      <c r="T202" s="151">
        <v>0</v>
      </c>
      <c r="U202" s="153">
        <v>0</v>
      </c>
    </row>
    <row r="203" spans="1:21" x14ac:dyDescent="0.25">
      <c r="A203" s="21" t="s">
        <v>1199</v>
      </c>
      <c r="B203" s="154" t="s">
        <v>1200</v>
      </c>
      <c r="C203" s="154" t="s">
        <v>59</v>
      </c>
      <c r="D203" s="155">
        <v>0</v>
      </c>
      <c r="E203" s="158">
        <v>0</v>
      </c>
      <c r="F203" s="155">
        <v>0</v>
      </c>
      <c r="G203" s="158">
        <v>0</v>
      </c>
      <c r="H203" s="155">
        <v>0</v>
      </c>
      <c r="I203" s="158">
        <v>0</v>
      </c>
      <c r="J203" s="155">
        <v>0</v>
      </c>
      <c r="K203" s="158">
        <v>0</v>
      </c>
      <c r="L203" s="155">
        <v>0</v>
      </c>
      <c r="M203" s="158">
        <v>0</v>
      </c>
      <c r="N203" s="155">
        <v>0</v>
      </c>
      <c r="O203" s="158">
        <v>0</v>
      </c>
      <c r="P203" s="155">
        <v>0</v>
      </c>
      <c r="Q203" s="158">
        <v>0</v>
      </c>
      <c r="R203" s="155">
        <v>0</v>
      </c>
      <c r="S203" s="158">
        <v>0</v>
      </c>
      <c r="T203" s="155">
        <v>0</v>
      </c>
      <c r="U203" s="157">
        <v>0</v>
      </c>
    </row>
    <row r="204" spans="1:21" x14ac:dyDescent="0.25">
      <c r="A204" s="149" t="s">
        <v>801</v>
      </c>
      <c r="B204" s="150" t="s">
        <v>1405</v>
      </c>
      <c r="C204" s="150" t="s">
        <v>1406</v>
      </c>
      <c r="D204" s="151">
        <v>0</v>
      </c>
      <c r="E204" s="152">
        <v>0</v>
      </c>
      <c r="F204" s="151">
        <v>0</v>
      </c>
      <c r="G204" s="152">
        <v>8</v>
      </c>
      <c r="H204" s="151">
        <v>0</v>
      </c>
      <c r="I204" s="152">
        <v>7.60504150390625</v>
      </c>
      <c r="J204" s="151">
        <v>0</v>
      </c>
      <c r="K204" s="152">
        <v>7.60504150390625</v>
      </c>
      <c r="L204" s="151">
        <v>0</v>
      </c>
      <c r="M204" s="152">
        <v>7.60504150390625</v>
      </c>
      <c r="N204" s="151">
        <v>0</v>
      </c>
      <c r="O204" s="152">
        <v>0</v>
      </c>
      <c r="P204" s="151">
        <v>0</v>
      </c>
      <c r="Q204" s="152">
        <v>0</v>
      </c>
      <c r="R204" s="151">
        <v>0</v>
      </c>
      <c r="S204" s="152">
        <v>0</v>
      </c>
      <c r="T204" s="151">
        <v>0</v>
      </c>
      <c r="U204" s="153">
        <v>0</v>
      </c>
    </row>
    <row r="205" spans="1:21" x14ac:dyDescent="0.25">
      <c r="A205" s="21" t="s">
        <v>1397</v>
      </c>
      <c r="B205" s="154" t="s">
        <v>1407</v>
      </c>
      <c r="C205" s="154" t="s">
        <v>1408</v>
      </c>
      <c r="D205" s="155">
        <v>1318</v>
      </c>
      <c r="E205" s="158">
        <v>0</v>
      </c>
      <c r="F205" s="155">
        <v>1289</v>
      </c>
      <c r="G205" s="158">
        <v>0</v>
      </c>
      <c r="H205" s="155">
        <v>219</v>
      </c>
      <c r="I205" s="158">
        <v>0</v>
      </c>
      <c r="J205" s="155">
        <v>0</v>
      </c>
      <c r="K205" s="158">
        <v>0</v>
      </c>
      <c r="L205" s="155">
        <v>0</v>
      </c>
      <c r="M205" s="158">
        <v>0</v>
      </c>
      <c r="N205" s="155">
        <v>15</v>
      </c>
      <c r="O205" s="158">
        <v>14</v>
      </c>
      <c r="P205" s="155">
        <v>0</v>
      </c>
      <c r="Q205" s="158">
        <v>0</v>
      </c>
      <c r="R205" s="155">
        <v>0</v>
      </c>
      <c r="S205" s="158">
        <v>0</v>
      </c>
      <c r="T205" s="155">
        <v>0</v>
      </c>
      <c r="U205" s="157">
        <v>0</v>
      </c>
    </row>
    <row r="206" spans="1:21" x14ac:dyDescent="0.25">
      <c r="A206" s="149" t="s">
        <v>1802</v>
      </c>
      <c r="B206" s="150" t="s">
        <v>1796</v>
      </c>
      <c r="C206" s="150" t="s">
        <v>1803</v>
      </c>
      <c r="D206" s="151">
        <v>0</v>
      </c>
      <c r="E206" s="152">
        <v>0</v>
      </c>
      <c r="F206" s="151">
        <v>0</v>
      </c>
      <c r="G206" s="152">
        <v>15</v>
      </c>
      <c r="H206" s="151">
        <v>0</v>
      </c>
      <c r="I206" s="152">
        <v>0</v>
      </c>
      <c r="J206" s="151">
        <v>0</v>
      </c>
      <c r="K206" s="152">
        <v>0</v>
      </c>
      <c r="L206" s="151">
        <v>14.723099708557129</v>
      </c>
      <c r="M206" s="152">
        <v>14.723099708557129</v>
      </c>
      <c r="N206" s="151">
        <v>0</v>
      </c>
      <c r="O206" s="152">
        <v>0</v>
      </c>
      <c r="P206" s="151">
        <v>0</v>
      </c>
      <c r="Q206" s="152">
        <v>0</v>
      </c>
      <c r="R206" s="151">
        <v>0</v>
      </c>
      <c r="S206" s="152">
        <v>0</v>
      </c>
      <c r="T206" s="151">
        <v>0</v>
      </c>
      <c r="U206" s="153">
        <v>0</v>
      </c>
    </row>
    <row r="207" spans="1:21" x14ac:dyDescent="0.25">
      <c r="A207" s="21"/>
      <c r="B207" s="154"/>
      <c r="C207" s="154"/>
      <c r="D207" s="155"/>
      <c r="E207" s="158"/>
      <c r="F207" s="155"/>
      <c r="G207" s="158"/>
      <c r="H207" s="155"/>
      <c r="I207" s="158"/>
      <c r="J207" s="155"/>
      <c r="K207" s="158"/>
      <c r="L207" s="155"/>
      <c r="M207" s="158"/>
      <c r="N207" s="155"/>
      <c r="O207" s="158"/>
      <c r="P207" s="155"/>
      <c r="Q207" s="158"/>
      <c r="R207" s="155"/>
      <c r="S207" s="158"/>
      <c r="T207" s="155"/>
      <c r="U207" s="157"/>
    </row>
    <row r="208" spans="1:21" x14ac:dyDescent="0.25">
      <c r="A208" s="149"/>
      <c r="B208" s="150"/>
      <c r="C208" s="150"/>
      <c r="D208" s="151"/>
      <c r="E208" s="152"/>
      <c r="F208" s="151"/>
      <c r="G208" s="152"/>
      <c r="H208" s="151"/>
      <c r="I208" s="152"/>
      <c r="J208" s="151"/>
      <c r="K208" s="152"/>
      <c r="L208" s="151"/>
      <c r="M208" s="152"/>
      <c r="N208" s="151"/>
      <c r="O208" s="152"/>
      <c r="P208" s="151"/>
      <c r="Q208" s="152"/>
      <c r="R208" s="151"/>
      <c r="S208" s="152"/>
      <c r="T208" s="151"/>
      <c r="U208" s="153"/>
    </row>
    <row r="209" spans="1:21" x14ac:dyDescent="0.25">
      <c r="A209" s="21"/>
      <c r="B209" s="154"/>
      <c r="C209" s="154"/>
      <c r="D209" s="155"/>
      <c r="E209" s="158"/>
      <c r="F209" s="155"/>
      <c r="G209" s="158"/>
      <c r="H209" s="155"/>
      <c r="I209" s="158"/>
      <c r="J209" s="155"/>
      <c r="K209" s="158"/>
      <c r="L209" s="155"/>
      <c r="M209" s="158"/>
      <c r="N209" s="155"/>
      <c r="O209" s="158"/>
      <c r="P209" s="155"/>
      <c r="Q209" s="158"/>
      <c r="R209" s="155"/>
      <c r="S209" s="158"/>
      <c r="T209" s="155"/>
      <c r="U209" s="157"/>
    </row>
    <row r="210" spans="1:21" x14ac:dyDescent="0.25">
      <c r="A210" s="149"/>
      <c r="B210" s="150"/>
      <c r="C210" s="150"/>
      <c r="D210" s="151"/>
      <c r="E210" s="152"/>
      <c r="F210" s="151"/>
      <c r="G210" s="152"/>
      <c r="H210" s="151"/>
      <c r="I210" s="152"/>
      <c r="J210" s="151"/>
      <c r="K210" s="152"/>
      <c r="L210" s="151"/>
      <c r="M210" s="152"/>
      <c r="N210" s="151"/>
      <c r="O210" s="152"/>
      <c r="P210" s="151"/>
      <c r="Q210" s="152"/>
      <c r="R210" s="151"/>
      <c r="S210" s="152"/>
      <c r="T210" s="151"/>
      <c r="U210" s="153"/>
    </row>
    <row r="211" spans="1:21" x14ac:dyDescent="0.25">
      <c r="A211" s="21"/>
      <c r="B211" s="154"/>
      <c r="C211" s="154"/>
      <c r="D211" s="155"/>
      <c r="E211" s="158"/>
      <c r="F211" s="155"/>
      <c r="G211" s="158"/>
      <c r="H211" s="155"/>
      <c r="I211" s="158"/>
      <c r="J211" s="155"/>
      <c r="K211" s="158"/>
      <c r="L211" s="155"/>
      <c r="M211" s="158"/>
      <c r="N211" s="155"/>
      <c r="O211" s="158"/>
      <c r="P211" s="155"/>
      <c r="Q211" s="158"/>
      <c r="R211" s="155"/>
      <c r="S211" s="158"/>
      <c r="T211" s="155"/>
      <c r="U211" s="157"/>
    </row>
    <row r="212" spans="1:21" x14ac:dyDescent="0.25">
      <c r="A212" s="149"/>
      <c r="B212" s="150"/>
      <c r="C212" s="150"/>
      <c r="D212" s="151"/>
      <c r="E212" s="152"/>
      <c r="F212" s="151"/>
      <c r="G212" s="152"/>
      <c r="H212" s="151"/>
      <c r="I212" s="152"/>
      <c r="J212" s="151"/>
      <c r="K212" s="152"/>
      <c r="L212" s="151"/>
      <c r="M212" s="152"/>
      <c r="N212" s="151"/>
      <c r="O212" s="152"/>
      <c r="P212" s="151"/>
      <c r="Q212" s="152"/>
      <c r="R212" s="151"/>
      <c r="S212" s="152"/>
      <c r="T212" s="151"/>
      <c r="U212" s="153"/>
    </row>
    <row r="213" spans="1:21" x14ac:dyDescent="0.25">
      <c r="A213" s="21"/>
      <c r="B213" s="154"/>
      <c r="C213" s="154"/>
      <c r="D213" s="155"/>
      <c r="E213" s="158"/>
      <c r="F213" s="155"/>
      <c r="G213" s="158"/>
      <c r="H213" s="155"/>
      <c r="I213" s="158"/>
      <c r="J213" s="155"/>
      <c r="K213" s="158"/>
      <c r="L213" s="155"/>
      <c r="M213" s="158"/>
      <c r="N213" s="155"/>
      <c r="O213" s="158"/>
      <c r="P213" s="155"/>
      <c r="Q213" s="158"/>
      <c r="R213" s="155"/>
      <c r="S213" s="158"/>
      <c r="T213" s="155"/>
      <c r="U213" s="157"/>
    </row>
    <row r="214" spans="1:21" x14ac:dyDescent="0.25">
      <c r="A214" s="149"/>
      <c r="B214" s="150"/>
      <c r="C214" s="150"/>
      <c r="D214" s="151"/>
      <c r="E214" s="152"/>
      <c r="F214" s="151"/>
      <c r="G214" s="152"/>
      <c r="H214" s="151"/>
      <c r="I214" s="152"/>
      <c r="J214" s="151"/>
      <c r="K214" s="152"/>
      <c r="L214" s="151"/>
      <c r="M214" s="152"/>
      <c r="N214" s="151"/>
      <c r="O214" s="152"/>
      <c r="P214" s="151"/>
      <c r="Q214" s="152"/>
      <c r="R214" s="151"/>
      <c r="S214" s="152"/>
      <c r="T214" s="151"/>
      <c r="U214" s="153"/>
    </row>
    <row r="215" spans="1:21" x14ac:dyDescent="0.25">
      <c r="A215" s="21"/>
      <c r="B215" s="154"/>
      <c r="C215" s="154"/>
      <c r="D215" s="155"/>
      <c r="E215" s="158"/>
      <c r="F215" s="155"/>
      <c r="G215" s="158"/>
      <c r="H215" s="155"/>
      <c r="I215" s="158"/>
      <c r="J215" s="155"/>
      <c r="K215" s="158"/>
      <c r="L215" s="155"/>
      <c r="M215" s="158"/>
      <c r="N215" s="155"/>
      <c r="O215" s="158"/>
      <c r="P215" s="155"/>
      <c r="Q215" s="158"/>
      <c r="R215" s="155"/>
      <c r="S215" s="158"/>
      <c r="T215" s="155"/>
      <c r="U215" s="157"/>
    </row>
    <row r="216" spans="1:21" x14ac:dyDescent="0.25">
      <c r="A216" s="149"/>
      <c r="B216" s="150"/>
      <c r="C216" s="150"/>
      <c r="D216" s="151"/>
      <c r="E216" s="152"/>
      <c r="F216" s="151"/>
      <c r="G216" s="152"/>
      <c r="H216" s="151"/>
      <c r="I216" s="152"/>
      <c r="J216" s="151"/>
      <c r="K216" s="152"/>
      <c r="L216" s="151"/>
      <c r="M216" s="152"/>
      <c r="N216" s="151"/>
      <c r="O216" s="152"/>
      <c r="P216" s="151"/>
      <c r="Q216" s="152"/>
      <c r="R216" s="151"/>
      <c r="S216" s="152"/>
      <c r="T216" s="151"/>
      <c r="U216" s="153"/>
    </row>
    <row r="217" spans="1:21" x14ac:dyDescent="0.25">
      <c r="A217" s="21"/>
      <c r="B217" s="154"/>
      <c r="C217" s="154"/>
      <c r="D217" s="155"/>
      <c r="E217" s="158"/>
      <c r="F217" s="155"/>
      <c r="G217" s="158"/>
      <c r="H217" s="155"/>
      <c r="I217" s="158"/>
      <c r="J217" s="155"/>
      <c r="K217" s="158"/>
      <c r="L217" s="155"/>
      <c r="M217" s="158"/>
      <c r="N217" s="155"/>
      <c r="O217" s="158"/>
      <c r="P217" s="155"/>
      <c r="Q217" s="158"/>
      <c r="R217" s="155"/>
      <c r="S217" s="158"/>
      <c r="T217" s="155"/>
      <c r="U217" s="157"/>
    </row>
    <row r="218" spans="1:21" x14ac:dyDescent="0.25">
      <c r="A218" s="149"/>
      <c r="B218" s="150"/>
      <c r="C218" s="150"/>
      <c r="D218" s="151"/>
      <c r="E218" s="152"/>
      <c r="F218" s="151"/>
      <c r="G218" s="152"/>
      <c r="H218" s="151"/>
      <c r="I218" s="152"/>
      <c r="J218" s="151"/>
      <c r="K218" s="152"/>
      <c r="L218" s="151"/>
      <c r="M218" s="152"/>
      <c r="N218" s="151"/>
      <c r="O218" s="152"/>
      <c r="P218" s="151"/>
      <c r="Q218" s="152"/>
      <c r="R218" s="151"/>
      <c r="S218" s="152"/>
      <c r="T218" s="151"/>
      <c r="U218" s="153"/>
    </row>
    <row r="219" spans="1:21" x14ac:dyDescent="0.25">
      <c r="A219" s="21"/>
      <c r="B219" s="154"/>
      <c r="C219" s="154"/>
      <c r="D219" s="155"/>
      <c r="E219" s="158"/>
      <c r="F219" s="155"/>
      <c r="G219" s="158"/>
      <c r="H219" s="155"/>
      <c r="I219" s="158"/>
      <c r="J219" s="155"/>
      <c r="K219" s="158"/>
      <c r="L219" s="155"/>
      <c r="M219" s="158"/>
      <c r="N219" s="155"/>
      <c r="O219" s="158"/>
      <c r="P219" s="155"/>
      <c r="Q219" s="158"/>
      <c r="R219" s="155"/>
      <c r="S219" s="158"/>
      <c r="T219" s="155"/>
      <c r="U219" s="157"/>
    </row>
    <row r="220" spans="1:21" s="360" customFormat="1" ht="18.75" x14ac:dyDescent="0.3">
      <c r="D220" s="360">
        <f>SUBTOTAL(9,D4:D219)</f>
        <v>356727.6</v>
      </c>
      <c r="E220" s="360">
        <f t="shared" ref="E220:U220" si="0">SUBTOTAL(9,E4:E219)</f>
        <v>0</v>
      </c>
      <c r="F220" s="360">
        <f t="shared" si="0"/>
        <v>75227</v>
      </c>
      <c r="G220" s="360">
        <f t="shared" si="0"/>
        <v>56122</v>
      </c>
      <c r="H220" s="360">
        <f t="shared" si="0"/>
        <v>13666</v>
      </c>
      <c r="I220" s="359">
        <f t="shared" si="0"/>
        <v>10801.140584349632</v>
      </c>
      <c r="J220" s="360">
        <f t="shared" si="0"/>
        <v>0</v>
      </c>
      <c r="K220" s="360">
        <f t="shared" si="0"/>
        <v>10801.140584349632</v>
      </c>
      <c r="L220" s="359">
        <f t="shared" si="0"/>
        <v>25044.698169338866</v>
      </c>
      <c r="M220" s="360">
        <f t="shared" si="0"/>
        <v>35845.838753688498</v>
      </c>
      <c r="N220" s="360">
        <f t="shared" si="0"/>
        <v>89792</v>
      </c>
      <c r="O220" s="360">
        <f t="shared" si="0"/>
        <v>81660</v>
      </c>
      <c r="P220" s="360">
        <f t="shared" si="0"/>
        <v>54136</v>
      </c>
      <c r="Q220" s="360">
        <f t="shared" si="0"/>
        <v>47400</v>
      </c>
      <c r="R220" s="360">
        <f t="shared" si="0"/>
        <v>0</v>
      </c>
      <c r="S220" s="360">
        <f t="shared" si="0"/>
        <v>0</v>
      </c>
      <c r="T220" s="360">
        <f t="shared" si="0"/>
        <v>0</v>
      </c>
      <c r="U220" s="360">
        <f t="shared" si="0"/>
        <v>0</v>
      </c>
    </row>
  </sheetData>
  <autoFilter ref="A2:V206"/>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9"/>
  <sheetViews>
    <sheetView showGridLines="0" zoomScale="84" zoomScaleNormal="84" workbookViewId="0">
      <pane ySplit="3" topLeftCell="A100" activePane="bottomLeft" state="frozen"/>
      <selection pane="bottomLeft" activeCell="I229" sqref="I229"/>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527" t="s">
        <v>1409</v>
      </c>
      <c r="B2" s="527" t="s">
        <v>1410</v>
      </c>
      <c r="C2" s="527" t="s">
        <v>1411</v>
      </c>
      <c r="D2" s="529" t="s">
        <v>1412</v>
      </c>
      <c r="E2" s="418" t="s">
        <v>1413</v>
      </c>
      <c r="F2" s="160"/>
      <c r="G2" s="161"/>
      <c r="H2" s="160"/>
      <c r="I2" s="162" t="s">
        <v>1414</v>
      </c>
      <c r="J2" s="163"/>
      <c r="K2" s="162"/>
      <c r="L2" s="162"/>
      <c r="M2" s="164"/>
      <c r="N2" s="165"/>
      <c r="O2" s="162"/>
      <c r="P2" s="162" t="s">
        <v>1415</v>
      </c>
      <c r="Q2" s="162"/>
      <c r="R2" s="162"/>
      <c r="S2" s="162"/>
      <c r="T2" s="162"/>
      <c r="U2" s="166"/>
    </row>
    <row r="3" spans="1:22"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2"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c r="V4" t="e">
        <f>VLOOKUP(A4,'Projetos ciclo 2018-2022'!$I$8:$I$318,1,FALSE)</f>
        <v>#N/A</v>
      </c>
    </row>
    <row r="5" spans="1:22"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c r="V5" t="e">
        <f>VLOOKUP(A5,'Projetos ciclo 2018-2022'!$I$8:$I$318,1,FALSE)</f>
        <v>#N/A</v>
      </c>
    </row>
    <row r="6" spans="1:22" x14ac:dyDescent="0.25">
      <c r="A6" s="149" t="s">
        <v>1444</v>
      </c>
      <c r="B6" s="150" t="s">
        <v>1445</v>
      </c>
      <c r="C6" s="150" t="s">
        <v>1446</v>
      </c>
      <c r="D6" s="151">
        <v>450</v>
      </c>
      <c r="E6" s="152">
        <v>0</v>
      </c>
      <c r="F6" s="151">
        <v>450</v>
      </c>
      <c r="G6" s="152">
        <v>0</v>
      </c>
      <c r="H6" s="151">
        <v>2</v>
      </c>
      <c r="I6" s="152">
        <v>0</v>
      </c>
      <c r="J6" s="151">
        <v>0</v>
      </c>
      <c r="K6" s="152">
        <v>0</v>
      </c>
      <c r="L6" s="151">
        <v>0</v>
      </c>
      <c r="M6" s="152">
        <v>0</v>
      </c>
      <c r="N6" s="151">
        <v>0</v>
      </c>
      <c r="O6" s="152">
        <v>0</v>
      </c>
      <c r="P6" s="151">
        <v>0</v>
      </c>
      <c r="Q6" s="152">
        <v>0</v>
      </c>
      <c r="R6" s="151">
        <v>0</v>
      </c>
      <c r="S6" s="152">
        <v>0</v>
      </c>
      <c r="T6" s="151">
        <v>0</v>
      </c>
      <c r="U6" s="153">
        <v>0</v>
      </c>
      <c r="V6" t="e">
        <f>VLOOKUP(A6,'Projetos ciclo 2018-2022'!$I$8:$I$318,1,FALSE)</f>
        <v>#N/A</v>
      </c>
    </row>
    <row r="7" spans="1:22" x14ac:dyDescent="0.25">
      <c r="A7" s="21" t="s">
        <v>1636</v>
      </c>
      <c r="B7" s="154" t="s">
        <v>1664</v>
      </c>
      <c r="C7" s="154" t="s">
        <v>1637</v>
      </c>
      <c r="D7" s="155">
        <v>0</v>
      </c>
      <c r="E7" s="158">
        <v>0</v>
      </c>
      <c r="F7" s="155">
        <v>0</v>
      </c>
      <c r="G7" s="158">
        <v>51</v>
      </c>
      <c r="H7" s="155">
        <v>0</v>
      </c>
      <c r="I7" s="158">
        <v>0</v>
      </c>
      <c r="J7" s="155">
        <v>0</v>
      </c>
      <c r="K7" s="158">
        <v>0</v>
      </c>
      <c r="L7" s="155">
        <v>34.688299179077148</v>
      </c>
      <c r="M7" s="158">
        <v>34.688299179077148</v>
      </c>
      <c r="N7" s="155">
        <v>0</v>
      </c>
      <c r="O7" s="158">
        <v>0</v>
      </c>
      <c r="P7" s="155">
        <v>0</v>
      </c>
      <c r="Q7" s="158">
        <v>0</v>
      </c>
      <c r="R7" s="155">
        <v>0</v>
      </c>
      <c r="S7" s="158">
        <v>0</v>
      </c>
      <c r="T7" s="155">
        <v>0</v>
      </c>
      <c r="U7" s="157">
        <v>0</v>
      </c>
      <c r="V7" t="str">
        <f>VLOOKUP(A7,'Projetos ciclo 2018-2022'!$I$8:$I$318,1,FALSE)</f>
        <v>MG00818</v>
      </c>
    </row>
    <row r="8" spans="1:22" x14ac:dyDescent="0.25">
      <c r="A8" s="149" t="s">
        <v>565</v>
      </c>
      <c r="B8" s="150" t="s">
        <v>1198</v>
      </c>
      <c r="C8" s="150" t="s">
        <v>59</v>
      </c>
      <c r="D8" s="151">
        <v>1854</v>
      </c>
      <c r="E8" s="152">
        <v>0</v>
      </c>
      <c r="F8" s="151">
        <v>0</v>
      </c>
      <c r="G8" s="152">
        <v>0</v>
      </c>
      <c r="H8" s="151">
        <v>0</v>
      </c>
      <c r="I8" s="152">
        <v>0</v>
      </c>
      <c r="J8" s="151">
        <v>0</v>
      </c>
      <c r="K8" s="152">
        <v>0</v>
      </c>
      <c r="L8" s="151">
        <v>0</v>
      </c>
      <c r="M8" s="152">
        <v>0</v>
      </c>
      <c r="N8" s="151">
        <v>634</v>
      </c>
      <c r="O8" s="152">
        <v>435</v>
      </c>
      <c r="P8" s="151">
        <v>360</v>
      </c>
      <c r="Q8" s="152">
        <v>425</v>
      </c>
      <c r="R8" s="151">
        <v>0</v>
      </c>
      <c r="S8" s="152">
        <v>0</v>
      </c>
      <c r="T8" s="151">
        <v>0</v>
      </c>
      <c r="U8" s="153">
        <v>0</v>
      </c>
      <c r="V8" t="str">
        <f>VLOOKUP(A8,'Projetos ciclo 2018-2022'!$I$8:$I$318,1,FALSE)</f>
        <v>NA</v>
      </c>
    </row>
    <row r="9" spans="1:22" x14ac:dyDescent="0.25">
      <c r="A9" s="21" t="s">
        <v>1530</v>
      </c>
      <c r="B9" s="154" t="s">
        <v>1580</v>
      </c>
      <c r="C9" s="154" t="s">
        <v>1531</v>
      </c>
      <c r="D9" s="155">
        <v>0</v>
      </c>
      <c r="E9" s="158">
        <v>0</v>
      </c>
      <c r="F9" s="155">
        <v>0</v>
      </c>
      <c r="G9" s="158">
        <v>132</v>
      </c>
      <c r="H9" s="155">
        <v>0</v>
      </c>
      <c r="I9" s="158">
        <v>1.6000000238418579</v>
      </c>
      <c r="J9" s="155">
        <v>0</v>
      </c>
      <c r="K9" s="158">
        <v>1.6000000238418579</v>
      </c>
      <c r="L9" s="155">
        <v>117.912353515625</v>
      </c>
      <c r="M9" s="158">
        <v>119.51235353946686</v>
      </c>
      <c r="N9" s="155">
        <v>0</v>
      </c>
      <c r="O9" s="158">
        <v>0</v>
      </c>
      <c r="P9" s="155">
        <v>0</v>
      </c>
      <c r="Q9" s="158">
        <v>0</v>
      </c>
      <c r="R9" s="155">
        <v>0</v>
      </c>
      <c r="S9" s="158">
        <v>0</v>
      </c>
      <c r="T9" s="155">
        <v>0</v>
      </c>
      <c r="U9" s="157">
        <v>0</v>
      </c>
      <c r="V9" t="str">
        <f>VLOOKUP(A9,'Projetos ciclo 2018-2022'!$I$8:$I$318,1,FALSE)</f>
        <v>SC00318</v>
      </c>
    </row>
    <row r="10" spans="1:22" x14ac:dyDescent="0.25">
      <c r="A10" s="149" t="s">
        <v>1944</v>
      </c>
      <c r="B10" s="150" t="s">
        <v>1967</v>
      </c>
      <c r="C10" s="150" t="s">
        <v>1968</v>
      </c>
      <c r="D10" s="151">
        <v>0</v>
      </c>
      <c r="E10" s="152">
        <v>0</v>
      </c>
      <c r="F10" s="151">
        <v>0</v>
      </c>
      <c r="G10" s="152">
        <v>60</v>
      </c>
      <c r="H10" s="151">
        <v>0</v>
      </c>
      <c r="I10" s="152">
        <v>0</v>
      </c>
      <c r="J10" s="151">
        <v>0</v>
      </c>
      <c r="K10" s="152">
        <v>0</v>
      </c>
      <c r="L10" s="151">
        <v>0</v>
      </c>
      <c r="M10" s="152">
        <v>0</v>
      </c>
      <c r="N10" s="151">
        <v>0</v>
      </c>
      <c r="O10" s="152">
        <v>0</v>
      </c>
      <c r="P10" s="151">
        <v>0</v>
      </c>
      <c r="Q10" s="152">
        <v>0</v>
      </c>
      <c r="R10" s="151">
        <v>0</v>
      </c>
      <c r="S10" s="152">
        <v>0</v>
      </c>
      <c r="T10" s="151">
        <v>0</v>
      </c>
      <c r="U10" s="153">
        <v>0</v>
      </c>
      <c r="V10" t="str">
        <f>VLOOKUP(A10,'Projetos ciclo 2018-2022'!$I$8:$I$318,1,FALSE)</f>
        <v>SC01018</v>
      </c>
    </row>
    <row r="11" spans="1:22" x14ac:dyDescent="0.25">
      <c r="A11" s="21" t="s">
        <v>1199</v>
      </c>
      <c r="B11" s="154" t="s">
        <v>1200</v>
      </c>
      <c r="C11" s="154" t="s">
        <v>59</v>
      </c>
      <c r="D11" s="155">
        <v>332</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c r="V11" t="e">
        <f>VLOOKUP(A11,'Projetos ciclo 2018-2022'!$I$8:$I$318,1,FALSE)</f>
        <v>#N/A</v>
      </c>
    </row>
    <row r="12" spans="1:22" x14ac:dyDescent="0.25">
      <c r="A12" s="149" t="s">
        <v>1194</v>
      </c>
      <c r="B12" s="150" t="s">
        <v>1201</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c r="V12" t="e">
        <f>VLOOKUP(A12,'Projetos ciclo 2018-2022'!$I$8:$I$318,1,FALSE)</f>
        <v>#N/A</v>
      </c>
    </row>
    <row r="13" spans="1:22" x14ac:dyDescent="0.25">
      <c r="A13" s="21" t="s">
        <v>1196</v>
      </c>
      <c r="B13" s="154" t="s">
        <v>1197</v>
      </c>
      <c r="C13" s="154" t="s">
        <v>59</v>
      </c>
      <c r="D13" s="155">
        <v>0</v>
      </c>
      <c r="E13" s="158">
        <v>0</v>
      </c>
      <c r="F13" s="155">
        <v>0</v>
      </c>
      <c r="G13" s="158">
        <v>0</v>
      </c>
      <c r="H13" s="155">
        <v>0</v>
      </c>
      <c r="I13" s="158">
        <v>0</v>
      </c>
      <c r="J13" s="155">
        <v>0</v>
      </c>
      <c r="K13" s="158">
        <v>0</v>
      </c>
      <c r="L13" s="155">
        <v>0</v>
      </c>
      <c r="M13" s="158">
        <v>0</v>
      </c>
      <c r="N13" s="155">
        <v>0</v>
      </c>
      <c r="O13" s="158">
        <v>0</v>
      </c>
      <c r="P13" s="155">
        <v>0</v>
      </c>
      <c r="Q13" s="158">
        <v>0</v>
      </c>
      <c r="R13" s="155">
        <v>0</v>
      </c>
      <c r="S13" s="158">
        <v>0</v>
      </c>
      <c r="T13" s="155">
        <v>0</v>
      </c>
      <c r="U13" s="157">
        <v>0</v>
      </c>
      <c r="V13" t="e">
        <f>VLOOKUP(A13,'Projetos ciclo 2018-2022'!$I$8:$I$318,1,FALSE)</f>
        <v>#N/A</v>
      </c>
    </row>
    <row r="14" spans="1:22" x14ac:dyDescent="0.25">
      <c r="A14" s="149" t="s">
        <v>565</v>
      </c>
      <c r="B14" s="150" t="s">
        <v>1198</v>
      </c>
      <c r="C14" s="150" t="s">
        <v>59</v>
      </c>
      <c r="D14" s="151">
        <v>139</v>
      </c>
      <c r="E14" s="152">
        <v>0</v>
      </c>
      <c r="F14" s="151">
        <v>0</v>
      </c>
      <c r="G14" s="152">
        <v>0</v>
      </c>
      <c r="H14" s="151">
        <v>0</v>
      </c>
      <c r="I14" s="152">
        <v>0</v>
      </c>
      <c r="J14" s="151">
        <v>0</v>
      </c>
      <c r="K14" s="152">
        <v>0</v>
      </c>
      <c r="L14" s="151">
        <v>0</v>
      </c>
      <c r="M14" s="152">
        <v>0</v>
      </c>
      <c r="N14" s="151">
        <v>16</v>
      </c>
      <c r="O14" s="152">
        <v>30</v>
      </c>
      <c r="P14" s="151">
        <v>50</v>
      </c>
      <c r="Q14" s="152">
        <v>43</v>
      </c>
      <c r="R14" s="151">
        <v>0</v>
      </c>
      <c r="S14" s="152">
        <v>0</v>
      </c>
      <c r="T14" s="151">
        <v>0</v>
      </c>
      <c r="U14" s="153">
        <v>0</v>
      </c>
      <c r="V14" t="str">
        <f>VLOOKUP(A14,'Projetos ciclo 2018-2022'!$I$8:$I$318,1,FALSE)</f>
        <v>NA</v>
      </c>
    </row>
    <row r="15" spans="1:22" x14ac:dyDescent="0.25">
      <c r="A15" s="21" t="s">
        <v>1199</v>
      </c>
      <c r="B15" s="154" t="s">
        <v>1200</v>
      </c>
      <c r="C15" s="154" t="s">
        <v>59</v>
      </c>
      <c r="D15" s="155">
        <v>0</v>
      </c>
      <c r="E15" s="158">
        <v>0</v>
      </c>
      <c r="F15" s="155">
        <v>0</v>
      </c>
      <c r="G15" s="158">
        <v>0</v>
      </c>
      <c r="H15" s="155">
        <v>0</v>
      </c>
      <c r="I15" s="158">
        <v>0</v>
      </c>
      <c r="J15" s="155">
        <v>0</v>
      </c>
      <c r="K15" s="158">
        <v>0</v>
      </c>
      <c r="L15" s="155">
        <v>0</v>
      </c>
      <c r="M15" s="158">
        <v>0</v>
      </c>
      <c r="N15" s="155">
        <v>0</v>
      </c>
      <c r="O15" s="158">
        <v>0</v>
      </c>
      <c r="P15" s="155">
        <v>0</v>
      </c>
      <c r="Q15" s="158">
        <v>0</v>
      </c>
      <c r="R15" s="155">
        <v>0</v>
      </c>
      <c r="S15" s="158">
        <v>0</v>
      </c>
      <c r="T15" s="155">
        <v>0</v>
      </c>
      <c r="U15" s="157">
        <v>0</v>
      </c>
      <c r="V15" t="e">
        <f>VLOOKUP(A15,'Projetos ciclo 2018-2022'!$I$8:$I$318,1,FALSE)</f>
        <v>#N/A</v>
      </c>
    </row>
    <row r="16" spans="1:22" x14ac:dyDescent="0.25">
      <c r="A16" s="149" t="s">
        <v>1202</v>
      </c>
      <c r="B16" s="150" t="s">
        <v>1203</v>
      </c>
      <c r="C16" s="150" t="s">
        <v>1204</v>
      </c>
      <c r="D16" s="151">
        <v>29</v>
      </c>
      <c r="E16" s="152">
        <v>0</v>
      </c>
      <c r="F16" s="151">
        <v>29</v>
      </c>
      <c r="G16" s="152">
        <v>0</v>
      </c>
      <c r="H16" s="151">
        <v>0</v>
      </c>
      <c r="I16" s="152">
        <v>0</v>
      </c>
      <c r="J16" s="151">
        <v>0</v>
      </c>
      <c r="K16" s="152">
        <v>0</v>
      </c>
      <c r="L16" s="151">
        <v>0</v>
      </c>
      <c r="M16" s="152">
        <v>0</v>
      </c>
      <c r="N16" s="151">
        <v>0</v>
      </c>
      <c r="O16" s="152">
        <v>0</v>
      </c>
      <c r="P16" s="151">
        <v>0</v>
      </c>
      <c r="Q16" s="152">
        <v>0</v>
      </c>
      <c r="R16" s="151">
        <v>0</v>
      </c>
      <c r="S16" s="152">
        <v>0</v>
      </c>
      <c r="T16" s="151">
        <v>0</v>
      </c>
      <c r="U16" s="153">
        <v>0</v>
      </c>
      <c r="V16" t="e">
        <f>VLOOKUP(A16,'Projetos ciclo 2018-2022'!$I$8:$I$318,1,FALSE)</f>
        <v>#N/A</v>
      </c>
    </row>
    <row r="17" spans="1:22" x14ac:dyDescent="0.25">
      <c r="A17" s="21" t="s">
        <v>1933</v>
      </c>
      <c r="B17" s="154" t="s">
        <v>1934</v>
      </c>
      <c r="C17" s="154" t="s">
        <v>1935</v>
      </c>
      <c r="D17" s="155">
        <v>0</v>
      </c>
      <c r="E17" s="158">
        <v>0</v>
      </c>
      <c r="F17" s="155">
        <v>0</v>
      </c>
      <c r="G17" s="158">
        <v>10</v>
      </c>
      <c r="H17" s="155">
        <v>0</v>
      </c>
      <c r="I17" s="158">
        <v>0</v>
      </c>
      <c r="J17" s="155">
        <v>0</v>
      </c>
      <c r="K17" s="158">
        <v>0</v>
      </c>
      <c r="L17" s="155">
        <v>0</v>
      </c>
      <c r="M17" s="158">
        <v>0</v>
      </c>
      <c r="N17" s="155">
        <v>0</v>
      </c>
      <c r="O17" s="158">
        <v>0</v>
      </c>
      <c r="P17" s="155">
        <v>0</v>
      </c>
      <c r="Q17" s="158">
        <v>0</v>
      </c>
      <c r="R17" s="155">
        <v>0</v>
      </c>
      <c r="S17" s="158">
        <v>0</v>
      </c>
      <c r="T17" s="155">
        <v>0</v>
      </c>
      <c r="U17" s="157">
        <v>0</v>
      </c>
      <c r="V17" t="str">
        <f>VLOOKUP(A17,'Projetos ciclo 2018-2022'!$I$8:$I$318,1,FALSE)</f>
        <v>TI08018</v>
      </c>
    </row>
    <row r="18" spans="1:22" x14ac:dyDescent="0.25">
      <c r="A18" s="149" t="s">
        <v>1194</v>
      </c>
      <c r="B18" s="150" t="s">
        <v>1205</v>
      </c>
      <c r="C18" s="150" t="s">
        <v>59</v>
      </c>
      <c r="D18" s="151">
        <v>0</v>
      </c>
      <c r="E18" s="152">
        <v>0</v>
      </c>
      <c r="F18" s="151">
        <v>0</v>
      </c>
      <c r="G18" s="152">
        <v>0</v>
      </c>
      <c r="H18" s="151">
        <v>0</v>
      </c>
      <c r="I18" s="152">
        <v>0</v>
      </c>
      <c r="J18" s="151">
        <v>0</v>
      </c>
      <c r="K18" s="152">
        <v>0</v>
      </c>
      <c r="L18" s="151">
        <v>0</v>
      </c>
      <c r="M18" s="152">
        <v>0</v>
      </c>
      <c r="N18" s="151">
        <v>0</v>
      </c>
      <c r="O18" s="152">
        <v>0</v>
      </c>
      <c r="P18" s="151">
        <v>0</v>
      </c>
      <c r="Q18" s="152">
        <v>0</v>
      </c>
      <c r="R18" s="151">
        <v>0</v>
      </c>
      <c r="S18" s="152">
        <v>0</v>
      </c>
      <c r="T18" s="151">
        <v>0</v>
      </c>
      <c r="U18" s="153">
        <v>0</v>
      </c>
      <c r="V18" t="e">
        <f>VLOOKUP(A18,'Projetos ciclo 2018-2022'!$I$8:$I$318,1,FALSE)</f>
        <v>#N/A</v>
      </c>
    </row>
    <row r="19" spans="1:22" x14ac:dyDescent="0.25">
      <c r="A19" s="21" t="s">
        <v>1196</v>
      </c>
      <c r="B19" s="154" t="s">
        <v>1197</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c r="V19" t="e">
        <f>VLOOKUP(A19,'Projetos ciclo 2018-2022'!$I$8:$I$318,1,FALSE)</f>
        <v>#N/A</v>
      </c>
    </row>
    <row r="20" spans="1:22" x14ac:dyDescent="0.25">
      <c r="A20" s="149" t="s">
        <v>565</v>
      </c>
      <c r="B20" s="150" t="s">
        <v>1198</v>
      </c>
      <c r="C20" s="150" t="s">
        <v>59</v>
      </c>
      <c r="D20" s="151">
        <v>896</v>
      </c>
      <c r="E20" s="152">
        <v>0</v>
      </c>
      <c r="F20" s="151">
        <v>0</v>
      </c>
      <c r="G20" s="152">
        <v>0</v>
      </c>
      <c r="H20" s="151">
        <v>0</v>
      </c>
      <c r="I20" s="152">
        <v>0</v>
      </c>
      <c r="J20" s="151">
        <v>0</v>
      </c>
      <c r="K20" s="152">
        <v>0</v>
      </c>
      <c r="L20" s="151">
        <v>0</v>
      </c>
      <c r="M20" s="152">
        <v>0</v>
      </c>
      <c r="N20" s="151">
        <v>351.5</v>
      </c>
      <c r="O20" s="152">
        <v>214.5</v>
      </c>
      <c r="P20" s="151">
        <v>51.5</v>
      </c>
      <c r="Q20" s="152">
        <v>278.5</v>
      </c>
      <c r="R20" s="151">
        <v>0</v>
      </c>
      <c r="S20" s="152">
        <v>0</v>
      </c>
      <c r="T20" s="151">
        <v>0</v>
      </c>
      <c r="U20" s="153">
        <v>0</v>
      </c>
      <c r="V20" t="str">
        <f>VLOOKUP(A20,'Projetos ciclo 2018-2022'!$I$8:$I$318,1,FALSE)</f>
        <v>NA</v>
      </c>
    </row>
    <row r="21" spans="1:22" x14ac:dyDescent="0.25">
      <c r="A21" s="21" t="s">
        <v>1199</v>
      </c>
      <c r="B21" s="154" t="s">
        <v>1200</v>
      </c>
      <c r="C21" s="154" t="s">
        <v>59</v>
      </c>
      <c r="D21" s="155">
        <v>0</v>
      </c>
      <c r="E21" s="158">
        <v>0</v>
      </c>
      <c r="F21" s="155">
        <v>0</v>
      </c>
      <c r="G21" s="158">
        <v>0</v>
      </c>
      <c r="H21" s="155">
        <v>0</v>
      </c>
      <c r="I21" s="158">
        <v>0</v>
      </c>
      <c r="J21" s="155">
        <v>0</v>
      </c>
      <c r="K21" s="158">
        <v>0</v>
      </c>
      <c r="L21" s="155">
        <v>0</v>
      </c>
      <c r="M21" s="158">
        <v>0</v>
      </c>
      <c r="N21" s="155">
        <v>0</v>
      </c>
      <c r="O21" s="158">
        <v>0</v>
      </c>
      <c r="P21" s="155">
        <v>0</v>
      </c>
      <c r="Q21" s="158">
        <v>0</v>
      </c>
      <c r="R21" s="155">
        <v>0</v>
      </c>
      <c r="S21" s="158">
        <v>0</v>
      </c>
      <c r="T21" s="155">
        <v>0</v>
      </c>
      <c r="U21" s="157">
        <v>0</v>
      </c>
      <c r="V21" t="e">
        <f>VLOOKUP(A21,'Projetos ciclo 2018-2022'!$I$8:$I$318,1,FALSE)</f>
        <v>#N/A</v>
      </c>
    </row>
    <row r="22" spans="1:22" x14ac:dyDescent="0.25">
      <c r="A22" s="149" t="s">
        <v>1468</v>
      </c>
      <c r="B22" s="150" t="s">
        <v>1469</v>
      </c>
      <c r="C22" s="150" t="s">
        <v>1470</v>
      </c>
      <c r="D22" s="151">
        <v>0</v>
      </c>
      <c r="E22" s="152">
        <v>0</v>
      </c>
      <c r="F22" s="151">
        <v>0</v>
      </c>
      <c r="G22" s="152">
        <v>59</v>
      </c>
      <c r="H22" s="151">
        <v>0</v>
      </c>
      <c r="I22" s="152">
        <v>0</v>
      </c>
      <c r="J22" s="151">
        <v>0</v>
      </c>
      <c r="K22" s="152">
        <v>0</v>
      </c>
      <c r="L22" s="151">
        <v>52.5</v>
      </c>
      <c r="M22" s="152">
        <v>52.5</v>
      </c>
      <c r="N22" s="151">
        <v>0</v>
      </c>
      <c r="O22" s="152">
        <v>0</v>
      </c>
      <c r="P22" s="151">
        <v>0</v>
      </c>
      <c r="Q22" s="152">
        <v>0</v>
      </c>
      <c r="R22" s="151">
        <v>0</v>
      </c>
      <c r="S22" s="152">
        <v>0</v>
      </c>
      <c r="T22" s="151">
        <v>0</v>
      </c>
      <c r="U22" s="153">
        <v>0</v>
      </c>
      <c r="V22" t="str">
        <f>VLOOKUP(A22,'Projetos ciclo 2018-2022'!$I$8:$I$318,1,FALSE)</f>
        <v>TI03218</v>
      </c>
    </row>
    <row r="23" spans="1:22" x14ac:dyDescent="0.25">
      <c r="A23" s="21" t="s">
        <v>1206</v>
      </c>
      <c r="B23" s="154" t="s">
        <v>1207</v>
      </c>
      <c r="C23" s="154" t="s">
        <v>1208</v>
      </c>
      <c r="D23" s="155">
        <v>59</v>
      </c>
      <c r="E23" s="158">
        <v>0</v>
      </c>
      <c r="F23" s="155">
        <v>59</v>
      </c>
      <c r="G23" s="158">
        <v>0</v>
      </c>
      <c r="H23" s="155">
        <v>0</v>
      </c>
      <c r="I23" s="158">
        <v>0</v>
      </c>
      <c r="J23" s="155">
        <v>0</v>
      </c>
      <c r="K23" s="158">
        <v>0</v>
      </c>
      <c r="L23" s="155">
        <v>0</v>
      </c>
      <c r="M23" s="158">
        <v>0</v>
      </c>
      <c r="N23" s="155">
        <v>0</v>
      </c>
      <c r="O23" s="158">
        <v>0</v>
      </c>
      <c r="P23" s="155">
        <v>0</v>
      </c>
      <c r="Q23" s="158">
        <v>0</v>
      </c>
      <c r="R23" s="155">
        <v>0</v>
      </c>
      <c r="S23" s="158">
        <v>0</v>
      </c>
      <c r="T23" s="155">
        <v>0</v>
      </c>
      <c r="U23" s="157">
        <v>0</v>
      </c>
      <c r="V23" t="e">
        <f>VLOOKUP(A23,'Projetos ciclo 2018-2022'!$I$8:$I$318,1,FALSE)</f>
        <v>#N/A</v>
      </c>
    </row>
    <row r="24" spans="1:22" x14ac:dyDescent="0.25">
      <c r="A24" s="149" t="s">
        <v>1194</v>
      </c>
      <c r="B24" s="150" t="s">
        <v>1209</v>
      </c>
      <c r="C24" s="150" t="s">
        <v>59</v>
      </c>
      <c r="D24" s="151">
        <v>0</v>
      </c>
      <c r="E24" s="152">
        <v>0</v>
      </c>
      <c r="F24" s="151">
        <v>0</v>
      </c>
      <c r="G24" s="152">
        <v>0</v>
      </c>
      <c r="H24" s="151">
        <v>0</v>
      </c>
      <c r="I24" s="152">
        <v>0</v>
      </c>
      <c r="J24" s="151">
        <v>0</v>
      </c>
      <c r="K24" s="152">
        <v>0</v>
      </c>
      <c r="L24" s="151">
        <v>0</v>
      </c>
      <c r="M24" s="152">
        <v>0</v>
      </c>
      <c r="N24" s="151">
        <v>0</v>
      </c>
      <c r="O24" s="152">
        <v>0</v>
      </c>
      <c r="P24" s="151">
        <v>0</v>
      </c>
      <c r="Q24" s="152">
        <v>0</v>
      </c>
      <c r="R24" s="151">
        <v>0</v>
      </c>
      <c r="S24" s="152">
        <v>0</v>
      </c>
      <c r="T24" s="151">
        <v>0</v>
      </c>
      <c r="U24" s="153">
        <v>0</v>
      </c>
      <c r="V24" t="e">
        <f>VLOOKUP(A24,'Projetos ciclo 2018-2022'!$I$8:$I$318,1,FALSE)</f>
        <v>#N/A</v>
      </c>
    </row>
    <row r="25" spans="1:22" x14ac:dyDescent="0.25">
      <c r="A25" s="21" t="s">
        <v>1196</v>
      </c>
      <c r="B25" s="154" t="s">
        <v>1197</v>
      </c>
      <c r="C25" s="154" t="s">
        <v>59</v>
      </c>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c r="V25" t="e">
        <f>VLOOKUP(A25,'Projetos ciclo 2018-2022'!$I$8:$I$318,1,FALSE)</f>
        <v>#N/A</v>
      </c>
    </row>
    <row r="26" spans="1:22" x14ac:dyDescent="0.25">
      <c r="A26" s="149" t="s">
        <v>565</v>
      </c>
      <c r="B26" s="150" t="s">
        <v>1198</v>
      </c>
      <c r="C26" s="150" t="s">
        <v>59</v>
      </c>
      <c r="D26" s="151">
        <v>4002</v>
      </c>
      <c r="E26" s="152">
        <v>0</v>
      </c>
      <c r="F26" s="151">
        <v>0</v>
      </c>
      <c r="G26" s="152">
        <v>0</v>
      </c>
      <c r="H26" s="151">
        <v>0</v>
      </c>
      <c r="I26" s="152">
        <v>0</v>
      </c>
      <c r="J26" s="151">
        <v>0</v>
      </c>
      <c r="K26" s="152">
        <v>0</v>
      </c>
      <c r="L26" s="151">
        <v>0</v>
      </c>
      <c r="M26" s="152">
        <v>0</v>
      </c>
      <c r="N26" s="151">
        <v>928</v>
      </c>
      <c r="O26" s="152">
        <v>1188</v>
      </c>
      <c r="P26" s="151">
        <v>1123</v>
      </c>
      <c r="Q26" s="152">
        <v>763</v>
      </c>
      <c r="R26" s="151">
        <v>0</v>
      </c>
      <c r="S26" s="152">
        <v>0</v>
      </c>
      <c r="T26" s="151">
        <v>0</v>
      </c>
      <c r="U26" s="153">
        <v>0</v>
      </c>
      <c r="V26" t="str">
        <f>VLOOKUP(A26,'Projetos ciclo 2018-2022'!$I$8:$I$318,1,FALSE)</f>
        <v>NA</v>
      </c>
    </row>
    <row r="27" spans="1:22" x14ac:dyDescent="0.25">
      <c r="A27" s="21" t="s">
        <v>1199</v>
      </c>
      <c r="B27" s="154" t="s">
        <v>1200</v>
      </c>
      <c r="C27" s="154" t="s">
        <v>59</v>
      </c>
      <c r="D27" s="155">
        <v>0</v>
      </c>
      <c r="E27" s="158">
        <v>0</v>
      </c>
      <c r="F27" s="155">
        <v>0</v>
      </c>
      <c r="G27" s="158">
        <v>0</v>
      </c>
      <c r="H27" s="155">
        <v>0</v>
      </c>
      <c r="I27" s="158">
        <v>0</v>
      </c>
      <c r="J27" s="155">
        <v>0</v>
      </c>
      <c r="K27" s="158">
        <v>0</v>
      </c>
      <c r="L27" s="155">
        <v>0</v>
      </c>
      <c r="M27" s="158">
        <v>0</v>
      </c>
      <c r="N27" s="155">
        <v>0</v>
      </c>
      <c r="O27" s="158">
        <v>0</v>
      </c>
      <c r="P27" s="155">
        <v>0</v>
      </c>
      <c r="Q27" s="158">
        <v>0</v>
      </c>
      <c r="R27" s="155">
        <v>0</v>
      </c>
      <c r="S27" s="158">
        <v>0</v>
      </c>
      <c r="T27" s="155">
        <v>0</v>
      </c>
      <c r="U27" s="157">
        <v>0</v>
      </c>
      <c r="V27" t="e">
        <f>VLOOKUP(A27,'Projetos ciclo 2018-2022'!$I$8:$I$318,1,FALSE)</f>
        <v>#N/A</v>
      </c>
    </row>
    <row r="28" spans="1:22" x14ac:dyDescent="0.25">
      <c r="A28" s="149" t="s">
        <v>1117</v>
      </c>
      <c r="B28" s="150" t="s">
        <v>1210</v>
      </c>
      <c r="C28" s="150" t="s">
        <v>1211</v>
      </c>
      <c r="D28" s="151">
        <v>0</v>
      </c>
      <c r="E28" s="152">
        <v>0</v>
      </c>
      <c r="F28" s="151">
        <v>0</v>
      </c>
      <c r="G28" s="152">
        <v>119</v>
      </c>
      <c r="H28" s="151">
        <v>0</v>
      </c>
      <c r="I28" s="152">
        <v>119.11103057861328</v>
      </c>
      <c r="J28" s="151">
        <v>0</v>
      </c>
      <c r="K28" s="152">
        <v>119.11103057861328</v>
      </c>
      <c r="L28" s="151">
        <v>0</v>
      </c>
      <c r="M28" s="152">
        <v>119.11103057861328</v>
      </c>
      <c r="N28" s="151">
        <v>0</v>
      </c>
      <c r="O28" s="152">
        <v>0</v>
      </c>
      <c r="P28" s="151">
        <v>0</v>
      </c>
      <c r="Q28" s="152">
        <v>0</v>
      </c>
      <c r="R28" s="151">
        <v>0</v>
      </c>
      <c r="S28" s="152">
        <v>0</v>
      </c>
      <c r="T28" s="151">
        <v>0</v>
      </c>
      <c r="U28" s="153">
        <v>0</v>
      </c>
      <c r="V28" t="str">
        <f>VLOOKUP(A28,'Projetos ciclo 2018-2022'!$I$8:$I$318,1,FALSE)</f>
        <v>TI00218</v>
      </c>
    </row>
    <row r="29" spans="1:22" x14ac:dyDescent="0.25">
      <c r="A29" s="21" t="s">
        <v>800</v>
      </c>
      <c r="B29" s="154" t="s">
        <v>403</v>
      </c>
      <c r="C29" s="154" t="s">
        <v>1212</v>
      </c>
      <c r="D29" s="155">
        <v>0</v>
      </c>
      <c r="E29" s="158">
        <v>0</v>
      </c>
      <c r="F29" s="155">
        <v>0</v>
      </c>
      <c r="G29" s="158">
        <v>490</v>
      </c>
      <c r="H29" s="155">
        <v>0</v>
      </c>
      <c r="I29" s="158">
        <v>199.49535179138184</v>
      </c>
      <c r="J29" s="155">
        <v>0</v>
      </c>
      <c r="K29" s="158">
        <v>199.49535179138184</v>
      </c>
      <c r="L29" s="155">
        <v>284.27999877929687</v>
      </c>
      <c r="M29" s="158">
        <v>483.77535057067871</v>
      </c>
      <c r="N29" s="155">
        <v>0</v>
      </c>
      <c r="O29" s="158">
        <v>0</v>
      </c>
      <c r="P29" s="155">
        <v>0</v>
      </c>
      <c r="Q29" s="158">
        <v>0</v>
      </c>
      <c r="R29" s="155">
        <v>0</v>
      </c>
      <c r="S29" s="158">
        <v>0</v>
      </c>
      <c r="T29" s="155">
        <v>0</v>
      </c>
      <c r="U29" s="157">
        <v>0</v>
      </c>
      <c r="V29" t="str">
        <f>VLOOKUP(A29,'Projetos ciclo 2018-2022'!$I$8:$I$318,1,FALSE)</f>
        <v>TI02216</v>
      </c>
    </row>
    <row r="30" spans="1:22" x14ac:dyDescent="0.25">
      <c r="A30" s="149" t="s">
        <v>1213</v>
      </c>
      <c r="B30" s="150" t="s">
        <v>1210</v>
      </c>
      <c r="C30" s="150" t="s">
        <v>1214</v>
      </c>
      <c r="D30" s="151">
        <v>0</v>
      </c>
      <c r="E30" s="152">
        <v>0</v>
      </c>
      <c r="F30" s="151">
        <v>0</v>
      </c>
      <c r="G30" s="152">
        <v>115</v>
      </c>
      <c r="H30" s="151">
        <v>0</v>
      </c>
      <c r="I30" s="152">
        <v>0</v>
      </c>
      <c r="J30" s="151">
        <v>0</v>
      </c>
      <c r="K30" s="152">
        <v>0</v>
      </c>
      <c r="L30" s="151">
        <v>115.19999694824219</v>
      </c>
      <c r="M30" s="152">
        <v>115.19999694824219</v>
      </c>
      <c r="N30" s="151">
        <v>0</v>
      </c>
      <c r="O30" s="152">
        <v>0</v>
      </c>
      <c r="P30" s="151">
        <v>0</v>
      </c>
      <c r="Q30" s="152">
        <v>0</v>
      </c>
      <c r="R30" s="151">
        <v>0</v>
      </c>
      <c r="S30" s="152">
        <v>0</v>
      </c>
      <c r="T30" s="151">
        <v>0</v>
      </c>
      <c r="U30" s="153">
        <v>0</v>
      </c>
      <c r="V30" t="str">
        <f>VLOOKUP(A30,'Projetos ciclo 2018-2022'!$I$8:$I$318,1,FALSE)</f>
        <v>TI03018</v>
      </c>
    </row>
    <row r="31" spans="1:22" x14ac:dyDescent="0.25">
      <c r="A31" s="21" t="s">
        <v>1215</v>
      </c>
      <c r="B31" s="154" t="s">
        <v>1216</v>
      </c>
      <c r="C31" s="154" t="s">
        <v>1217</v>
      </c>
      <c r="D31" s="155">
        <v>2118</v>
      </c>
      <c r="E31" s="158">
        <v>0</v>
      </c>
      <c r="F31" s="155">
        <v>1886</v>
      </c>
      <c r="G31" s="158">
        <v>0</v>
      </c>
      <c r="H31" s="155">
        <v>318</v>
      </c>
      <c r="I31" s="158">
        <v>0</v>
      </c>
      <c r="J31" s="155">
        <v>0</v>
      </c>
      <c r="K31" s="158">
        <v>0</v>
      </c>
      <c r="L31" s="155">
        <v>0</v>
      </c>
      <c r="M31" s="158">
        <v>0</v>
      </c>
      <c r="N31" s="155">
        <v>210</v>
      </c>
      <c r="O31" s="158">
        <v>22</v>
      </c>
      <c r="P31" s="155">
        <v>0</v>
      </c>
      <c r="Q31" s="158">
        <v>0</v>
      </c>
      <c r="R31" s="155">
        <v>0</v>
      </c>
      <c r="S31" s="158">
        <v>0</v>
      </c>
      <c r="T31" s="155">
        <v>0</v>
      </c>
      <c r="U31" s="157">
        <v>0</v>
      </c>
      <c r="V31" t="e">
        <f>VLOOKUP(A31,'Projetos ciclo 2018-2022'!$I$8:$I$318,1,FALSE)</f>
        <v>#N/A</v>
      </c>
    </row>
    <row r="32" spans="1:22" x14ac:dyDescent="0.25">
      <c r="A32" s="149" t="s">
        <v>1471</v>
      </c>
      <c r="B32" s="150" t="s">
        <v>1472</v>
      </c>
      <c r="C32" s="150" t="s">
        <v>1473</v>
      </c>
      <c r="D32" s="151">
        <v>0</v>
      </c>
      <c r="E32" s="152">
        <v>0</v>
      </c>
      <c r="F32" s="151">
        <v>0</v>
      </c>
      <c r="G32" s="152">
        <v>27</v>
      </c>
      <c r="H32" s="151">
        <v>0</v>
      </c>
      <c r="I32" s="152">
        <v>0</v>
      </c>
      <c r="J32" s="151">
        <v>0</v>
      </c>
      <c r="K32" s="152">
        <v>0</v>
      </c>
      <c r="L32" s="151">
        <v>21.477760314941406</v>
      </c>
      <c r="M32" s="152">
        <v>21.477760314941406</v>
      </c>
      <c r="N32" s="151">
        <v>0</v>
      </c>
      <c r="O32" s="152">
        <v>0</v>
      </c>
      <c r="P32" s="151">
        <v>0</v>
      </c>
      <c r="Q32" s="152">
        <v>0</v>
      </c>
      <c r="R32" s="151">
        <v>0</v>
      </c>
      <c r="S32" s="152">
        <v>0</v>
      </c>
      <c r="T32" s="151">
        <v>0</v>
      </c>
      <c r="U32" s="153">
        <v>0</v>
      </c>
      <c r="V32" t="str">
        <f>VLOOKUP(A32,'Projetos ciclo 2018-2022'!$I$8:$I$318,1,FALSE)</f>
        <v>TI04818</v>
      </c>
    </row>
    <row r="33" spans="1:22" x14ac:dyDescent="0.25">
      <c r="A33" s="21" t="s">
        <v>1474</v>
      </c>
      <c r="B33" s="154" t="s">
        <v>1475</v>
      </c>
      <c r="C33" s="154" t="s">
        <v>1476</v>
      </c>
      <c r="D33" s="155">
        <v>0</v>
      </c>
      <c r="E33" s="158">
        <v>0</v>
      </c>
      <c r="F33" s="155">
        <v>0</v>
      </c>
      <c r="G33" s="158">
        <v>32</v>
      </c>
      <c r="H33" s="155">
        <v>0</v>
      </c>
      <c r="I33" s="158">
        <v>0</v>
      </c>
      <c r="J33" s="155">
        <v>0</v>
      </c>
      <c r="K33" s="158">
        <v>0</v>
      </c>
      <c r="L33" s="155">
        <v>28.65779972076416</v>
      </c>
      <c r="M33" s="158">
        <v>28.65779972076416</v>
      </c>
      <c r="N33" s="155">
        <v>0</v>
      </c>
      <c r="O33" s="158">
        <v>0</v>
      </c>
      <c r="P33" s="155">
        <v>0</v>
      </c>
      <c r="Q33" s="158">
        <v>0</v>
      </c>
      <c r="R33" s="155">
        <v>0</v>
      </c>
      <c r="S33" s="158">
        <v>0</v>
      </c>
      <c r="T33" s="155">
        <v>0</v>
      </c>
      <c r="U33" s="157">
        <v>0</v>
      </c>
      <c r="V33" t="str">
        <f>VLOOKUP(A33,'Projetos ciclo 2018-2022'!$I$8:$I$318,1,FALSE)</f>
        <v>TI04918</v>
      </c>
    </row>
    <row r="34" spans="1:22" x14ac:dyDescent="0.25">
      <c r="A34" s="149" t="s">
        <v>1639</v>
      </c>
      <c r="B34" s="150" t="s">
        <v>1031</v>
      </c>
      <c r="C34" s="150" t="s">
        <v>1640</v>
      </c>
      <c r="D34" s="151">
        <v>0</v>
      </c>
      <c r="E34" s="152">
        <v>0</v>
      </c>
      <c r="F34" s="151">
        <v>0</v>
      </c>
      <c r="G34" s="152">
        <v>318</v>
      </c>
      <c r="H34" s="151">
        <v>0</v>
      </c>
      <c r="I34" s="152">
        <v>0</v>
      </c>
      <c r="J34" s="151">
        <v>0</v>
      </c>
      <c r="K34" s="152">
        <v>0</v>
      </c>
      <c r="L34" s="151">
        <v>0</v>
      </c>
      <c r="M34" s="152">
        <v>0</v>
      </c>
      <c r="N34" s="151">
        <v>0</v>
      </c>
      <c r="O34" s="152">
        <v>0</v>
      </c>
      <c r="P34" s="151">
        <v>0</v>
      </c>
      <c r="Q34" s="152">
        <v>0</v>
      </c>
      <c r="R34" s="151">
        <v>0</v>
      </c>
      <c r="S34" s="152">
        <v>0</v>
      </c>
      <c r="T34" s="151">
        <v>0</v>
      </c>
      <c r="U34" s="153">
        <v>0</v>
      </c>
      <c r="V34" t="str">
        <f>VLOOKUP(A34,'Projetos ciclo 2018-2022'!$I$8:$I$318,1,FALSE)</f>
        <v>TI05818</v>
      </c>
    </row>
    <row r="35" spans="1:22" x14ac:dyDescent="0.25">
      <c r="A35" s="21" t="s">
        <v>1793</v>
      </c>
      <c r="B35" s="154" t="s">
        <v>845</v>
      </c>
      <c r="C35" s="154" t="s">
        <v>1794</v>
      </c>
      <c r="D35" s="155">
        <v>0</v>
      </c>
      <c r="E35" s="158">
        <v>0</v>
      </c>
      <c r="F35" s="155">
        <v>0</v>
      </c>
      <c r="G35" s="158">
        <v>420</v>
      </c>
      <c r="H35" s="155">
        <v>0</v>
      </c>
      <c r="I35" s="158">
        <v>0</v>
      </c>
      <c r="J35" s="155">
        <v>0</v>
      </c>
      <c r="K35" s="158">
        <v>0</v>
      </c>
      <c r="L35" s="155">
        <v>0</v>
      </c>
      <c r="M35" s="158">
        <v>0</v>
      </c>
      <c r="N35" s="155">
        <v>0</v>
      </c>
      <c r="O35" s="158">
        <v>0</v>
      </c>
      <c r="P35" s="155">
        <v>0</v>
      </c>
      <c r="Q35" s="158">
        <v>0</v>
      </c>
      <c r="R35" s="155">
        <v>0</v>
      </c>
      <c r="S35" s="158">
        <v>0</v>
      </c>
      <c r="T35" s="155">
        <v>0</v>
      </c>
      <c r="U35" s="157">
        <v>0</v>
      </c>
      <c r="V35" t="str">
        <f>VLOOKUP(A35,'Projetos ciclo 2018-2022'!$I$8:$I$318,1,FALSE)</f>
        <v>TI06818</v>
      </c>
    </row>
    <row r="36" spans="1:22" x14ac:dyDescent="0.25">
      <c r="A36" s="149" t="s">
        <v>1795</v>
      </c>
      <c r="B36" s="150" t="s">
        <v>1796</v>
      </c>
      <c r="C36" s="150" t="s">
        <v>1797</v>
      </c>
      <c r="D36" s="151">
        <v>0</v>
      </c>
      <c r="E36" s="152">
        <v>0</v>
      </c>
      <c r="F36" s="151">
        <v>0</v>
      </c>
      <c r="G36" s="152">
        <v>22</v>
      </c>
      <c r="H36" s="151">
        <v>0</v>
      </c>
      <c r="I36" s="152">
        <v>0</v>
      </c>
      <c r="J36" s="151">
        <v>0</v>
      </c>
      <c r="K36" s="152">
        <v>0</v>
      </c>
      <c r="L36" s="151">
        <v>21.861900329589844</v>
      </c>
      <c r="M36" s="152">
        <v>21.861900329589844</v>
      </c>
      <c r="N36" s="151">
        <v>0</v>
      </c>
      <c r="O36" s="152">
        <v>0</v>
      </c>
      <c r="P36" s="151">
        <v>0</v>
      </c>
      <c r="Q36" s="152">
        <v>0</v>
      </c>
      <c r="R36" s="151">
        <v>0</v>
      </c>
      <c r="S36" s="152">
        <v>0</v>
      </c>
      <c r="T36" s="151">
        <v>0</v>
      </c>
      <c r="U36" s="153">
        <v>0</v>
      </c>
      <c r="V36" t="str">
        <f>VLOOKUP(A36,'Projetos ciclo 2018-2022'!$I$8:$I$318,1,FALSE)</f>
        <v>TI07218</v>
      </c>
    </row>
    <row r="37" spans="1:22" x14ac:dyDescent="0.25">
      <c r="A37" s="21" t="s">
        <v>1194</v>
      </c>
      <c r="B37" s="154" t="s">
        <v>1218</v>
      </c>
      <c r="C37" s="154" t="s">
        <v>59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c r="V37" t="e">
        <f>VLOOKUP(A37,'Projetos ciclo 2018-2022'!$I$8:$I$318,1,FALSE)</f>
        <v>#N/A</v>
      </c>
    </row>
    <row r="38" spans="1:22" x14ac:dyDescent="0.25">
      <c r="A38" s="149" t="s">
        <v>1196</v>
      </c>
      <c r="B38" s="150" t="s">
        <v>1197</v>
      </c>
      <c r="C38" s="150" t="s">
        <v>59</v>
      </c>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c r="V38" t="e">
        <f>VLOOKUP(A38,'Projetos ciclo 2018-2022'!$I$8:$I$318,1,FALSE)</f>
        <v>#N/A</v>
      </c>
    </row>
    <row r="39" spans="1:22" x14ac:dyDescent="0.25">
      <c r="A39" s="21" t="s">
        <v>1447</v>
      </c>
      <c r="B39" s="154" t="s">
        <v>1448</v>
      </c>
      <c r="C39" s="154" t="s">
        <v>1449</v>
      </c>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c r="V39" t="e">
        <f>VLOOKUP(A39,'Projetos ciclo 2018-2022'!$I$8:$I$318,1,FALSE)</f>
        <v>#N/A</v>
      </c>
    </row>
    <row r="40" spans="1:22" x14ac:dyDescent="0.25">
      <c r="A40" s="149" t="s">
        <v>565</v>
      </c>
      <c r="B40" s="150" t="s">
        <v>1198</v>
      </c>
      <c r="C40" s="150" t="s">
        <v>59</v>
      </c>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c r="V40" t="str">
        <f>VLOOKUP(A40,'Projetos ciclo 2018-2022'!$I$8:$I$318,1,FALSE)</f>
        <v>NA</v>
      </c>
    </row>
    <row r="41" spans="1:22" x14ac:dyDescent="0.25">
      <c r="A41" s="21" t="s">
        <v>1199</v>
      </c>
      <c r="B41" s="154" t="s">
        <v>1200</v>
      </c>
      <c r="C41" s="154" t="s">
        <v>59</v>
      </c>
      <c r="D41" s="155">
        <v>103</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c r="V41" t="e">
        <f>VLOOKUP(A41,'Projetos ciclo 2018-2022'!$I$8:$I$318,1,FALSE)</f>
        <v>#N/A</v>
      </c>
    </row>
    <row r="42" spans="1:22" x14ac:dyDescent="0.25">
      <c r="A42" s="149" t="s">
        <v>1194</v>
      </c>
      <c r="B42" s="150" t="s">
        <v>1219</v>
      </c>
      <c r="C42" s="150" t="s">
        <v>59</v>
      </c>
      <c r="D42" s="151">
        <v>0</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c r="V42" t="e">
        <f>VLOOKUP(A42,'Projetos ciclo 2018-2022'!$I$8:$I$318,1,FALSE)</f>
        <v>#N/A</v>
      </c>
    </row>
    <row r="43" spans="1:22" x14ac:dyDescent="0.25">
      <c r="A43" s="21" t="s">
        <v>1196</v>
      </c>
      <c r="B43" s="154" t="s">
        <v>1197</v>
      </c>
      <c r="C43" s="154" t="s">
        <v>59</v>
      </c>
      <c r="D43" s="155">
        <v>0</v>
      </c>
      <c r="E43" s="158">
        <v>0</v>
      </c>
      <c r="F43" s="155">
        <v>0</v>
      </c>
      <c r="G43" s="158">
        <v>0</v>
      </c>
      <c r="H43" s="155">
        <v>0</v>
      </c>
      <c r="I43" s="158">
        <v>0</v>
      </c>
      <c r="J43" s="155">
        <v>0</v>
      </c>
      <c r="K43" s="158">
        <v>0</v>
      </c>
      <c r="L43" s="155">
        <v>0</v>
      </c>
      <c r="M43" s="158">
        <v>0</v>
      </c>
      <c r="N43" s="155">
        <v>0</v>
      </c>
      <c r="O43" s="158">
        <v>0</v>
      </c>
      <c r="P43" s="155">
        <v>0</v>
      </c>
      <c r="Q43" s="158">
        <v>0</v>
      </c>
      <c r="R43" s="155">
        <v>0</v>
      </c>
      <c r="S43" s="158">
        <v>0</v>
      </c>
      <c r="T43" s="155">
        <v>0</v>
      </c>
      <c r="U43" s="157">
        <v>0</v>
      </c>
      <c r="V43" t="e">
        <f>VLOOKUP(A43,'Projetos ciclo 2018-2022'!$I$8:$I$318,1,FALSE)</f>
        <v>#N/A</v>
      </c>
    </row>
    <row r="44" spans="1:22" x14ac:dyDescent="0.25">
      <c r="A44" s="149" t="s">
        <v>1450</v>
      </c>
      <c r="B44" s="150" t="s">
        <v>1451</v>
      </c>
      <c r="C44" s="150" t="s">
        <v>1452</v>
      </c>
      <c r="D44" s="151">
        <v>608</v>
      </c>
      <c r="E44" s="152">
        <v>0</v>
      </c>
      <c r="F44" s="151">
        <v>518</v>
      </c>
      <c r="G44" s="152">
        <v>0</v>
      </c>
      <c r="H44" s="151">
        <v>21</v>
      </c>
      <c r="I44" s="152">
        <v>0</v>
      </c>
      <c r="J44" s="151">
        <v>0</v>
      </c>
      <c r="K44" s="152">
        <v>0</v>
      </c>
      <c r="L44" s="151">
        <v>0</v>
      </c>
      <c r="M44" s="152">
        <v>0</v>
      </c>
      <c r="N44" s="151">
        <v>90</v>
      </c>
      <c r="O44" s="152">
        <v>0</v>
      </c>
      <c r="P44" s="151">
        <v>0</v>
      </c>
      <c r="Q44" s="152">
        <v>0</v>
      </c>
      <c r="R44" s="151">
        <v>0</v>
      </c>
      <c r="S44" s="152">
        <v>0</v>
      </c>
      <c r="T44" s="151">
        <v>0</v>
      </c>
      <c r="U44" s="153">
        <v>0</v>
      </c>
      <c r="V44" t="e">
        <f>VLOOKUP(A44,'Projetos ciclo 2018-2022'!$I$8:$I$318,1,FALSE)</f>
        <v>#N/A</v>
      </c>
    </row>
    <row r="45" spans="1:22" x14ac:dyDescent="0.25">
      <c r="A45" s="21" t="s">
        <v>1223</v>
      </c>
      <c r="B45" s="154" t="s">
        <v>1224</v>
      </c>
      <c r="C45" s="154" t="s">
        <v>1225</v>
      </c>
      <c r="D45" s="155">
        <v>0</v>
      </c>
      <c r="E45" s="158">
        <v>0</v>
      </c>
      <c r="F45" s="155">
        <v>0</v>
      </c>
      <c r="G45" s="158">
        <v>82</v>
      </c>
      <c r="H45" s="155">
        <v>0</v>
      </c>
      <c r="I45" s="158">
        <v>10.290000200271606</v>
      </c>
      <c r="J45" s="155">
        <v>0</v>
      </c>
      <c r="K45" s="158">
        <v>10.290000200271606</v>
      </c>
      <c r="L45" s="155">
        <v>67</v>
      </c>
      <c r="M45" s="158">
        <v>77.290000200271606</v>
      </c>
      <c r="N45" s="155">
        <v>0</v>
      </c>
      <c r="O45" s="158">
        <v>0</v>
      </c>
      <c r="P45" s="155">
        <v>0</v>
      </c>
      <c r="Q45" s="158">
        <v>0</v>
      </c>
      <c r="R45" s="155">
        <v>0</v>
      </c>
      <c r="S45" s="158">
        <v>0</v>
      </c>
      <c r="T45" s="155">
        <v>0</v>
      </c>
      <c r="U45" s="157">
        <v>0</v>
      </c>
      <c r="V45" t="str">
        <f>VLOOKUP(A45,'Projetos ciclo 2018-2022'!$I$8:$I$318,1,FALSE)</f>
        <v>MG00318</v>
      </c>
    </row>
    <row r="46" spans="1:22" x14ac:dyDescent="0.25">
      <c r="A46" s="149" t="s">
        <v>565</v>
      </c>
      <c r="B46" s="150" t="s">
        <v>1229</v>
      </c>
      <c r="C46" s="150" t="s">
        <v>59</v>
      </c>
      <c r="D46" s="151">
        <v>1693</v>
      </c>
      <c r="E46" s="152">
        <v>0</v>
      </c>
      <c r="F46" s="151">
        <v>0</v>
      </c>
      <c r="G46" s="152">
        <v>0</v>
      </c>
      <c r="H46" s="151">
        <v>0</v>
      </c>
      <c r="I46" s="152">
        <v>0</v>
      </c>
      <c r="J46" s="151">
        <v>0</v>
      </c>
      <c r="K46" s="152">
        <v>0</v>
      </c>
      <c r="L46" s="151">
        <v>0</v>
      </c>
      <c r="M46" s="152">
        <v>0</v>
      </c>
      <c r="N46" s="151">
        <v>396</v>
      </c>
      <c r="O46" s="152">
        <v>602</v>
      </c>
      <c r="P46" s="151">
        <v>498</v>
      </c>
      <c r="Q46" s="152">
        <v>197</v>
      </c>
      <c r="R46" s="151">
        <v>0</v>
      </c>
      <c r="S46" s="152">
        <v>0</v>
      </c>
      <c r="T46" s="151">
        <v>0</v>
      </c>
      <c r="U46" s="153">
        <v>0</v>
      </c>
      <c r="V46" t="str">
        <f>VLOOKUP(A46,'Projetos ciclo 2018-2022'!$I$8:$I$318,1,FALSE)</f>
        <v>NA</v>
      </c>
    </row>
    <row r="47" spans="1:22" x14ac:dyDescent="0.25">
      <c r="A47" s="21" t="s">
        <v>1230</v>
      </c>
      <c r="B47" s="154" t="s">
        <v>1231</v>
      </c>
      <c r="C47" s="154" t="s">
        <v>1232</v>
      </c>
      <c r="D47" s="155">
        <v>0</v>
      </c>
      <c r="E47" s="158">
        <v>0</v>
      </c>
      <c r="F47" s="155">
        <v>0</v>
      </c>
      <c r="G47" s="158">
        <v>74</v>
      </c>
      <c r="H47" s="155">
        <v>0</v>
      </c>
      <c r="I47" s="158">
        <v>0</v>
      </c>
      <c r="J47" s="155">
        <v>0</v>
      </c>
      <c r="K47" s="158">
        <v>0</v>
      </c>
      <c r="L47" s="155">
        <v>30.149999618530273</v>
      </c>
      <c r="M47" s="158">
        <v>30.149999618530273</v>
      </c>
      <c r="N47" s="155">
        <v>0</v>
      </c>
      <c r="O47" s="158">
        <v>0</v>
      </c>
      <c r="P47" s="155">
        <v>0</v>
      </c>
      <c r="Q47" s="158">
        <v>0</v>
      </c>
      <c r="R47" s="155">
        <v>0</v>
      </c>
      <c r="S47" s="158">
        <v>0</v>
      </c>
      <c r="T47" s="155">
        <v>0</v>
      </c>
      <c r="U47" s="157">
        <v>0</v>
      </c>
      <c r="V47" t="str">
        <f>VLOOKUP(A47,'Projetos ciclo 2018-2022'!$I$8:$I$318,1,FALSE)</f>
        <v>PO00117</v>
      </c>
    </row>
    <row r="48" spans="1:22" x14ac:dyDescent="0.25">
      <c r="A48" s="149" t="s">
        <v>1233</v>
      </c>
      <c r="B48" s="150" t="s">
        <v>1234</v>
      </c>
      <c r="C48" s="150" t="s">
        <v>1235</v>
      </c>
      <c r="D48" s="151">
        <v>0</v>
      </c>
      <c r="E48" s="152">
        <v>0</v>
      </c>
      <c r="F48" s="151">
        <v>0</v>
      </c>
      <c r="G48" s="152">
        <v>270</v>
      </c>
      <c r="H48" s="151">
        <v>0</v>
      </c>
      <c r="I48" s="152">
        <v>9.8500003814697266</v>
      </c>
      <c r="J48" s="151">
        <v>0</v>
      </c>
      <c r="K48" s="152">
        <v>9.8500003814697266</v>
      </c>
      <c r="L48" s="151">
        <v>156.27191162109375</v>
      </c>
      <c r="M48" s="152">
        <v>166.12191200256348</v>
      </c>
      <c r="N48" s="151">
        <v>0</v>
      </c>
      <c r="O48" s="152">
        <v>0</v>
      </c>
      <c r="P48" s="151">
        <v>0</v>
      </c>
      <c r="Q48" s="152">
        <v>0</v>
      </c>
      <c r="R48" s="151">
        <v>0</v>
      </c>
      <c r="S48" s="152">
        <v>0</v>
      </c>
      <c r="T48" s="151">
        <v>0</v>
      </c>
      <c r="U48" s="153">
        <v>0</v>
      </c>
      <c r="V48" t="str">
        <f>VLOOKUP(A48,'Projetos ciclo 2018-2022'!$I$8:$I$318,1,FALSE)</f>
        <v>PO00118</v>
      </c>
    </row>
    <row r="49" spans="1:22" x14ac:dyDescent="0.25">
      <c r="A49" s="21" t="s">
        <v>1199</v>
      </c>
      <c r="B49" s="154" t="s">
        <v>1200</v>
      </c>
      <c r="C49" s="154" t="s">
        <v>59</v>
      </c>
      <c r="D49" s="155">
        <v>0</v>
      </c>
      <c r="E49" s="158">
        <v>0</v>
      </c>
      <c r="F49" s="155">
        <v>0</v>
      </c>
      <c r="G49" s="158">
        <v>0</v>
      </c>
      <c r="H49" s="155">
        <v>0</v>
      </c>
      <c r="I49" s="158">
        <v>0</v>
      </c>
      <c r="J49" s="155">
        <v>0</v>
      </c>
      <c r="K49" s="158">
        <v>0</v>
      </c>
      <c r="L49" s="155">
        <v>0</v>
      </c>
      <c r="M49" s="158">
        <v>0</v>
      </c>
      <c r="N49" s="155">
        <v>0</v>
      </c>
      <c r="O49" s="158">
        <v>0</v>
      </c>
      <c r="P49" s="155">
        <v>0</v>
      </c>
      <c r="Q49" s="158">
        <v>0</v>
      </c>
      <c r="R49" s="155">
        <v>0</v>
      </c>
      <c r="S49" s="158">
        <v>0</v>
      </c>
      <c r="T49" s="155">
        <v>0</v>
      </c>
      <c r="U49" s="157">
        <v>0</v>
      </c>
      <c r="V49" t="e">
        <f>VLOOKUP(A49,'Projetos ciclo 2018-2022'!$I$8:$I$318,1,FALSE)</f>
        <v>#N/A</v>
      </c>
    </row>
    <row r="50" spans="1:22" x14ac:dyDescent="0.25">
      <c r="A50" s="149" t="s">
        <v>1194</v>
      </c>
      <c r="B50" s="150" t="s">
        <v>1195</v>
      </c>
      <c r="C50" s="150" t="s">
        <v>59</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c r="V50" t="e">
        <f>VLOOKUP(A50,'Projetos ciclo 2018-2022'!$I$8:$I$318,1,FALSE)</f>
        <v>#N/A</v>
      </c>
    </row>
    <row r="51" spans="1:22" x14ac:dyDescent="0.25">
      <c r="A51" s="21" t="s">
        <v>1196</v>
      </c>
      <c r="B51" s="154" t="s">
        <v>1197</v>
      </c>
      <c r="C51" s="154" t="s">
        <v>59</v>
      </c>
      <c r="D51" s="155">
        <v>0</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c r="V51" t="e">
        <f>VLOOKUP(A51,'Projetos ciclo 2018-2022'!$I$8:$I$318,1,FALSE)</f>
        <v>#N/A</v>
      </c>
    </row>
    <row r="52" spans="1:22" x14ac:dyDescent="0.25">
      <c r="A52" s="149" t="s">
        <v>1453</v>
      </c>
      <c r="B52" s="150" t="s">
        <v>1454</v>
      </c>
      <c r="C52" s="150" t="s">
        <v>1455</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c r="V52" t="e">
        <f>VLOOKUP(A52,'Projetos ciclo 2018-2022'!$I$8:$I$318,1,FALSE)</f>
        <v>#N/A</v>
      </c>
    </row>
    <row r="53" spans="1:22" x14ac:dyDescent="0.25">
      <c r="A53" s="21" t="s">
        <v>565</v>
      </c>
      <c r="B53" s="154" t="s">
        <v>1198</v>
      </c>
      <c r="C53" s="154" t="s">
        <v>59</v>
      </c>
      <c r="D53" s="155">
        <v>1911</v>
      </c>
      <c r="E53" s="158">
        <v>0</v>
      </c>
      <c r="F53" s="155">
        <v>0</v>
      </c>
      <c r="G53" s="158">
        <v>0</v>
      </c>
      <c r="H53" s="155">
        <v>0</v>
      </c>
      <c r="I53" s="158">
        <v>0</v>
      </c>
      <c r="J53" s="155">
        <v>0</v>
      </c>
      <c r="K53" s="158">
        <v>0</v>
      </c>
      <c r="L53" s="155">
        <v>0</v>
      </c>
      <c r="M53" s="158">
        <v>0</v>
      </c>
      <c r="N53" s="155">
        <v>430</v>
      </c>
      <c r="O53" s="158">
        <v>204</v>
      </c>
      <c r="P53" s="155">
        <v>1251</v>
      </c>
      <c r="Q53" s="158">
        <v>26</v>
      </c>
      <c r="R53" s="155">
        <v>0</v>
      </c>
      <c r="S53" s="158">
        <v>0</v>
      </c>
      <c r="T53" s="155">
        <v>0</v>
      </c>
      <c r="U53" s="157">
        <v>0</v>
      </c>
      <c r="V53" t="str">
        <f>VLOOKUP(A53,'Projetos ciclo 2018-2022'!$I$8:$I$318,1,FALSE)</f>
        <v>NA</v>
      </c>
    </row>
    <row r="54" spans="1:22" x14ac:dyDescent="0.25">
      <c r="A54" s="149" t="s">
        <v>1199</v>
      </c>
      <c r="B54" s="150" t="s">
        <v>1200</v>
      </c>
      <c r="C54" s="150" t="s">
        <v>59</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c r="V54" t="e">
        <f>VLOOKUP(A54,'Projetos ciclo 2018-2022'!$I$8:$I$318,1,FALSE)</f>
        <v>#N/A</v>
      </c>
    </row>
    <row r="55" spans="1:22" x14ac:dyDescent="0.25">
      <c r="A55" s="21" t="s">
        <v>1194</v>
      </c>
      <c r="B55" s="154" t="s">
        <v>1201</v>
      </c>
      <c r="C55" s="154" t="s">
        <v>59</v>
      </c>
      <c r="D55" s="155">
        <v>0</v>
      </c>
      <c r="E55" s="158">
        <v>0</v>
      </c>
      <c r="F55" s="155">
        <v>0</v>
      </c>
      <c r="G55" s="158">
        <v>0</v>
      </c>
      <c r="H55" s="155">
        <v>0</v>
      </c>
      <c r="I55" s="158">
        <v>0</v>
      </c>
      <c r="J55" s="155">
        <v>0</v>
      </c>
      <c r="K55" s="158">
        <v>0</v>
      </c>
      <c r="L55" s="155">
        <v>0</v>
      </c>
      <c r="M55" s="158">
        <v>0</v>
      </c>
      <c r="N55" s="155">
        <v>0</v>
      </c>
      <c r="O55" s="158">
        <v>0</v>
      </c>
      <c r="P55" s="155">
        <v>0</v>
      </c>
      <c r="Q55" s="158">
        <v>0</v>
      </c>
      <c r="R55" s="155">
        <v>0</v>
      </c>
      <c r="S55" s="158">
        <v>0</v>
      </c>
      <c r="T55" s="155">
        <v>0</v>
      </c>
      <c r="U55" s="157">
        <v>0</v>
      </c>
      <c r="V55" t="e">
        <f>VLOOKUP(A55,'Projetos ciclo 2018-2022'!$I$8:$I$318,1,FALSE)</f>
        <v>#N/A</v>
      </c>
    </row>
    <row r="56" spans="1:22" x14ac:dyDescent="0.25">
      <c r="A56" s="149" t="s">
        <v>1196</v>
      </c>
      <c r="B56" s="150" t="s">
        <v>1197</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c r="V56" t="e">
        <f>VLOOKUP(A56,'Projetos ciclo 2018-2022'!$I$8:$I$318,1,FALSE)</f>
        <v>#N/A</v>
      </c>
    </row>
    <row r="57" spans="1:22" x14ac:dyDescent="0.25">
      <c r="A57" s="21" t="s">
        <v>565</v>
      </c>
      <c r="B57" s="154" t="s">
        <v>1198</v>
      </c>
      <c r="C57" s="154" t="s">
        <v>59</v>
      </c>
      <c r="D57" s="155">
        <v>257</v>
      </c>
      <c r="E57" s="158">
        <v>0</v>
      </c>
      <c r="F57" s="155">
        <v>0</v>
      </c>
      <c r="G57" s="158">
        <v>0</v>
      </c>
      <c r="H57" s="155">
        <v>0</v>
      </c>
      <c r="I57" s="158">
        <v>0</v>
      </c>
      <c r="J57" s="155">
        <v>0</v>
      </c>
      <c r="K57" s="158">
        <v>0</v>
      </c>
      <c r="L57" s="155">
        <v>0</v>
      </c>
      <c r="M57" s="158">
        <v>0</v>
      </c>
      <c r="N57" s="155">
        <v>6</v>
      </c>
      <c r="O57" s="158">
        <v>83</v>
      </c>
      <c r="P57" s="155">
        <v>90</v>
      </c>
      <c r="Q57" s="158">
        <v>78</v>
      </c>
      <c r="R57" s="155">
        <v>0</v>
      </c>
      <c r="S57" s="158">
        <v>0</v>
      </c>
      <c r="T57" s="155">
        <v>0</v>
      </c>
      <c r="U57" s="157">
        <v>0</v>
      </c>
      <c r="V57" t="str">
        <f>VLOOKUP(A57,'Projetos ciclo 2018-2022'!$I$8:$I$318,1,FALSE)</f>
        <v>NA</v>
      </c>
    </row>
    <row r="58" spans="1:22" x14ac:dyDescent="0.25">
      <c r="A58" s="149" t="s">
        <v>1199</v>
      </c>
      <c r="B58" s="150" t="s">
        <v>1200</v>
      </c>
      <c r="C58" s="150" t="s">
        <v>59</v>
      </c>
      <c r="D58" s="151">
        <v>0</v>
      </c>
      <c r="E58" s="152">
        <v>0</v>
      </c>
      <c r="F58" s="151">
        <v>0</v>
      </c>
      <c r="G58" s="152">
        <v>0</v>
      </c>
      <c r="H58" s="151">
        <v>0</v>
      </c>
      <c r="I58" s="152">
        <v>0</v>
      </c>
      <c r="J58" s="151">
        <v>0</v>
      </c>
      <c r="K58" s="152">
        <v>0</v>
      </c>
      <c r="L58" s="151">
        <v>0</v>
      </c>
      <c r="M58" s="152">
        <v>0</v>
      </c>
      <c r="N58" s="151">
        <v>0</v>
      </c>
      <c r="O58" s="152">
        <v>0</v>
      </c>
      <c r="P58" s="151">
        <v>0</v>
      </c>
      <c r="Q58" s="152">
        <v>0</v>
      </c>
      <c r="R58" s="151">
        <v>0</v>
      </c>
      <c r="S58" s="152">
        <v>0</v>
      </c>
      <c r="T58" s="151">
        <v>0</v>
      </c>
      <c r="U58" s="153">
        <v>0</v>
      </c>
      <c r="V58" t="e">
        <f>VLOOKUP(A58,'Projetos ciclo 2018-2022'!$I$8:$I$318,1,FALSE)</f>
        <v>#N/A</v>
      </c>
    </row>
    <row r="59" spans="1:22" x14ac:dyDescent="0.25">
      <c r="A59" s="21" t="s">
        <v>1242</v>
      </c>
      <c r="B59" s="154" t="s">
        <v>1243</v>
      </c>
      <c r="C59" s="154" t="s">
        <v>1244</v>
      </c>
      <c r="D59" s="155">
        <v>182</v>
      </c>
      <c r="E59" s="158">
        <v>0</v>
      </c>
      <c r="F59" s="155">
        <v>142</v>
      </c>
      <c r="G59" s="158">
        <v>0</v>
      </c>
      <c r="H59" s="155">
        <v>0</v>
      </c>
      <c r="I59" s="158">
        <v>0</v>
      </c>
      <c r="J59" s="155">
        <v>0</v>
      </c>
      <c r="K59" s="158">
        <v>0</v>
      </c>
      <c r="L59" s="155">
        <v>0</v>
      </c>
      <c r="M59" s="158">
        <v>0</v>
      </c>
      <c r="N59" s="155">
        <v>40</v>
      </c>
      <c r="O59" s="158">
        <v>0</v>
      </c>
      <c r="P59" s="155">
        <v>0</v>
      </c>
      <c r="Q59" s="158">
        <v>0</v>
      </c>
      <c r="R59" s="155">
        <v>0</v>
      </c>
      <c r="S59" s="158">
        <v>0</v>
      </c>
      <c r="T59" s="155">
        <v>0</v>
      </c>
      <c r="U59" s="157">
        <v>0</v>
      </c>
      <c r="V59" t="e">
        <f>VLOOKUP(A59,'Projetos ciclo 2018-2022'!$I$8:$I$318,1,FALSE)</f>
        <v>#N/A</v>
      </c>
    </row>
    <row r="60" spans="1:22" x14ac:dyDescent="0.25">
      <c r="A60" s="149" t="s">
        <v>1742</v>
      </c>
      <c r="B60" s="150" t="s">
        <v>1743</v>
      </c>
      <c r="C60" s="150" t="s">
        <v>1744</v>
      </c>
      <c r="D60" s="151">
        <v>0</v>
      </c>
      <c r="E60" s="152">
        <v>0</v>
      </c>
      <c r="F60" s="151">
        <v>0</v>
      </c>
      <c r="G60" s="152">
        <v>142</v>
      </c>
      <c r="H60" s="151">
        <v>0</v>
      </c>
      <c r="I60" s="152">
        <v>0</v>
      </c>
      <c r="J60" s="151">
        <v>0</v>
      </c>
      <c r="K60" s="152">
        <v>0</v>
      </c>
      <c r="L60" s="151">
        <v>142.21935653686523</v>
      </c>
      <c r="M60" s="152">
        <v>142.21935653686523</v>
      </c>
      <c r="N60" s="151">
        <v>0</v>
      </c>
      <c r="O60" s="152">
        <v>0</v>
      </c>
      <c r="P60" s="151">
        <v>0</v>
      </c>
      <c r="Q60" s="152">
        <v>0</v>
      </c>
      <c r="R60" s="151">
        <v>0</v>
      </c>
      <c r="S60" s="152">
        <v>0</v>
      </c>
      <c r="T60" s="151">
        <v>0</v>
      </c>
      <c r="U60" s="153">
        <v>0</v>
      </c>
      <c r="V60" t="str">
        <f>VLOOKUP(A60,'Projetos ciclo 2018-2022'!$I$8:$I$318,1,FALSE)</f>
        <v>TI06618</v>
      </c>
    </row>
    <row r="61" spans="1:22" x14ac:dyDescent="0.25">
      <c r="A61" s="21" t="s">
        <v>1969</v>
      </c>
      <c r="B61" s="154" t="s">
        <v>1970</v>
      </c>
      <c r="C61" s="154" t="s">
        <v>1971</v>
      </c>
      <c r="D61" s="155">
        <v>0</v>
      </c>
      <c r="E61" s="158">
        <v>0</v>
      </c>
      <c r="F61" s="155">
        <v>0</v>
      </c>
      <c r="G61" s="158">
        <v>0</v>
      </c>
      <c r="H61" s="155">
        <v>0</v>
      </c>
      <c r="I61" s="158">
        <v>0</v>
      </c>
      <c r="J61" s="155">
        <v>0</v>
      </c>
      <c r="K61" s="158">
        <v>0</v>
      </c>
      <c r="L61" s="155">
        <v>0</v>
      </c>
      <c r="M61" s="158">
        <v>0</v>
      </c>
      <c r="N61" s="155">
        <v>0</v>
      </c>
      <c r="O61" s="158">
        <v>0</v>
      </c>
      <c r="P61" s="155">
        <v>0</v>
      </c>
      <c r="Q61" s="158">
        <v>0</v>
      </c>
      <c r="R61" s="155">
        <v>0</v>
      </c>
      <c r="S61" s="158">
        <v>0</v>
      </c>
      <c r="T61" s="155">
        <v>0</v>
      </c>
      <c r="U61" s="157">
        <v>0</v>
      </c>
      <c r="V61" t="str">
        <f>VLOOKUP(A61,'Projetos ciclo 2018-2022'!$I$8:$I$318,1,FALSE)</f>
        <v>TI07818</v>
      </c>
    </row>
    <row r="62" spans="1:22" x14ac:dyDescent="0.25">
      <c r="A62" s="149" t="s">
        <v>1194</v>
      </c>
      <c r="B62" s="150" t="s">
        <v>1245</v>
      </c>
      <c r="C62" s="150" t="s">
        <v>59</v>
      </c>
      <c r="D62" s="151">
        <v>0</v>
      </c>
      <c r="E62" s="152">
        <v>0</v>
      </c>
      <c r="F62" s="151">
        <v>0</v>
      </c>
      <c r="G62" s="152">
        <v>0</v>
      </c>
      <c r="H62" s="151">
        <v>0</v>
      </c>
      <c r="I62" s="152">
        <v>0</v>
      </c>
      <c r="J62" s="151">
        <v>0</v>
      </c>
      <c r="K62" s="152">
        <v>0</v>
      </c>
      <c r="L62" s="151">
        <v>0</v>
      </c>
      <c r="M62" s="152">
        <v>0</v>
      </c>
      <c r="N62" s="151">
        <v>0</v>
      </c>
      <c r="O62" s="152">
        <v>0</v>
      </c>
      <c r="P62" s="151">
        <v>0</v>
      </c>
      <c r="Q62" s="152">
        <v>0</v>
      </c>
      <c r="R62" s="151">
        <v>0</v>
      </c>
      <c r="S62" s="152">
        <v>0</v>
      </c>
      <c r="T62" s="151">
        <v>0</v>
      </c>
      <c r="U62" s="153">
        <v>0</v>
      </c>
      <c r="V62" t="e">
        <f>VLOOKUP(A62,'Projetos ciclo 2018-2022'!$I$8:$I$318,1,FALSE)</f>
        <v>#N/A</v>
      </c>
    </row>
    <row r="63" spans="1:22" x14ac:dyDescent="0.25">
      <c r="A63" s="21" t="s">
        <v>1196</v>
      </c>
      <c r="B63" s="154" t="s">
        <v>1197</v>
      </c>
      <c r="C63" s="154" t="s">
        <v>59</v>
      </c>
      <c r="D63" s="155">
        <v>0</v>
      </c>
      <c r="E63" s="158">
        <v>0</v>
      </c>
      <c r="F63" s="155">
        <v>0</v>
      </c>
      <c r="G63" s="158">
        <v>0</v>
      </c>
      <c r="H63" s="155">
        <v>0</v>
      </c>
      <c r="I63" s="158">
        <v>0</v>
      </c>
      <c r="J63" s="155">
        <v>0</v>
      </c>
      <c r="K63" s="158">
        <v>0</v>
      </c>
      <c r="L63" s="155">
        <v>0</v>
      </c>
      <c r="M63" s="158">
        <v>0</v>
      </c>
      <c r="N63" s="155">
        <v>0</v>
      </c>
      <c r="O63" s="158">
        <v>0</v>
      </c>
      <c r="P63" s="155">
        <v>0</v>
      </c>
      <c r="Q63" s="158">
        <v>0</v>
      </c>
      <c r="R63" s="155">
        <v>0</v>
      </c>
      <c r="S63" s="158">
        <v>0</v>
      </c>
      <c r="T63" s="155">
        <v>0</v>
      </c>
      <c r="U63" s="157">
        <v>0</v>
      </c>
      <c r="V63" t="e">
        <f>VLOOKUP(A63,'Projetos ciclo 2018-2022'!$I$8:$I$318,1,FALSE)</f>
        <v>#N/A</v>
      </c>
    </row>
    <row r="64" spans="1:22" x14ac:dyDescent="0.25">
      <c r="A64" s="149" t="s">
        <v>565</v>
      </c>
      <c r="B64" s="150" t="s">
        <v>1198</v>
      </c>
      <c r="C64" s="150" t="s">
        <v>59</v>
      </c>
      <c r="D64" s="151">
        <v>529</v>
      </c>
      <c r="E64" s="152">
        <v>0</v>
      </c>
      <c r="F64" s="151">
        <v>0</v>
      </c>
      <c r="G64" s="152">
        <v>0</v>
      </c>
      <c r="H64" s="151">
        <v>0</v>
      </c>
      <c r="I64" s="152">
        <v>0</v>
      </c>
      <c r="J64" s="151">
        <v>0</v>
      </c>
      <c r="K64" s="152">
        <v>0</v>
      </c>
      <c r="L64" s="151">
        <v>0</v>
      </c>
      <c r="M64" s="152">
        <v>0</v>
      </c>
      <c r="N64" s="151">
        <v>55</v>
      </c>
      <c r="O64" s="152">
        <v>209</v>
      </c>
      <c r="P64" s="151">
        <v>55</v>
      </c>
      <c r="Q64" s="152">
        <v>210</v>
      </c>
      <c r="R64" s="151">
        <v>0</v>
      </c>
      <c r="S64" s="152">
        <v>0</v>
      </c>
      <c r="T64" s="151">
        <v>0</v>
      </c>
      <c r="U64" s="153">
        <v>0</v>
      </c>
      <c r="V64" t="str">
        <f>VLOOKUP(A64,'Projetos ciclo 2018-2022'!$I$8:$I$318,1,FALSE)</f>
        <v>NA</v>
      </c>
    </row>
    <row r="65" spans="1:22" x14ac:dyDescent="0.25">
      <c r="A65" s="21" t="s">
        <v>1199</v>
      </c>
      <c r="B65" s="154" t="s">
        <v>1200</v>
      </c>
      <c r="C65" s="154" t="s">
        <v>59</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c r="V65" t="e">
        <f>VLOOKUP(A65,'Projetos ciclo 2018-2022'!$I$8:$I$318,1,FALSE)</f>
        <v>#N/A</v>
      </c>
    </row>
    <row r="66" spans="1:22" x14ac:dyDescent="0.25">
      <c r="A66" s="149" t="s">
        <v>1246</v>
      </c>
      <c r="B66" s="150" t="s">
        <v>1247</v>
      </c>
      <c r="C66" s="150" t="s">
        <v>1248</v>
      </c>
      <c r="D66" s="151">
        <v>415</v>
      </c>
      <c r="E66" s="152">
        <v>0</v>
      </c>
      <c r="F66" s="151">
        <v>415</v>
      </c>
      <c r="G66" s="152">
        <v>0</v>
      </c>
      <c r="H66" s="151">
        <v>0</v>
      </c>
      <c r="I66" s="152">
        <v>0</v>
      </c>
      <c r="J66" s="151">
        <v>0</v>
      </c>
      <c r="K66" s="152">
        <v>0</v>
      </c>
      <c r="L66" s="151">
        <v>0</v>
      </c>
      <c r="M66" s="152">
        <v>0</v>
      </c>
      <c r="N66" s="151">
        <v>0</v>
      </c>
      <c r="O66" s="152">
        <v>0</v>
      </c>
      <c r="P66" s="151">
        <v>0</v>
      </c>
      <c r="Q66" s="152">
        <v>0</v>
      </c>
      <c r="R66" s="151">
        <v>0</v>
      </c>
      <c r="S66" s="152">
        <v>0</v>
      </c>
      <c r="T66" s="151">
        <v>0</v>
      </c>
      <c r="U66" s="153">
        <v>0</v>
      </c>
      <c r="V66" t="e">
        <f>VLOOKUP(A66,'Projetos ciclo 2018-2022'!$I$8:$I$318,1,FALSE)</f>
        <v>#N/A</v>
      </c>
    </row>
    <row r="67" spans="1:22" x14ac:dyDescent="0.25">
      <c r="A67" s="21" t="s">
        <v>1477</v>
      </c>
      <c r="B67" s="154" t="s">
        <v>1463</v>
      </c>
      <c r="C67" s="154" t="s">
        <v>1478</v>
      </c>
      <c r="D67" s="155">
        <v>0</v>
      </c>
      <c r="E67" s="158">
        <v>0</v>
      </c>
      <c r="F67" s="155">
        <v>0</v>
      </c>
      <c r="G67" s="158">
        <v>415</v>
      </c>
      <c r="H67" s="155">
        <v>0</v>
      </c>
      <c r="I67" s="158">
        <v>0</v>
      </c>
      <c r="J67" s="155">
        <v>0</v>
      </c>
      <c r="K67" s="158">
        <v>0</v>
      </c>
      <c r="L67" s="155">
        <v>341.23980712890625</v>
      </c>
      <c r="M67" s="158">
        <v>341.23980712890625</v>
      </c>
      <c r="N67" s="155">
        <v>0</v>
      </c>
      <c r="O67" s="158">
        <v>0</v>
      </c>
      <c r="P67" s="155">
        <v>0</v>
      </c>
      <c r="Q67" s="158">
        <v>0</v>
      </c>
      <c r="R67" s="155">
        <v>0</v>
      </c>
      <c r="S67" s="158">
        <v>0</v>
      </c>
      <c r="T67" s="155">
        <v>0</v>
      </c>
      <c r="U67" s="157">
        <v>0</v>
      </c>
      <c r="V67" t="str">
        <f>VLOOKUP(A67,'Projetos ciclo 2018-2022'!$I$8:$I$318,1,FALSE)</f>
        <v>TI04418</v>
      </c>
    </row>
    <row r="68" spans="1:22" x14ac:dyDescent="0.25">
      <c r="A68" s="149" t="s">
        <v>1194</v>
      </c>
      <c r="B68" s="150" t="s">
        <v>1209</v>
      </c>
      <c r="C68" s="150" t="s">
        <v>59</v>
      </c>
      <c r="D68" s="151">
        <v>0</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c r="V68" t="e">
        <f>VLOOKUP(A68,'Projetos ciclo 2018-2022'!$I$8:$I$318,1,FALSE)</f>
        <v>#N/A</v>
      </c>
    </row>
    <row r="69" spans="1:22" x14ac:dyDescent="0.25">
      <c r="A69" s="21" t="s">
        <v>1196</v>
      </c>
      <c r="B69" s="154" t="s">
        <v>1197</v>
      </c>
      <c r="C69" s="154" t="s">
        <v>59</v>
      </c>
      <c r="D69" s="155">
        <v>0</v>
      </c>
      <c r="E69" s="158">
        <v>0</v>
      </c>
      <c r="F69" s="155">
        <v>0</v>
      </c>
      <c r="G69" s="158">
        <v>0</v>
      </c>
      <c r="H69" s="155">
        <v>0</v>
      </c>
      <c r="I69" s="158">
        <v>0</v>
      </c>
      <c r="J69" s="155">
        <v>0</v>
      </c>
      <c r="K69" s="158">
        <v>0</v>
      </c>
      <c r="L69" s="155">
        <v>0</v>
      </c>
      <c r="M69" s="158">
        <v>0</v>
      </c>
      <c r="N69" s="155">
        <v>0</v>
      </c>
      <c r="O69" s="158">
        <v>0</v>
      </c>
      <c r="P69" s="155">
        <v>0</v>
      </c>
      <c r="Q69" s="158">
        <v>0</v>
      </c>
      <c r="R69" s="155">
        <v>0</v>
      </c>
      <c r="S69" s="158">
        <v>0</v>
      </c>
      <c r="T69" s="155">
        <v>0</v>
      </c>
      <c r="U69" s="157">
        <v>0</v>
      </c>
      <c r="V69" t="e">
        <f>VLOOKUP(A69,'Projetos ciclo 2018-2022'!$I$8:$I$318,1,FALSE)</f>
        <v>#N/A</v>
      </c>
    </row>
    <row r="70" spans="1:22" x14ac:dyDescent="0.25">
      <c r="A70" s="149" t="s">
        <v>565</v>
      </c>
      <c r="B70" s="150" t="s">
        <v>1198</v>
      </c>
      <c r="C70" s="150" t="s">
        <v>59</v>
      </c>
      <c r="D70" s="151">
        <v>514</v>
      </c>
      <c r="E70" s="152">
        <v>0</v>
      </c>
      <c r="F70" s="151">
        <v>0</v>
      </c>
      <c r="G70" s="152">
        <v>0</v>
      </c>
      <c r="H70" s="151">
        <v>0</v>
      </c>
      <c r="I70" s="152">
        <v>0</v>
      </c>
      <c r="J70" s="151">
        <v>0</v>
      </c>
      <c r="K70" s="152">
        <v>0</v>
      </c>
      <c r="L70" s="151">
        <v>0</v>
      </c>
      <c r="M70" s="152">
        <v>0</v>
      </c>
      <c r="N70" s="151">
        <v>128.5</v>
      </c>
      <c r="O70" s="152">
        <v>128.5</v>
      </c>
      <c r="P70" s="151">
        <v>128.5</v>
      </c>
      <c r="Q70" s="152">
        <v>128.5</v>
      </c>
      <c r="R70" s="151">
        <v>0</v>
      </c>
      <c r="S70" s="152">
        <v>0</v>
      </c>
      <c r="T70" s="151">
        <v>0</v>
      </c>
      <c r="U70" s="153">
        <v>0</v>
      </c>
      <c r="V70" t="str">
        <f>VLOOKUP(A70,'Projetos ciclo 2018-2022'!$I$8:$I$318,1,FALSE)</f>
        <v>NA</v>
      </c>
    </row>
    <row r="71" spans="1:22" x14ac:dyDescent="0.25">
      <c r="A71" s="21" t="s">
        <v>1199</v>
      </c>
      <c r="B71" s="154" t="s">
        <v>1200</v>
      </c>
      <c r="C71" s="154" t="s">
        <v>59</v>
      </c>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c r="V71" t="e">
        <f>VLOOKUP(A71,'Projetos ciclo 2018-2022'!$I$8:$I$318,1,FALSE)</f>
        <v>#N/A</v>
      </c>
    </row>
    <row r="72" spans="1:22" x14ac:dyDescent="0.25">
      <c r="A72" s="149" t="s">
        <v>1249</v>
      </c>
      <c r="B72" s="150" t="s">
        <v>1250</v>
      </c>
      <c r="C72" s="150" t="s">
        <v>1251</v>
      </c>
      <c r="D72" s="151">
        <v>129</v>
      </c>
      <c r="E72" s="152">
        <v>0</v>
      </c>
      <c r="F72" s="151">
        <v>129</v>
      </c>
      <c r="G72" s="152">
        <v>0</v>
      </c>
      <c r="H72" s="151">
        <v>98</v>
      </c>
      <c r="I72" s="152">
        <v>0</v>
      </c>
      <c r="J72" s="151">
        <v>0</v>
      </c>
      <c r="K72" s="152">
        <v>0</v>
      </c>
      <c r="L72" s="151">
        <v>0</v>
      </c>
      <c r="M72" s="152">
        <v>0</v>
      </c>
      <c r="N72" s="151">
        <v>0</v>
      </c>
      <c r="O72" s="152">
        <v>0</v>
      </c>
      <c r="P72" s="151">
        <v>0</v>
      </c>
      <c r="Q72" s="152">
        <v>0</v>
      </c>
      <c r="R72" s="151">
        <v>0</v>
      </c>
      <c r="S72" s="152">
        <v>0</v>
      </c>
      <c r="T72" s="151">
        <v>0</v>
      </c>
      <c r="U72" s="153">
        <v>0</v>
      </c>
      <c r="V72" t="e">
        <f>VLOOKUP(A72,'Projetos ciclo 2018-2022'!$I$8:$I$318,1,FALSE)</f>
        <v>#N/A</v>
      </c>
    </row>
    <row r="73" spans="1:22" x14ac:dyDescent="0.25">
      <c r="A73" s="21" t="s">
        <v>1665</v>
      </c>
      <c r="B73" s="154" t="s">
        <v>1666</v>
      </c>
      <c r="C73" s="154" t="s">
        <v>1667</v>
      </c>
      <c r="D73" s="155">
        <v>0</v>
      </c>
      <c r="E73" s="158">
        <v>0</v>
      </c>
      <c r="F73" s="155">
        <v>0</v>
      </c>
      <c r="G73" s="158">
        <v>98</v>
      </c>
      <c r="H73" s="155">
        <v>0</v>
      </c>
      <c r="I73" s="158">
        <v>97.797317504882813</v>
      </c>
      <c r="J73" s="155">
        <v>0</v>
      </c>
      <c r="K73" s="158">
        <v>97.797317504882813</v>
      </c>
      <c r="L73" s="155">
        <v>0</v>
      </c>
      <c r="M73" s="158">
        <v>97.797317504882813</v>
      </c>
      <c r="N73" s="155">
        <v>0</v>
      </c>
      <c r="O73" s="158">
        <v>0</v>
      </c>
      <c r="P73" s="155">
        <v>0</v>
      </c>
      <c r="Q73" s="158">
        <v>0</v>
      </c>
      <c r="R73" s="155">
        <v>0</v>
      </c>
      <c r="S73" s="158">
        <v>0</v>
      </c>
      <c r="T73" s="155">
        <v>0</v>
      </c>
      <c r="U73" s="157">
        <v>0</v>
      </c>
      <c r="V73" t="str">
        <f>VLOOKUP(A73,'Projetos ciclo 2018-2022'!$I$8:$I$318,1,FALSE)</f>
        <v>TI06118</v>
      </c>
    </row>
    <row r="74" spans="1:22" x14ac:dyDescent="0.25">
      <c r="A74" s="149" t="s">
        <v>1194</v>
      </c>
      <c r="B74" s="150" t="s">
        <v>1218</v>
      </c>
      <c r="C74" s="150" t="s">
        <v>59</v>
      </c>
      <c r="D74" s="151">
        <v>0</v>
      </c>
      <c r="E74" s="152">
        <v>0</v>
      </c>
      <c r="F74" s="151">
        <v>0</v>
      </c>
      <c r="G74" s="152">
        <v>0</v>
      </c>
      <c r="H74" s="151">
        <v>0</v>
      </c>
      <c r="I74" s="152">
        <v>0</v>
      </c>
      <c r="J74" s="151">
        <v>0</v>
      </c>
      <c r="K74" s="152">
        <v>0</v>
      </c>
      <c r="L74" s="151">
        <v>0</v>
      </c>
      <c r="M74" s="152">
        <v>0</v>
      </c>
      <c r="N74" s="151">
        <v>0</v>
      </c>
      <c r="O74" s="152">
        <v>0</v>
      </c>
      <c r="P74" s="151">
        <v>0</v>
      </c>
      <c r="Q74" s="152">
        <v>0</v>
      </c>
      <c r="R74" s="151">
        <v>0</v>
      </c>
      <c r="S74" s="152">
        <v>0</v>
      </c>
      <c r="T74" s="151">
        <v>0</v>
      </c>
      <c r="U74" s="153">
        <v>0</v>
      </c>
      <c r="V74" t="e">
        <f>VLOOKUP(A74,'Projetos ciclo 2018-2022'!$I$8:$I$318,1,FALSE)</f>
        <v>#N/A</v>
      </c>
    </row>
    <row r="75" spans="1:22" x14ac:dyDescent="0.25">
      <c r="A75" s="21" t="s">
        <v>1196</v>
      </c>
      <c r="B75" s="154" t="s">
        <v>1197</v>
      </c>
      <c r="C75" s="154" t="s">
        <v>59</v>
      </c>
      <c r="D75" s="155">
        <v>0</v>
      </c>
      <c r="E75" s="158">
        <v>0</v>
      </c>
      <c r="F75" s="155">
        <v>0</v>
      </c>
      <c r="G75" s="158">
        <v>0</v>
      </c>
      <c r="H75" s="155">
        <v>0</v>
      </c>
      <c r="I75" s="158">
        <v>0</v>
      </c>
      <c r="J75" s="155">
        <v>0</v>
      </c>
      <c r="K75" s="158">
        <v>0</v>
      </c>
      <c r="L75" s="155">
        <v>0</v>
      </c>
      <c r="M75" s="158">
        <v>0</v>
      </c>
      <c r="N75" s="155">
        <v>0</v>
      </c>
      <c r="O75" s="158">
        <v>0</v>
      </c>
      <c r="P75" s="155">
        <v>0</v>
      </c>
      <c r="Q75" s="158">
        <v>0</v>
      </c>
      <c r="R75" s="155">
        <v>0</v>
      </c>
      <c r="S75" s="158">
        <v>0</v>
      </c>
      <c r="T75" s="155">
        <v>0</v>
      </c>
      <c r="U75" s="157">
        <v>0</v>
      </c>
      <c r="V75" t="e">
        <f>VLOOKUP(A75,'Projetos ciclo 2018-2022'!$I$8:$I$318,1,FALSE)</f>
        <v>#N/A</v>
      </c>
    </row>
    <row r="76" spans="1:22" x14ac:dyDescent="0.25">
      <c r="A76" s="149" t="s">
        <v>1456</v>
      </c>
      <c r="B76" s="150" t="s">
        <v>1457</v>
      </c>
      <c r="C76" s="150" t="s">
        <v>1458</v>
      </c>
      <c r="D76" s="151">
        <v>3046</v>
      </c>
      <c r="E76" s="152">
        <v>0</v>
      </c>
      <c r="F76" s="151">
        <v>988</v>
      </c>
      <c r="G76" s="152">
        <v>0</v>
      </c>
      <c r="H76" s="151">
        <v>0</v>
      </c>
      <c r="I76" s="152">
        <v>0</v>
      </c>
      <c r="J76" s="151">
        <v>0</v>
      </c>
      <c r="K76" s="152">
        <v>0</v>
      </c>
      <c r="L76" s="151">
        <v>0</v>
      </c>
      <c r="M76" s="152">
        <v>0</v>
      </c>
      <c r="N76" s="151">
        <v>0</v>
      </c>
      <c r="O76" s="152">
        <v>1050</v>
      </c>
      <c r="P76" s="151">
        <v>1008</v>
      </c>
      <c r="Q76" s="152">
        <v>0</v>
      </c>
      <c r="R76" s="151">
        <v>0</v>
      </c>
      <c r="S76" s="152">
        <v>0</v>
      </c>
      <c r="T76" s="151">
        <v>0</v>
      </c>
      <c r="U76" s="153">
        <v>0</v>
      </c>
      <c r="V76" t="e">
        <f>VLOOKUP(A76,'Projetos ciclo 2018-2022'!$I$8:$I$318,1,FALSE)</f>
        <v>#N/A</v>
      </c>
    </row>
    <row r="77" spans="1:22" x14ac:dyDescent="0.25">
      <c r="A77" s="21" t="s">
        <v>1514</v>
      </c>
      <c r="B77" s="154" t="s">
        <v>1515</v>
      </c>
      <c r="C77" s="154" t="s">
        <v>1516</v>
      </c>
      <c r="D77" s="155">
        <v>0</v>
      </c>
      <c r="E77" s="158">
        <v>0</v>
      </c>
      <c r="F77" s="155">
        <v>0</v>
      </c>
      <c r="G77" s="158">
        <v>988</v>
      </c>
      <c r="H77" s="155">
        <v>0</v>
      </c>
      <c r="I77" s="158">
        <v>0</v>
      </c>
      <c r="J77" s="155">
        <v>0</v>
      </c>
      <c r="K77" s="158">
        <v>0</v>
      </c>
      <c r="L77" s="155">
        <v>988</v>
      </c>
      <c r="M77" s="158">
        <v>988</v>
      </c>
      <c r="N77" s="155">
        <v>0</v>
      </c>
      <c r="O77" s="158">
        <v>0</v>
      </c>
      <c r="P77" s="155">
        <v>0</v>
      </c>
      <c r="Q77" s="158">
        <v>0</v>
      </c>
      <c r="R77" s="155">
        <v>0</v>
      </c>
      <c r="S77" s="158">
        <v>0</v>
      </c>
      <c r="T77" s="155">
        <v>0</v>
      </c>
      <c r="U77" s="157">
        <v>0</v>
      </c>
      <c r="V77" t="str">
        <f>VLOOKUP(A77,'Projetos ciclo 2018-2022'!$I$8:$I$318,1,FALSE)</f>
        <v>MT00218</v>
      </c>
    </row>
    <row r="78" spans="1:22" x14ac:dyDescent="0.25">
      <c r="A78" s="149" t="s">
        <v>565</v>
      </c>
      <c r="B78" s="150" t="s">
        <v>1198</v>
      </c>
      <c r="C78" s="150" t="s">
        <v>59</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c r="V78" t="str">
        <f>VLOOKUP(A78,'Projetos ciclo 2018-2022'!$I$8:$I$318,1,FALSE)</f>
        <v>NA</v>
      </c>
    </row>
    <row r="79" spans="1:22" x14ac:dyDescent="0.25">
      <c r="A79" s="21" t="s">
        <v>1199</v>
      </c>
      <c r="B79" s="154" t="s">
        <v>1200</v>
      </c>
      <c r="C79" s="154" t="s">
        <v>59</v>
      </c>
      <c r="D79" s="155">
        <v>630.09999999999991</v>
      </c>
      <c r="E79" s="158">
        <v>0</v>
      </c>
      <c r="F79" s="155">
        <v>0</v>
      </c>
      <c r="G79" s="158">
        <v>0</v>
      </c>
      <c r="H79" s="155">
        <v>0</v>
      </c>
      <c r="I79" s="158">
        <v>0</v>
      </c>
      <c r="J79" s="155">
        <v>0</v>
      </c>
      <c r="K79" s="158">
        <v>0</v>
      </c>
      <c r="L79" s="155">
        <v>0</v>
      </c>
      <c r="M79" s="158">
        <v>0</v>
      </c>
      <c r="N79" s="155">
        <v>0</v>
      </c>
      <c r="O79" s="158">
        <v>0</v>
      </c>
      <c r="P79" s="155">
        <v>0</v>
      </c>
      <c r="Q79" s="158">
        <v>0</v>
      </c>
      <c r="R79" s="155">
        <v>0</v>
      </c>
      <c r="S79" s="158">
        <v>0</v>
      </c>
      <c r="T79" s="155">
        <v>0</v>
      </c>
      <c r="U79" s="157">
        <v>0</v>
      </c>
      <c r="V79" t="e">
        <f>VLOOKUP(A79,'Projetos ciclo 2018-2022'!$I$8:$I$318,1,FALSE)</f>
        <v>#N/A</v>
      </c>
    </row>
    <row r="80" spans="1:22" x14ac:dyDescent="0.25">
      <c r="A80" s="149" t="s">
        <v>1194</v>
      </c>
      <c r="B80" s="150" t="s">
        <v>1252</v>
      </c>
      <c r="C80" s="150" t="s">
        <v>59</v>
      </c>
      <c r="D80" s="151">
        <v>0</v>
      </c>
      <c r="E80" s="152">
        <v>0</v>
      </c>
      <c r="F80" s="151">
        <v>0</v>
      </c>
      <c r="G80" s="152">
        <v>0</v>
      </c>
      <c r="H80" s="151">
        <v>0</v>
      </c>
      <c r="I80" s="152">
        <v>0</v>
      </c>
      <c r="J80" s="151">
        <v>0</v>
      </c>
      <c r="K80" s="152">
        <v>0</v>
      </c>
      <c r="L80" s="151">
        <v>0</v>
      </c>
      <c r="M80" s="152">
        <v>0</v>
      </c>
      <c r="N80" s="151">
        <v>0</v>
      </c>
      <c r="O80" s="152">
        <v>0</v>
      </c>
      <c r="P80" s="151">
        <v>0</v>
      </c>
      <c r="Q80" s="152">
        <v>0</v>
      </c>
      <c r="R80" s="151">
        <v>0</v>
      </c>
      <c r="S80" s="152">
        <v>0</v>
      </c>
      <c r="T80" s="151">
        <v>0</v>
      </c>
      <c r="U80" s="153">
        <v>0</v>
      </c>
      <c r="V80" t="e">
        <f>VLOOKUP(A80,'Projetos ciclo 2018-2022'!$I$8:$I$318,1,FALSE)</f>
        <v>#N/A</v>
      </c>
    </row>
    <row r="81" spans="1:22" x14ac:dyDescent="0.25">
      <c r="A81" s="21" t="s">
        <v>1196</v>
      </c>
      <c r="B81" s="154" t="s">
        <v>1197</v>
      </c>
      <c r="C81" s="154" t="s">
        <v>59</v>
      </c>
      <c r="D81" s="155">
        <v>0</v>
      </c>
      <c r="E81" s="158">
        <v>0</v>
      </c>
      <c r="F81" s="155">
        <v>0</v>
      </c>
      <c r="G81" s="158">
        <v>0</v>
      </c>
      <c r="H81" s="155">
        <v>0</v>
      </c>
      <c r="I81" s="158">
        <v>0</v>
      </c>
      <c r="J81" s="155">
        <v>0</v>
      </c>
      <c r="K81" s="158">
        <v>0</v>
      </c>
      <c r="L81" s="155">
        <v>0</v>
      </c>
      <c r="M81" s="158">
        <v>0</v>
      </c>
      <c r="N81" s="155">
        <v>0</v>
      </c>
      <c r="O81" s="158">
        <v>0</v>
      </c>
      <c r="P81" s="155">
        <v>0</v>
      </c>
      <c r="Q81" s="158">
        <v>0</v>
      </c>
      <c r="R81" s="155">
        <v>0</v>
      </c>
      <c r="S81" s="158">
        <v>0</v>
      </c>
      <c r="T81" s="155">
        <v>0</v>
      </c>
      <c r="U81" s="157">
        <v>0</v>
      </c>
      <c r="V81" t="e">
        <f>VLOOKUP(A81,'Projetos ciclo 2018-2022'!$I$8:$I$318,1,FALSE)</f>
        <v>#N/A</v>
      </c>
    </row>
    <row r="82" spans="1:22" x14ac:dyDescent="0.25">
      <c r="A82" s="149" t="s">
        <v>1459</v>
      </c>
      <c r="B82" s="150" t="s">
        <v>1460</v>
      </c>
      <c r="C82" s="150" t="s">
        <v>1461</v>
      </c>
      <c r="D82" s="151">
        <v>2141</v>
      </c>
      <c r="E82" s="152">
        <v>0</v>
      </c>
      <c r="F82" s="151">
        <v>1815</v>
      </c>
      <c r="G82" s="152">
        <v>0</v>
      </c>
      <c r="H82" s="151">
        <v>115</v>
      </c>
      <c r="I82" s="152">
        <v>0</v>
      </c>
      <c r="J82" s="151">
        <v>0</v>
      </c>
      <c r="K82" s="152">
        <v>0</v>
      </c>
      <c r="L82" s="151">
        <v>0</v>
      </c>
      <c r="M82" s="152">
        <v>0</v>
      </c>
      <c r="N82" s="151">
        <v>326</v>
      </c>
      <c r="O82" s="152">
        <v>0</v>
      </c>
      <c r="P82" s="151">
        <v>0</v>
      </c>
      <c r="Q82" s="152">
        <v>0</v>
      </c>
      <c r="R82" s="151">
        <v>0</v>
      </c>
      <c r="S82" s="152">
        <v>0</v>
      </c>
      <c r="T82" s="151">
        <v>0</v>
      </c>
      <c r="U82" s="153">
        <v>0</v>
      </c>
      <c r="V82" t="e">
        <f>VLOOKUP(A82,'Projetos ciclo 2018-2022'!$I$8:$I$318,1,FALSE)</f>
        <v>#N/A</v>
      </c>
    </row>
    <row r="83" spans="1:22" x14ac:dyDescent="0.25">
      <c r="A83" s="21" t="s">
        <v>1253</v>
      </c>
      <c r="B83" s="154" t="s">
        <v>1254</v>
      </c>
      <c r="C83" s="154" t="s">
        <v>1255</v>
      </c>
      <c r="D83" s="155">
        <v>0</v>
      </c>
      <c r="E83" s="158">
        <v>0</v>
      </c>
      <c r="F83" s="155">
        <v>0</v>
      </c>
      <c r="G83" s="158">
        <v>5</v>
      </c>
      <c r="H83" s="155">
        <v>0</v>
      </c>
      <c r="I83" s="158">
        <v>4.3380299806594849</v>
      </c>
      <c r="J83" s="155">
        <v>0</v>
      </c>
      <c r="K83" s="158">
        <v>4.3380299806594849</v>
      </c>
      <c r="L83" s="155">
        <v>5.7958297729492188</v>
      </c>
      <c r="M83" s="158">
        <v>10.133859753608704</v>
      </c>
      <c r="N83" s="155">
        <v>0</v>
      </c>
      <c r="O83" s="158">
        <v>0</v>
      </c>
      <c r="P83" s="155">
        <v>0</v>
      </c>
      <c r="Q83" s="158">
        <v>0</v>
      </c>
      <c r="R83" s="155">
        <v>0</v>
      </c>
      <c r="S83" s="158">
        <v>0</v>
      </c>
      <c r="T83" s="155">
        <v>0</v>
      </c>
      <c r="U83" s="157">
        <v>0</v>
      </c>
      <c r="V83" t="str">
        <f>VLOOKUP(A83,'Projetos ciclo 2018-2022'!$I$8:$I$318,1,FALSE)</f>
        <v>MT00516</v>
      </c>
    </row>
    <row r="84" spans="1:22" x14ac:dyDescent="0.25">
      <c r="A84" s="149" t="s">
        <v>1256</v>
      </c>
      <c r="B84" s="150" t="s">
        <v>1257</v>
      </c>
      <c r="C84" s="150" t="s">
        <v>1258</v>
      </c>
      <c r="D84" s="151">
        <v>0</v>
      </c>
      <c r="E84" s="152">
        <v>0</v>
      </c>
      <c r="F84" s="151">
        <v>0</v>
      </c>
      <c r="G84" s="152">
        <v>1088</v>
      </c>
      <c r="H84" s="151">
        <v>0</v>
      </c>
      <c r="I84" s="152">
        <v>18.819390416145325</v>
      </c>
      <c r="J84" s="151">
        <v>0</v>
      </c>
      <c r="K84" s="152">
        <v>18.819390416145325</v>
      </c>
      <c r="L84" s="151">
        <v>987.09095692634583</v>
      </c>
      <c r="M84" s="152">
        <v>1005.9103473424911</v>
      </c>
      <c r="N84" s="151">
        <v>0</v>
      </c>
      <c r="O84" s="152">
        <v>0</v>
      </c>
      <c r="P84" s="151">
        <v>0</v>
      </c>
      <c r="Q84" s="152">
        <v>0</v>
      </c>
      <c r="R84" s="151">
        <v>0</v>
      </c>
      <c r="S84" s="152">
        <v>0</v>
      </c>
      <c r="T84" s="151">
        <v>0</v>
      </c>
      <c r="U84" s="153">
        <v>0</v>
      </c>
      <c r="V84" t="str">
        <f>VLOOKUP(A84,'Projetos ciclo 2018-2022'!$I$8:$I$318,1,FALSE)</f>
        <v>MT01017</v>
      </c>
    </row>
    <row r="85" spans="1:22" x14ac:dyDescent="0.25">
      <c r="A85" s="21" t="s">
        <v>1972</v>
      </c>
      <c r="B85" s="154" t="s">
        <v>1973</v>
      </c>
      <c r="C85" s="154" t="s">
        <v>1974</v>
      </c>
      <c r="D85" s="155">
        <v>0</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c r="V85" t="str">
        <f>VLOOKUP(A85,'Projetos ciclo 2018-2022'!$I$8:$I$318,1,FALSE)</f>
        <v>MT50118</v>
      </c>
    </row>
    <row r="86" spans="1:22" x14ac:dyDescent="0.25">
      <c r="A86" s="149" t="s">
        <v>565</v>
      </c>
      <c r="B86" s="150" t="s">
        <v>1259</v>
      </c>
      <c r="C86" s="150" t="s">
        <v>59</v>
      </c>
      <c r="D86" s="151">
        <v>4497</v>
      </c>
      <c r="E86" s="152">
        <v>0</v>
      </c>
      <c r="F86" s="151">
        <v>0</v>
      </c>
      <c r="G86" s="152">
        <v>0</v>
      </c>
      <c r="H86" s="151">
        <v>0</v>
      </c>
      <c r="I86" s="152">
        <v>0</v>
      </c>
      <c r="J86" s="151">
        <v>0</v>
      </c>
      <c r="K86" s="152">
        <v>0</v>
      </c>
      <c r="L86" s="151">
        <v>0</v>
      </c>
      <c r="M86" s="152">
        <v>0</v>
      </c>
      <c r="N86" s="151">
        <v>1170</v>
      </c>
      <c r="O86" s="152">
        <v>777</v>
      </c>
      <c r="P86" s="151">
        <v>2550</v>
      </c>
      <c r="Q86" s="152">
        <v>0</v>
      </c>
      <c r="R86" s="151">
        <v>0</v>
      </c>
      <c r="S86" s="152">
        <v>0</v>
      </c>
      <c r="T86" s="151">
        <v>0</v>
      </c>
      <c r="U86" s="153">
        <v>0</v>
      </c>
      <c r="V86" t="str">
        <f>VLOOKUP(A86,'Projetos ciclo 2018-2022'!$I$8:$I$318,1,FALSE)</f>
        <v>NA</v>
      </c>
    </row>
    <row r="87" spans="1:22" x14ac:dyDescent="0.25">
      <c r="A87" s="21" t="s">
        <v>1260</v>
      </c>
      <c r="B87" s="154" t="s">
        <v>1261</v>
      </c>
      <c r="C87" s="154" t="s">
        <v>1262</v>
      </c>
      <c r="D87" s="155">
        <v>0</v>
      </c>
      <c r="E87" s="158">
        <v>0</v>
      </c>
      <c r="F87" s="155">
        <v>0</v>
      </c>
      <c r="G87" s="158">
        <v>715</v>
      </c>
      <c r="H87" s="155">
        <v>0</v>
      </c>
      <c r="I87" s="158">
        <v>87.740310668945313</v>
      </c>
      <c r="J87" s="155">
        <v>0</v>
      </c>
      <c r="K87" s="158">
        <v>87.740310668945313</v>
      </c>
      <c r="L87" s="155">
        <v>566.56800007820129</v>
      </c>
      <c r="M87" s="158">
        <v>654.30831074714661</v>
      </c>
      <c r="N87" s="155">
        <v>0</v>
      </c>
      <c r="O87" s="158">
        <v>0</v>
      </c>
      <c r="P87" s="155">
        <v>0</v>
      </c>
      <c r="Q87" s="158">
        <v>0</v>
      </c>
      <c r="R87" s="155">
        <v>0</v>
      </c>
      <c r="S87" s="158">
        <v>0</v>
      </c>
      <c r="T87" s="155">
        <v>0</v>
      </c>
      <c r="U87" s="157">
        <v>0</v>
      </c>
      <c r="V87" t="str">
        <f>VLOOKUP(A87,'Projetos ciclo 2018-2022'!$I$8:$I$318,1,FALSE)</f>
        <v>PO00417</v>
      </c>
    </row>
    <row r="88" spans="1:22" x14ac:dyDescent="0.25">
      <c r="A88" s="149" t="s">
        <v>1199</v>
      </c>
      <c r="B88" s="150" t="s">
        <v>1200</v>
      </c>
      <c r="C88" s="150" t="s">
        <v>59</v>
      </c>
      <c r="D88" s="151">
        <v>9.9920072216264089E-16</v>
      </c>
      <c r="E88" s="152">
        <v>0</v>
      </c>
      <c r="F88" s="151">
        <v>0</v>
      </c>
      <c r="G88" s="152">
        <v>0</v>
      </c>
      <c r="H88" s="151">
        <v>0</v>
      </c>
      <c r="I88" s="152">
        <v>0</v>
      </c>
      <c r="J88" s="151">
        <v>0</v>
      </c>
      <c r="K88" s="152">
        <v>0</v>
      </c>
      <c r="L88" s="151">
        <v>0</v>
      </c>
      <c r="M88" s="152">
        <v>0</v>
      </c>
      <c r="N88" s="151">
        <v>0</v>
      </c>
      <c r="O88" s="152">
        <v>0</v>
      </c>
      <c r="P88" s="151">
        <v>0</v>
      </c>
      <c r="Q88" s="152">
        <v>0</v>
      </c>
      <c r="R88" s="151">
        <v>0</v>
      </c>
      <c r="S88" s="152">
        <v>0</v>
      </c>
      <c r="T88" s="151">
        <v>0</v>
      </c>
      <c r="U88" s="153">
        <v>0</v>
      </c>
      <c r="V88" t="e">
        <f>VLOOKUP(A88,'Projetos ciclo 2018-2022'!$I$8:$I$318,1,FALSE)</f>
        <v>#N/A</v>
      </c>
    </row>
    <row r="89" spans="1:22" x14ac:dyDescent="0.25">
      <c r="A89" s="21" t="s">
        <v>1905</v>
      </c>
      <c r="B89" s="154" t="s">
        <v>1906</v>
      </c>
      <c r="C89" s="154" t="s">
        <v>1904</v>
      </c>
      <c r="D89" s="155">
        <v>0</v>
      </c>
      <c r="E89" s="158">
        <v>0</v>
      </c>
      <c r="F89" s="155">
        <v>0</v>
      </c>
      <c r="G89" s="158">
        <v>173</v>
      </c>
      <c r="H89" s="155">
        <v>0</v>
      </c>
      <c r="I89" s="158">
        <v>0</v>
      </c>
      <c r="J89" s="155">
        <v>0</v>
      </c>
      <c r="K89" s="158">
        <v>0</v>
      </c>
      <c r="L89" s="155">
        <v>156.5</v>
      </c>
      <c r="M89" s="158">
        <v>156.5</v>
      </c>
      <c r="N89" s="155">
        <v>0</v>
      </c>
      <c r="O89" s="158">
        <v>0</v>
      </c>
      <c r="P89" s="155">
        <v>0</v>
      </c>
      <c r="Q89" s="158">
        <v>0</v>
      </c>
      <c r="R89" s="155">
        <v>0</v>
      </c>
      <c r="S89" s="158">
        <v>0</v>
      </c>
      <c r="T89" s="155">
        <v>0</v>
      </c>
      <c r="U89" s="157">
        <v>0</v>
      </c>
      <c r="V89" t="str">
        <f>VLOOKUP(A89,'Projetos ciclo 2018-2022'!$I$8:$I$318,1,FALSE)</f>
        <v>AD00118</v>
      </c>
    </row>
    <row r="90" spans="1:22" x14ac:dyDescent="0.25">
      <c r="A90" s="149" t="s">
        <v>1194</v>
      </c>
      <c r="B90" s="150" t="s">
        <v>1287</v>
      </c>
      <c r="C90" s="150" t="s">
        <v>59</v>
      </c>
      <c r="D90" s="151">
        <v>0</v>
      </c>
      <c r="E90" s="152">
        <v>0</v>
      </c>
      <c r="F90" s="151">
        <v>0</v>
      </c>
      <c r="G90" s="152">
        <v>0</v>
      </c>
      <c r="H90" s="151">
        <v>0</v>
      </c>
      <c r="I90" s="152">
        <v>0</v>
      </c>
      <c r="J90" s="151">
        <v>0</v>
      </c>
      <c r="K90" s="152">
        <v>0</v>
      </c>
      <c r="L90" s="151">
        <v>0</v>
      </c>
      <c r="M90" s="152">
        <v>0</v>
      </c>
      <c r="N90" s="151">
        <v>0</v>
      </c>
      <c r="O90" s="152">
        <v>0</v>
      </c>
      <c r="P90" s="151">
        <v>0</v>
      </c>
      <c r="Q90" s="152">
        <v>0</v>
      </c>
      <c r="R90" s="151">
        <v>0</v>
      </c>
      <c r="S90" s="152">
        <v>0</v>
      </c>
      <c r="T90" s="151">
        <v>0</v>
      </c>
      <c r="U90" s="153">
        <v>0</v>
      </c>
      <c r="V90" t="e">
        <f>VLOOKUP(A90,'Projetos ciclo 2018-2022'!$I$8:$I$318,1,FALSE)</f>
        <v>#N/A</v>
      </c>
    </row>
    <row r="91" spans="1:22" x14ac:dyDescent="0.25">
      <c r="A91" s="21" t="s">
        <v>1291</v>
      </c>
      <c r="B91" s="154" t="s">
        <v>1292</v>
      </c>
      <c r="C91" s="154" t="s">
        <v>1293</v>
      </c>
      <c r="D91" s="155">
        <v>0</v>
      </c>
      <c r="E91" s="158">
        <v>0</v>
      </c>
      <c r="F91" s="155">
        <v>0</v>
      </c>
      <c r="G91" s="158">
        <v>13</v>
      </c>
      <c r="H91" s="155">
        <v>0</v>
      </c>
      <c r="I91" s="158">
        <v>11.104649901390076</v>
      </c>
      <c r="J91" s="155">
        <v>0</v>
      </c>
      <c r="K91" s="158">
        <v>11.104649901390076</v>
      </c>
      <c r="L91" s="155">
        <v>0</v>
      </c>
      <c r="M91" s="158">
        <v>11.104649901390076</v>
      </c>
      <c r="N91" s="155">
        <v>0</v>
      </c>
      <c r="O91" s="158">
        <v>0</v>
      </c>
      <c r="P91" s="155">
        <v>0</v>
      </c>
      <c r="Q91" s="158">
        <v>0</v>
      </c>
      <c r="R91" s="155">
        <v>0</v>
      </c>
      <c r="S91" s="158">
        <v>0</v>
      </c>
      <c r="T91" s="155">
        <v>0</v>
      </c>
      <c r="U91" s="157">
        <v>0</v>
      </c>
      <c r="V91" t="str">
        <f>VLOOKUP(A91,'Projetos ciclo 2018-2022'!$I$8:$I$318,1,FALSE)</f>
        <v>CD00315</v>
      </c>
    </row>
    <row r="92" spans="1:22" x14ac:dyDescent="0.25">
      <c r="A92" s="149" t="s">
        <v>1196</v>
      </c>
      <c r="B92" s="150" t="s">
        <v>1197</v>
      </c>
      <c r="C92" s="150" t="s">
        <v>59</v>
      </c>
      <c r="D92" s="151">
        <v>0</v>
      </c>
      <c r="E92" s="152">
        <v>0</v>
      </c>
      <c r="F92" s="151">
        <v>0</v>
      </c>
      <c r="G92" s="152">
        <v>0</v>
      </c>
      <c r="H92" s="151">
        <v>0</v>
      </c>
      <c r="I92" s="152">
        <v>0</v>
      </c>
      <c r="J92" s="151">
        <v>0</v>
      </c>
      <c r="K92" s="152">
        <v>0</v>
      </c>
      <c r="L92" s="151">
        <v>0</v>
      </c>
      <c r="M92" s="152">
        <v>0</v>
      </c>
      <c r="N92" s="151">
        <v>0</v>
      </c>
      <c r="O92" s="152">
        <v>0</v>
      </c>
      <c r="P92" s="151">
        <v>0</v>
      </c>
      <c r="Q92" s="152">
        <v>0</v>
      </c>
      <c r="R92" s="151">
        <v>0</v>
      </c>
      <c r="S92" s="152">
        <v>0</v>
      </c>
      <c r="T92" s="151">
        <v>0</v>
      </c>
      <c r="U92" s="153">
        <v>0</v>
      </c>
      <c r="V92" t="e">
        <f>VLOOKUP(A92,'Projetos ciclo 2018-2022'!$I$8:$I$318,1,FALSE)</f>
        <v>#N/A</v>
      </c>
    </row>
    <row r="93" spans="1:22" x14ac:dyDescent="0.25">
      <c r="A93" s="21" t="s">
        <v>1898</v>
      </c>
      <c r="B93" s="154" t="s">
        <v>1907</v>
      </c>
      <c r="C93" s="154" t="s">
        <v>1897</v>
      </c>
      <c r="D93" s="155">
        <v>0</v>
      </c>
      <c r="E93" s="158">
        <v>0</v>
      </c>
      <c r="F93" s="155">
        <v>0</v>
      </c>
      <c r="G93" s="158">
        <v>94</v>
      </c>
      <c r="H93" s="155">
        <v>0</v>
      </c>
      <c r="I93" s="158">
        <v>0</v>
      </c>
      <c r="J93" s="155">
        <v>0</v>
      </c>
      <c r="K93" s="158">
        <v>0</v>
      </c>
      <c r="L93" s="155">
        <v>70</v>
      </c>
      <c r="M93" s="158">
        <v>70</v>
      </c>
      <c r="N93" s="155">
        <v>0</v>
      </c>
      <c r="O93" s="158">
        <v>0</v>
      </c>
      <c r="P93" s="155">
        <v>0</v>
      </c>
      <c r="Q93" s="158">
        <v>0</v>
      </c>
      <c r="R93" s="155">
        <v>0</v>
      </c>
      <c r="S93" s="158">
        <v>0</v>
      </c>
      <c r="T93" s="155">
        <v>0</v>
      </c>
      <c r="U93" s="157">
        <v>0</v>
      </c>
      <c r="V93" t="str">
        <f>VLOOKUP(A93,'Projetos ciclo 2018-2022'!$I$8:$I$318,1,FALSE)</f>
        <v>EA00118</v>
      </c>
    </row>
    <row r="94" spans="1:22" x14ac:dyDescent="0.25">
      <c r="A94" s="149" t="s">
        <v>1758</v>
      </c>
      <c r="B94" s="150" t="s">
        <v>1908</v>
      </c>
      <c r="C94" s="150" t="s">
        <v>1760</v>
      </c>
      <c r="D94" s="151">
        <v>0</v>
      </c>
      <c r="E94" s="152">
        <v>0</v>
      </c>
      <c r="F94" s="151">
        <v>0</v>
      </c>
      <c r="G94" s="152">
        <v>250</v>
      </c>
      <c r="H94" s="151">
        <v>0</v>
      </c>
      <c r="I94" s="152">
        <v>0</v>
      </c>
      <c r="J94" s="151">
        <v>0</v>
      </c>
      <c r="K94" s="152">
        <v>0</v>
      </c>
      <c r="L94" s="151">
        <v>181.79999732971191</v>
      </c>
      <c r="M94" s="152">
        <v>181.79999732971191</v>
      </c>
      <c r="N94" s="151">
        <v>0</v>
      </c>
      <c r="O94" s="152">
        <v>0</v>
      </c>
      <c r="P94" s="151">
        <v>0</v>
      </c>
      <c r="Q94" s="152">
        <v>0</v>
      </c>
      <c r="R94" s="151">
        <v>0</v>
      </c>
      <c r="S94" s="152">
        <v>0</v>
      </c>
      <c r="T94" s="151">
        <v>0</v>
      </c>
      <c r="U94" s="153">
        <v>0</v>
      </c>
      <c r="V94" t="str">
        <f>VLOOKUP(A94,'Projetos ciclo 2018-2022'!$I$8:$I$318,1,FALSE)</f>
        <v>EM00118</v>
      </c>
    </row>
    <row r="95" spans="1:22" x14ac:dyDescent="0.25">
      <c r="A95" s="21" t="s">
        <v>1294</v>
      </c>
      <c r="B95" s="154" t="s">
        <v>1295</v>
      </c>
      <c r="C95" s="154" t="s">
        <v>1296</v>
      </c>
      <c r="D95" s="155">
        <v>2350</v>
      </c>
      <c r="E95" s="158">
        <v>0</v>
      </c>
      <c r="F95" s="155">
        <v>2350</v>
      </c>
      <c r="G95" s="158">
        <v>0</v>
      </c>
      <c r="H95" s="155">
        <v>18</v>
      </c>
      <c r="I95" s="158">
        <v>0</v>
      </c>
      <c r="J95" s="155">
        <v>0</v>
      </c>
      <c r="K95" s="158">
        <v>0</v>
      </c>
      <c r="L95" s="155">
        <v>0</v>
      </c>
      <c r="M95" s="158">
        <v>0</v>
      </c>
      <c r="N95" s="155">
        <v>0</v>
      </c>
      <c r="O95" s="158">
        <v>0</v>
      </c>
      <c r="P95" s="155">
        <v>0</v>
      </c>
      <c r="Q95" s="158">
        <v>0</v>
      </c>
      <c r="R95" s="155">
        <v>0</v>
      </c>
      <c r="S95" s="158">
        <v>0</v>
      </c>
      <c r="T95" s="155">
        <v>0</v>
      </c>
      <c r="U95" s="157">
        <v>0</v>
      </c>
      <c r="V95" t="e">
        <f>VLOOKUP(A95,'Projetos ciclo 2018-2022'!$I$8:$I$318,1,FALSE)</f>
        <v>#N/A</v>
      </c>
    </row>
    <row r="96" spans="1:22" x14ac:dyDescent="0.25">
      <c r="A96" s="149" t="s">
        <v>1641</v>
      </c>
      <c r="B96" s="150" t="s">
        <v>1642</v>
      </c>
      <c r="C96" s="150" t="s">
        <v>1643</v>
      </c>
      <c r="D96" s="151">
        <v>0</v>
      </c>
      <c r="E96" s="152">
        <v>0</v>
      </c>
      <c r="F96" s="151">
        <v>0</v>
      </c>
      <c r="G96" s="152">
        <v>350</v>
      </c>
      <c r="H96" s="151">
        <v>0</v>
      </c>
      <c r="I96" s="152">
        <v>0</v>
      </c>
      <c r="J96" s="151">
        <v>0</v>
      </c>
      <c r="K96" s="152">
        <v>0</v>
      </c>
      <c r="L96" s="151">
        <v>0</v>
      </c>
      <c r="M96" s="152">
        <v>0</v>
      </c>
      <c r="N96" s="151">
        <v>0</v>
      </c>
      <c r="O96" s="152">
        <v>0</v>
      </c>
      <c r="P96" s="151">
        <v>0</v>
      </c>
      <c r="Q96" s="152">
        <v>0</v>
      </c>
      <c r="R96" s="151">
        <v>0</v>
      </c>
      <c r="S96" s="152">
        <v>0</v>
      </c>
      <c r="T96" s="151">
        <v>0</v>
      </c>
      <c r="U96" s="153">
        <v>0</v>
      </c>
      <c r="V96" t="str">
        <f>VLOOKUP(A96,'Projetos ciclo 2018-2022'!$I$8:$I$318,1,FALSE)</f>
        <v>GR00118</v>
      </c>
    </row>
    <row r="97" spans="1:22" x14ac:dyDescent="0.25">
      <c r="A97" s="21" t="s">
        <v>1425</v>
      </c>
      <c r="B97" s="154" t="s">
        <v>1075</v>
      </c>
      <c r="C97" s="154" t="s">
        <v>1573</v>
      </c>
      <c r="D97" s="155">
        <v>0</v>
      </c>
      <c r="E97" s="158">
        <v>0</v>
      </c>
      <c r="F97" s="155">
        <v>0</v>
      </c>
      <c r="G97" s="158">
        <v>940</v>
      </c>
      <c r="H97" s="155">
        <v>0</v>
      </c>
      <c r="I97" s="158">
        <v>7.9200000762939453</v>
      </c>
      <c r="J97" s="155">
        <v>0</v>
      </c>
      <c r="K97" s="158">
        <v>7.9200000762939453</v>
      </c>
      <c r="L97" s="155">
        <v>433.77050304412842</v>
      </c>
      <c r="M97" s="158">
        <v>441.69050312042236</v>
      </c>
      <c r="N97" s="155">
        <v>0</v>
      </c>
      <c r="O97" s="158">
        <v>0</v>
      </c>
      <c r="P97" s="155">
        <v>0</v>
      </c>
      <c r="Q97" s="158">
        <v>0</v>
      </c>
      <c r="R97" s="155">
        <v>0</v>
      </c>
      <c r="S97" s="158">
        <v>0</v>
      </c>
      <c r="T97" s="155">
        <v>0</v>
      </c>
      <c r="U97" s="157">
        <v>0</v>
      </c>
      <c r="V97" t="str">
        <f>VLOOKUP(A97,'Projetos ciclo 2018-2022'!$I$8:$I$318,1,FALSE)</f>
        <v>MD00118</v>
      </c>
    </row>
    <row r="98" spans="1:22" x14ac:dyDescent="0.25">
      <c r="A98" s="149" t="s">
        <v>565</v>
      </c>
      <c r="B98" s="150" t="s">
        <v>1198</v>
      </c>
      <c r="C98" s="150" t="s">
        <v>59</v>
      </c>
      <c r="D98" s="151">
        <v>11667</v>
      </c>
      <c r="E98" s="152">
        <v>0</v>
      </c>
      <c r="F98" s="151">
        <v>0</v>
      </c>
      <c r="G98" s="152">
        <v>0</v>
      </c>
      <c r="H98" s="151">
        <v>0</v>
      </c>
      <c r="I98" s="152">
        <v>0</v>
      </c>
      <c r="J98" s="151">
        <v>0</v>
      </c>
      <c r="K98" s="152">
        <v>0</v>
      </c>
      <c r="L98" s="151">
        <v>0</v>
      </c>
      <c r="M98" s="152">
        <v>0</v>
      </c>
      <c r="N98" s="151">
        <v>2235</v>
      </c>
      <c r="O98" s="152">
        <v>3005</v>
      </c>
      <c r="P98" s="151">
        <v>3898</v>
      </c>
      <c r="Q98" s="152">
        <v>2529</v>
      </c>
      <c r="R98" s="151">
        <v>0</v>
      </c>
      <c r="S98" s="152">
        <v>0</v>
      </c>
      <c r="T98" s="151">
        <v>0</v>
      </c>
      <c r="U98" s="153">
        <v>0</v>
      </c>
      <c r="V98" t="str">
        <f>VLOOKUP(A98,'Projetos ciclo 2018-2022'!$I$8:$I$318,1,FALSE)</f>
        <v>NA</v>
      </c>
    </row>
    <row r="99" spans="1:22" x14ac:dyDescent="0.25">
      <c r="A99" s="21" t="s">
        <v>1570</v>
      </c>
      <c r="B99" s="154" t="s">
        <v>1590</v>
      </c>
      <c r="C99" s="154" t="s">
        <v>1591</v>
      </c>
      <c r="D99" s="155">
        <v>0</v>
      </c>
      <c r="E99" s="158">
        <v>0</v>
      </c>
      <c r="F99" s="155">
        <v>0</v>
      </c>
      <c r="G99" s="158">
        <v>254</v>
      </c>
      <c r="H99" s="155">
        <v>0</v>
      </c>
      <c r="I99" s="158">
        <v>0</v>
      </c>
      <c r="J99" s="155">
        <v>0</v>
      </c>
      <c r="K99" s="158">
        <v>0</v>
      </c>
      <c r="L99" s="155">
        <v>253.73644495010376</v>
      </c>
      <c r="M99" s="158">
        <v>253.73644495010376</v>
      </c>
      <c r="N99" s="155">
        <v>0</v>
      </c>
      <c r="O99" s="158">
        <v>0</v>
      </c>
      <c r="P99" s="155">
        <v>0</v>
      </c>
      <c r="Q99" s="158">
        <v>0</v>
      </c>
      <c r="R99" s="155">
        <v>0</v>
      </c>
      <c r="S99" s="158">
        <v>0</v>
      </c>
      <c r="T99" s="155">
        <v>0</v>
      </c>
      <c r="U99" s="157">
        <v>0</v>
      </c>
      <c r="V99" t="str">
        <f>VLOOKUP(A99,'Projetos ciclo 2018-2022'!$I$8:$I$318,1,FALSE)</f>
        <v>RH00218</v>
      </c>
    </row>
    <row r="100" spans="1:22" x14ac:dyDescent="0.25">
      <c r="A100" s="149" t="s">
        <v>1199</v>
      </c>
      <c r="B100" s="150" t="s">
        <v>1200</v>
      </c>
      <c r="C100" s="150" t="s">
        <v>59</v>
      </c>
      <c r="D100" s="151">
        <v>67</v>
      </c>
      <c r="E100" s="152">
        <v>0</v>
      </c>
      <c r="F100" s="151">
        <v>0</v>
      </c>
      <c r="G100" s="152">
        <v>0</v>
      </c>
      <c r="H100" s="151">
        <v>0</v>
      </c>
      <c r="I100" s="152">
        <v>0</v>
      </c>
      <c r="J100" s="151">
        <v>0</v>
      </c>
      <c r="K100" s="152">
        <v>0</v>
      </c>
      <c r="L100" s="151">
        <v>0</v>
      </c>
      <c r="M100" s="152">
        <v>0</v>
      </c>
      <c r="N100" s="151">
        <v>0</v>
      </c>
      <c r="O100" s="152">
        <v>0</v>
      </c>
      <c r="P100" s="151">
        <v>0</v>
      </c>
      <c r="Q100" s="152">
        <v>0</v>
      </c>
      <c r="R100" s="151">
        <v>0</v>
      </c>
      <c r="S100" s="152">
        <v>0</v>
      </c>
      <c r="T100" s="151">
        <v>0</v>
      </c>
      <c r="U100" s="153">
        <v>0</v>
      </c>
      <c r="V100" t="e">
        <f>VLOOKUP(A100,'Projetos ciclo 2018-2022'!$I$8:$I$318,1,FALSE)</f>
        <v>#N/A</v>
      </c>
    </row>
    <row r="101" spans="1:22" x14ac:dyDescent="0.25">
      <c r="A101" s="21" t="s">
        <v>1194</v>
      </c>
      <c r="B101" s="154" t="s">
        <v>1195</v>
      </c>
      <c r="C101" s="154" t="s">
        <v>59</v>
      </c>
      <c r="D101" s="155">
        <v>0</v>
      </c>
      <c r="E101" s="158">
        <v>0</v>
      </c>
      <c r="F101" s="155">
        <v>0</v>
      </c>
      <c r="G101" s="158">
        <v>0</v>
      </c>
      <c r="H101" s="155">
        <v>0</v>
      </c>
      <c r="I101" s="158">
        <v>0</v>
      </c>
      <c r="J101" s="155">
        <v>0</v>
      </c>
      <c r="K101" s="158">
        <v>0</v>
      </c>
      <c r="L101" s="155">
        <v>0</v>
      </c>
      <c r="M101" s="158">
        <v>0</v>
      </c>
      <c r="N101" s="155">
        <v>0</v>
      </c>
      <c r="O101" s="158">
        <v>0</v>
      </c>
      <c r="P101" s="155">
        <v>0</v>
      </c>
      <c r="Q101" s="158">
        <v>0</v>
      </c>
      <c r="R101" s="155">
        <v>0</v>
      </c>
      <c r="S101" s="158">
        <v>0</v>
      </c>
      <c r="T101" s="155">
        <v>0</v>
      </c>
      <c r="U101" s="157">
        <v>0</v>
      </c>
      <c r="V101" t="e">
        <f>VLOOKUP(A101,'Projetos ciclo 2018-2022'!$I$8:$I$318,1,FALSE)</f>
        <v>#N/A</v>
      </c>
    </row>
    <row r="102" spans="1:22" x14ac:dyDescent="0.25">
      <c r="A102" s="149" t="s">
        <v>1157</v>
      </c>
      <c r="B102" s="150" t="s">
        <v>1300</v>
      </c>
      <c r="C102" s="150" t="s">
        <v>1158</v>
      </c>
      <c r="D102" s="151">
        <v>0</v>
      </c>
      <c r="E102" s="152">
        <v>0</v>
      </c>
      <c r="F102" s="151">
        <v>0</v>
      </c>
      <c r="G102" s="152">
        <v>56</v>
      </c>
      <c r="H102" s="151">
        <v>0</v>
      </c>
      <c r="I102" s="152">
        <v>54.296999216079712</v>
      </c>
      <c r="J102" s="151">
        <v>0</v>
      </c>
      <c r="K102" s="152">
        <v>54.296999216079712</v>
      </c>
      <c r="L102" s="151">
        <v>0</v>
      </c>
      <c r="M102" s="152">
        <v>54.296999216079712</v>
      </c>
      <c r="N102" s="151">
        <v>0</v>
      </c>
      <c r="O102" s="152">
        <v>0</v>
      </c>
      <c r="P102" s="151">
        <v>0</v>
      </c>
      <c r="Q102" s="152">
        <v>0</v>
      </c>
      <c r="R102" s="151">
        <v>0</v>
      </c>
      <c r="S102" s="152">
        <v>0</v>
      </c>
      <c r="T102" s="151">
        <v>0</v>
      </c>
      <c r="U102" s="153">
        <v>0</v>
      </c>
      <c r="V102" t="str">
        <f>VLOOKUP(A102,'Projetos ciclo 2018-2022'!$I$8:$I$318,1,FALSE)</f>
        <v>CD00215</v>
      </c>
    </row>
    <row r="103" spans="1:22" x14ac:dyDescent="0.25">
      <c r="A103" s="21" t="s">
        <v>1662</v>
      </c>
      <c r="B103" s="154" t="s">
        <v>1745</v>
      </c>
      <c r="C103" s="154" t="s">
        <v>1663</v>
      </c>
      <c r="D103" s="155">
        <v>0</v>
      </c>
      <c r="E103" s="158">
        <v>0</v>
      </c>
      <c r="F103" s="155">
        <v>0</v>
      </c>
      <c r="G103" s="158">
        <v>92</v>
      </c>
      <c r="H103" s="155">
        <v>0</v>
      </c>
      <c r="I103" s="158">
        <v>0</v>
      </c>
      <c r="J103" s="155">
        <v>0</v>
      </c>
      <c r="K103" s="158">
        <v>0</v>
      </c>
      <c r="L103" s="155">
        <v>89.942001342773438</v>
      </c>
      <c r="M103" s="158">
        <v>89.942001342773438</v>
      </c>
      <c r="N103" s="155">
        <v>0</v>
      </c>
      <c r="O103" s="158">
        <v>0</v>
      </c>
      <c r="P103" s="155">
        <v>0</v>
      </c>
      <c r="Q103" s="158">
        <v>0</v>
      </c>
      <c r="R103" s="155">
        <v>0</v>
      </c>
      <c r="S103" s="158">
        <v>0</v>
      </c>
      <c r="T103" s="155">
        <v>0</v>
      </c>
      <c r="U103" s="157">
        <v>0</v>
      </c>
      <c r="V103" t="str">
        <f>VLOOKUP(A103,'Projetos ciclo 2018-2022'!$I$8:$I$318,1,FALSE)</f>
        <v>CE00118</v>
      </c>
    </row>
    <row r="104" spans="1:22" x14ac:dyDescent="0.25">
      <c r="A104" s="149" t="s">
        <v>1196</v>
      </c>
      <c r="B104" s="150" t="s">
        <v>1197</v>
      </c>
      <c r="C104" s="150" t="s">
        <v>59</v>
      </c>
      <c r="D104" s="151">
        <v>0</v>
      </c>
      <c r="E104" s="152">
        <v>0</v>
      </c>
      <c r="F104" s="151">
        <v>0</v>
      </c>
      <c r="G104" s="152">
        <v>0</v>
      </c>
      <c r="H104" s="151">
        <v>0</v>
      </c>
      <c r="I104" s="152">
        <v>0</v>
      </c>
      <c r="J104" s="151">
        <v>0</v>
      </c>
      <c r="K104" s="152">
        <v>0</v>
      </c>
      <c r="L104" s="151">
        <v>0</v>
      </c>
      <c r="M104" s="152">
        <v>0</v>
      </c>
      <c r="N104" s="151">
        <v>0</v>
      </c>
      <c r="O104" s="152">
        <v>0</v>
      </c>
      <c r="P104" s="151">
        <v>0</v>
      </c>
      <c r="Q104" s="152">
        <v>0</v>
      </c>
      <c r="R104" s="151">
        <v>0</v>
      </c>
      <c r="S104" s="152">
        <v>0</v>
      </c>
      <c r="T104" s="151">
        <v>0</v>
      </c>
      <c r="U104" s="153">
        <v>0</v>
      </c>
      <c r="V104" t="e">
        <f>VLOOKUP(A104,'Projetos ciclo 2018-2022'!$I$8:$I$318,1,FALSE)</f>
        <v>#N/A</v>
      </c>
    </row>
    <row r="105" spans="1:22" x14ac:dyDescent="0.25">
      <c r="A105" s="21" t="s">
        <v>1759</v>
      </c>
      <c r="B105" s="154" t="s">
        <v>1892</v>
      </c>
      <c r="C105" s="154" t="s">
        <v>1761</v>
      </c>
      <c r="D105" s="155">
        <v>0</v>
      </c>
      <c r="E105" s="158">
        <v>0</v>
      </c>
      <c r="F105" s="155">
        <v>0</v>
      </c>
      <c r="G105" s="158">
        <v>125</v>
      </c>
      <c r="H105" s="155">
        <v>0</v>
      </c>
      <c r="I105" s="158">
        <v>0</v>
      </c>
      <c r="J105" s="155">
        <v>0</v>
      </c>
      <c r="K105" s="158">
        <v>0</v>
      </c>
      <c r="L105" s="155">
        <v>115.20000123977661</v>
      </c>
      <c r="M105" s="158">
        <v>115.20000123977661</v>
      </c>
      <c r="N105" s="155">
        <v>0</v>
      </c>
      <c r="O105" s="158">
        <v>0</v>
      </c>
      <c r="P105" s="155">
        <v>0</v>
      </c>
      <c r="Q105" s="158">
        <v>0</v>
      </c>
      <c r="R105" s="155">
        <v>0</v>
      </c>
      <c r="S105" s="158">
        <v>0</v>
      </c>
      <c r="T105" s="155">
        <v>0</v>
      </c>
      <c r="U105" s="157">
        <v>0</v>
      </c>
      <c r="V105" t="str">
        <f>VLOOKUP(A105,'Projetos ciclo 2018-2022'!$I$8:$I$318,1,FALSE)</f>
        <v>EM00218</v>
      </c>
    </row>
    <row r="106" spans="1:22" x14ac:dyDescent="0.25">
      <c r="A106" s="149" t="s">
        <v>1161</v>
      </c>
      <c r="B106" s="150" t="s">
        <v>1301</v>
      </c>
      <c r="C106" s="150" t="s">
        <v>1302</v>
      </c>
      <c r="D106" s="151">
        <v>0</v>
      </c>
      <c r="E106" s="152">
        <v>0</v>
      </c>
      <c r="F106" s="151">
        <v>0</v>
      </c>
      <c r="G106" s="152">
        <v>0</v>
      </c>
      <c r="H106" s="151">
        <v>0</v>
      </c>
      <c r="I106" s="152">
        <v>-6.9145699739456177</v>
      </c>
      <c r="J106" s="151">
        <v>0</v>
      </c>
      <c r="K106" s="152">
        <v>-6.9145699739456177</v>
      </c>
      <c r="L106" s="151">
        <v>0</v>
      </c>
      <c r="M106" s="152">
        <v>-6.9145699739456177</v>
      </c>
      <c r="N106" s="151">
        <v>0</v>
      </c>
      <c r="O106" s="152">
        <v>0</v>
      </c>
      <c r="P106" s="151">
        <v>0</v>
      </c>
      <c r="Q106" s="152">
        <v>0</v>
      </c>
      <c r="R106" s="151">
        <v>0</v>
      </c>
      <c r="S106" s="152">
        <v>0</v>
      </c>
      <c r="T106" s="151">
        <v>0</v>
      </c>
      <c r="U106" s="153">
        <v>0</v>
      </c>
      <c r="V106" t="str">
        <f>VLOOKUP(A106,'Projetos ciclo 2018-2022'!$I$8:$I$318,1,FALSE)</f>
        <v>GE00214</v>
      </c>
    </row>
    <row r="107" spans="1:22" x14ac:dyDescent="0.25">
      <c r="A107" s="21" t="s">
        <v>1303</v>
      </c>
      <c r="B107" s="154" t="s">
        <v>1304</v>
      </c>
      <c r="C107" s="154" t="s">
        <v>1517</v>
      </c>
      <c r="D107" s="155">
        <v>6570</v>
      </c>
      <c r="E107" s="158">
        <v>0</v>
      </c>
      <c r="F107" s="155">
        <v>2891</v>
      </c>
      <c r="G107" s="158">
        <v>0</v>
      </c>
      <c r="H107" s="155">
        <v>306</v>
      </c>
      <c r="I107" s="158">
        <v>0</v>
      </c>
      <c r="J107" s="155">
        <v>0</v>
      </c>
      <c r="K107" s="158">
        <v>0</v>
      </c>
      <c r="L107" s="155">
        <v>0</v>
      </c>
      <c r="M107" s="158">
        <v>0</v>
      </c>
      <c r="N107" s="155">
        <v>1905</v>
      </c>
      <c r="O107" s="158">
        <v>1774</v>
      </c>
      <c r="P107" s="155">
        <v>0</v>
      </c>
      <c r="Q107" s="158">
        <v>0</v>
      </c>
      <c r="R107" s="155">
        <v>0</v>
      </c>
      <c r="S107" s="158">
        <v>0</v>
      </c>
      <c r="T107" s="155">
        <v>0</v>
      </c>
      <c r="U107" s="157">
        <v>0</v>
      </c>
      <c r="V107" t="e">
        <f>VLOOKUP(A107,'Projetos ciclo 2018-2022'!$I$8:$I$318,1,FALSE)</f>
        <v>#N/A</v>
      </c>
    </row>
    <row r="108" spans="1:22" x14ac:dyDescent="0.25">
      <c r="A108" s="149" t="s">
        <v>1613</v>
      </c>
      <c r="B108" s="150" t="s">
        <v>60</v>
      </c>
      <c r="C108" s="150" t="s">
        <v>1614</v>
      </c>
      <c r="D108" s="151">
        <v>0</v>
      </c>
      <c r="E108" s="152">
        <v>0</v>
      </c>
      <c r="F108" s="151">
        <v>0</v>
      </c>
      <c r="G108" s="152">
        <v>110</v>
      </c>
      <c r="H108" s="151">
        <v>0</v>
      </c>
      <c r="I108" s="152">
        <v>0</v>
      </c>
      <c r="J108" s="151">
        <v>0</v>
      </c>
      <c r="K108" s="152">
        <v>0</v>
      </c>
      <c r="L108" s="151">
        <v>97.669660568237305</v>
      </c>
      <c r="M108" s="152">
        <v>97.669660568237305</v>
      </c>
      <c r="N108" s="151">
        <v>0</v>
      </c>
      <c r="O108" s="152">
        <v>0</v>
      </c>
      <c r="P108" s="151">
        <v>0</v>
      </c>
      <c r="Q108" s="152">
        <v>0</v>
      </c>
      <c r="R108" s="151">
        <v>0</v>
      </c>
      <c r="S108" s="152">
        <v>0</v>
      </c>
      <c r="T108" s="151">
        <v>0</v>
      </c>
      <c r="U108" s="153">
        <v>0</v>
      </c>
      <c r="V108" t="str">
        <f>VLOOKUP(A108,'Projetos ciclo 2018-2022'!$I$8:$I$318,1,FALSE)</f>
        <v>GE01018</v>
      </c>
    </row>
    <row r="109" spans="1:22" x14ac:dyDescent="0.25">
      <c r="A109" s="21" t="s">
        <v>1672</v>
      </c>
      <c r="B109" s="154" t="s">
        <v>1823</v>
      </c>
      <c r="C109" s="154" t="s">
        <v>1824</v>
      </c>
      <c r="D109" s="155">
        <v>0</v>
      </c>
      <c r="E109" s="158">
        <v>0</v>
      </c>
      <c r="F109" s="155">
        <v>0</v>
      </c>
      <c r="G109" s="158">
        <v>81</v>
      </c>
      <c r="H109" s="155">
        <v>0</v>
      </c>
      <c r="I109" s="158">
        <v>0</v>
      </c>
      <c r="J109" s="155">
        <v>0</v>
      </c>
      <c r="K109" s="158">
        <v>0</v>
      </c>
      <c r="L109" s="155">
        <v>63.748771667480469</v>
      </c>
      <c r="M109" s="158">
        <v>63.748771667480469</v>
      </c>
      <c r="N109" s="155">
        <v>0</v>
      </c>
      <c r="O109" s="158">
        <v>0</v>
      </c>
      <c r="P109" s="155">
        <v>0</v>
      </c>
      <c r="Q109" s="158">
        <v>0</v>
      </c>
      <c r="R109" s="155">
        <v>0</v>
      </c>
      <c r="S109" s="158">
        <v>0</v>
      </c>
      <c r="T109" s="155">
        <v>0</v>
      </c>
      <c r="U109" s="157">
        <v>0</v>
      </c>
      <c r="V109" t="str">
        <f>VLOOKUP(A109,'Projetos ciclo 2018-2022'!$I$8:$I$318,1,FALSE)</f>
        <v>GE01118</v>
      </c>
    </row>
    <row r="110" spans="1:22" x14ac:dyDescent="0.25">
      <c r="A110" s="149" t="s">
        <v>1942</v>
      </c>
      <c r="B110" s="150" t="s">
        <v>1975</v>
      </c>
      <c r="C110" s="150" t="s">
        <v>1943</v>
      </c>
      <c r="D110" s="151">
        <v>0</v>
      </c>
      <c r="E110" s="152">
        <v>0</v>
      </c>
      <c r="F110" s="151">
        <v>0</v>
      </c>
      <c r="G110" s="152">
        <v>114</v>
      </c>
      <c r="H110" s="151">
        <v>0</v>
      </c>
      <c r="I110" s="152">
        <v>0</v>
      </c>
      <c r="J110" s="151">
        <v>0</v>
      </c>
      <c r="K110" s="152">
        <v>0</v>
      </c>
      <c r="L110" s="151">
        <v>0</v>
      </c>
      <c r="M110" s="152">
        <v>0</v>
      </c>
      <c r="N110" s="151">
        <v>0</v>
      </c>
      <c r="O110" s="152">
        <v>0</v>
      </c>
      <c r="P110" s="151">
        <v>0</v>
      </c>
      <c r="Q110" s="152">
        <v>0</v>
      </c>
      <c r="R110" s="151">
        <v>0</v>
      </c>
      <c r="S110" s="152">
        <v>0</v>
      </c>
      <c r="T110" s="151">
        <v>0</v>
      </c>
      <c r="U110" s="153">
        <v>0</v>
      </c>
      <c r="V110" t="str">
        <f>VLOOKUP(A110,'Projetos ciclo 2018-2022'!$I$8:$I$318,1,FALSE)</f>
        <v>MS00118</v>
      </c>
    </row>
    <row r="111" spans="1:22" x14ac:dyDescent="0.25">
      <c r="A111" s="21" t="s">
        <v>565</v>
      </c>
      <c r="B111" s="154" t="s">
        <v>1198</v>
      </c>
      <c r="C111" s="154" t="s">
        <v>59</v>
      </c>
      <c r="D111" s="155">
        <v>30513</v>
      </c>
      <c r="E111" s="158">
        <v>0</v>
      </c>
      <c r="F111" s="155">
        <v>0</v>
      </c>
      <c r="G111" s="158">
        <v>0</v>
      </c>
      <c r="H111" s="155">
        <v>0</v>
      </c>
      <c r="I111" s="158">
        <v>0</v>
      </c>
      <c r="J111" s="155">
        <v>0</v>
      </c>
      <c r="K111" s="158">
        <v>0</v>
      </c>
      <c r="L111" s="155">
        <v>0</v>
      </c>
      <c r="M111" s="158">
        <v>0</v>
      </c>
      <c r="N111" s="155">
        <v>6798</v>
      </c>
      <c r="O111" s="158">
        <v>8062</v>
      </c>
      <c r="P111" s="155">
        <v>9596</v>
      </c>
      <c r="Q111" s="158">
        <v>6057</v>
      </c>
      <c r="R111" s="155">
        <v>0</v>
      </c>
      <c r="S111" s="158">
        <v>0</v>
      </c>
      <c r="T111" s="155">
        <v>0</v>
      </c>
      <c r="U111" s="157">
        <v>0</v>
      </c>
      <c r="V111" t="str">
        <f>VLOOKUP(A111,'Projetos ciclo 2018-2022'!$I$8:$I$318,1,FALSE)</f>
        <v>NA</v>
      </c>
    </row>
    <row r="112" spans="1:22" x14ac:dyDescent="0.25">
      <c r="A112" s="149" t="s">
        <v>1518</v>
      </c>
      <c r="B112" s="150" t="s">
        <v>1519</v>
      </c>
      <c r="C112" s="150" t="s">
        <v>1520</v>
      </c>
      <c r="D112" s="151">
        <v>0</v>
      </c>
      <c r="E112" s="152">
        <v>0</v>
      </c>
      <c r="F112" s="151">
        <v>0</v>
      </c>
      <c r="G112" s="152">
        <v>124</v>
      </c>
      <c r="H112" s="151">
        <v>0</v>
      </c>
      <c r="I112" s="152">
        <v>0</v>
      </c>
      <c r="J112" s="151">
        <v>0</v>
      </c>
      <c r="K112" s="152">
        <v>0</v>
      </c>
      <c r="L112" s="151">
        <v>124.04500293731689</v>
      </c>
      <c r="M112" s="152">
        <v>124.04500293731689</v>
      </c>
      <c r="N112" s="151">
        <v>0</v>
      </c>
      <c r="O112" s="152">
        <v>0</v>
      </c>
      <c r="P112" s="151">
        <v>0</v>
      </c>
      <c r="Q112" s="152">
        <v>0</v>
      </c>
      <c r="R112" s="151">
        <v>0</v>
      </c>
      <c r="S112" s="152">
        <v>0</v>
      </c>
      <c r="T112" s="151">
        <v>0</v>
      </c>
      <c r="U112" s="153">
        <v>0</v>
      </c>
      <c r="V112" t="str">
        <f>VLOOKUP(A112,'Projetos ciclo 2018-2022'!$I$8:$I$318,1,FALSE)</f>
        <v>RH00118</v>
      </c>
    </row>
    <row r="113" spans="1:22" x14ac:dyDescent="0.25">
      <c r="A113" s="21" t="s">
        <v>1153</v>
      </c>
      <c r="B113" s="154" t="s">
        <v>472</v>
      </c>
      <c r="C113" s="154" t="s">
        <v>1306</v>
      </c>
      <c r="D113" s="155">
        <v>0</v>
      </c>
      <c r="E113" s="158">
        <v>0</v>
      </c>
      <c r="F113" s="155">
        <v>0</v>
      </c>
      <c r="G113" s="158">
        <v>52</v>
      </c>
      <c r="H113" s="155">
        <v>0</v>
      </c>
      <c r="I113" s="158">
        <v>0</v>
      </c>
      <c r="J113" s="155">
        <v>0</v>
      </c>
      <c r="K113" s="158">
        <v>0</v>
      </c>
      <c r="L113" s="155">
        <v>51</v>
      </c>
      <c r="M113" s="158">
        <v>51</v>
      </c>
      <c r="N113" s="155">
        <v>0</v>
      </c>
      <c r="O113" s="158">
        <v>0</v>
      </c>
      <c r="P113" s="155">
        <v>0</v>
      </c>
      <c r="Q113" s="158">
        <v>0</v>
      </c>
      <c r="R113" s="155">
        <v>0</v>
      </c>
      <c r="S113" s="158">
        <v>0</v>
      </c>
      <c r="T113" s="155">
        <v>0</v>
      </c>
      <c r="U113" s="157">
        <v>0</v>
      </c>
      <c r="V113" t="str">
        <f>VLOOKUP(A113,'Projetos ciclo 2018-2022'!$I$8:$I$318,1,FALSE)</f>
        <v>SC00117</v>
      </c>
    </row>
    <row r="114" spans="1:22" x14ac:dyDescent="0.25">
      <c r="A114" s="149" t="s">
        <v>1152</v>
      </c>
      <c r="B114" s="150" t="s">
        <v>1585</v>
      </c>
      <c r="C114" s="150" t="s">
        <v>1486</v>
      </c>
      <c r="D114" s="151">
        <v>0</v>
      </c>
      <c r="E114" s="152">
        <v>0</v>
      </c>
      <c r="F114" s="151">
        <v>0</v>
      </c>
      <c r="G114" s="152">
        <v>30</v>
      </c>
      <c r="H114" s="151">
        <v>0</v>
      </c>
      <c r="I114" s="152">
        <v>0</v>
      </c>
      <c r="J114" s="151">
        <v>0</v>
      </c>
      <c r="K114" s="152">
        <v>0</v>
      </c>
      <c r="L114" s="151">
        <v>0</v>
      </c>
      <c r="M114" s="152">
        <v>0</v>
      </c>
      <c r="N114" s="151">
        <v>0</v>
      </c>
      <c r="O114" s="152">
        <v>0</v>
      </c>
      <c r="P114" s="151">
        <v>0</v>
      </c>
      <c r="Q114" s="152">
        <v>0</v>
      </c>
      <c r="R114" s="151">
        <v>0</v>
      </c>
      <c r="S114" s="152">
        <v>0</v>
      </c>
      <c r="T114" s="151">
        <v>0</v>
      </c>
      <c r="U114" s="153">
        <v>0</v>
      </c>
      <c r="V114" t="str">
        <f>VLOOKUP(A114,'Projetos ciclo 2018-2022'!$I$8:$I$318,1,FALSE)</f>
        <v>SC00118</v>
      </c>
    </row>
    <row r="115" spans="1:22" x14ac:dyDescent="0.25">
      <c r="A115" s="21" t="s">
        <v>1534</v>
      </c>
      <c r="B115" s="154" t="s">
        <v>1586</v>
      </c>
      <c r="C115" s="154" t="s">
        <v>1535</v>
      </c>
      <c r="D115" s="155">
        <v>0</v>
      </c>
      <c r="E115" s="158">
        <v>0</v>
      </c>
      <c r="F115" s="155">
        <v>0</v>
      </c>
      <c r="G115" s="158">
        <v>153</v>
      </c>
      <c r="H115" s="155">
        <v>0</v>
      </c>
      <c r="I115" s="158">
        <v>25.312000274658203</v>
      </c>
      <c r="J115" s="155">
        <v>0</v>
      </c>
      <c r="K115" s="158">
        <v>25.312000274658203</v>
      </c>
      <c r="L115" s="155">
        <v>103.57765007019043</v>
      </c>
      <c r="M115" s="158">
        <v>128.88965034484863</v>
      </c>
      <c r="N115" s="155">
        <v>0</v>
      </c>
      <c r="O115" s="158">
        <v>0</v>
      </c>
      <c r="P115" s="155">
        <v>0</v>
      </c>
      <c r="Q115" s="158">
        <v>0</v>
      </c>
      <c r="R115" s="155">
        <v>0</v>
      </c>
      <c r="S115" s="158">
        <v>0</v>
      </c>
      <c r="T115" s="155">
        <v>0</v>
      </c>
      <c r="U115" s="157">
        <v>0</v>
      </c>
      <c r="V115" t="str">
        <f>VLOOKUP(A115,'Projetos ciclo 2018-2022'!$I$8:$I$318,1,FALSE)</f>
        <v>SC00418</v>
      </c>
    </row>
    <row r="116" spans="1:22" x14ac:dyDescent="0.25">
      <c r="A116" s="149" t="s">
        <v>1619</v>
      </c>
      <c r="B116" s="150" t="s">
        <v>1644</v>
      </c>
      <c r="C116" s="150" t="s">
        <v>1620</v>
      </c>
      <c r="D116" s="151">
        <v>0</v>
      </c>
      <c r="E116" s="152">
        <v>0</v>
      </c>
      <c r="F116" s="151">
        <v>0</v>
      </c>
      <c r="G116" s="152">
        <v>23</v>
      </c>
      <c r="H116" s="151">
        <v>0</v>
      </c>
      <c r="I116" s="152">
        <v>0</v>
      </c>
      <c r="J116" s="151">
        <v>0</v>
      </c>
      <c r="K116" s="152">
        <v>0</v>
      </c>
      <c r="L116" s="151">
        <v>23.331000566482544</v>
      </c>
      <c r="M116" s="152">
        <v>23.331000566482544</v>
      </c>
      <c r="N116" s="151">
        <v>0</v>
      </c>
      <c r="O116" s="152">
        <v>0</v>
      </c>
      <c r="P116" s="151">
        <v>0</v>
      </c>
      <c r="Q116" s="152">
        <v>0</v>
      </c>
      <c r="R116" s="151">
        <v>0</v>
      </c>
      <c r="S116" s="152">
        <v>0</v>
      </c>
      <c r="T116" s="151">
        <v>0</v>
      </c>
      <c r="U116" s="153">
        <v>0</v>
      </c>
      <c r="V116" t="str">
        <f>VLOOKUP(A116,'Projetos ciclo 2018-2022'!$I$8:$I$318,1,FALSE)</f>
        <v>SC00518</v>
      </c>
    </row>
    <row r="117" spans="1:22" x14ac:dyDescent="0.25">
      <c r="A117" s="21" t="s">
        <v>1654</v>
      </c>
      <c r="B117" s="154" t="s">
        <v>1825</v>
      </c>
      <c r="C117" s="154" t="s">
        <v>1655</v>
      </c>
      <c r="D117" s="155">
        <v>0</v>
      </c>
      <c r="E117" s="158">
        <v>0</v>
      </c>
      <c r="F117" s="155">
        <v>0</v>
      </c>
      <c r="G117" s="158">
        <v>1209</v>
      </c>
      <c r="H117" s="155">
        <v>0</v>
      </c>
      <c r="I117" s="158">
        <v>0</v>
      </c>
      <c r="J117" s="155">
        <v>0</v>
      </c>
      <c r="K117" s="158">
        <v>0</v>
      </c>
      <c r="L117" s="155">
        <v>1206</v>
      </c>
      <c r="M117" s="158">
        <v>1206</v>
      </c>
      <c r="N117" s="155">
        <v>0</v>
      </c>
      <c r="O117" s="158">
        <v>0</v>
      </c>
      <c r="P117" s="155">
        <v>0</v>
      </c>
      <c r="Q117" s="158">
        <v>0</v>
      </c>
      <c r="R117" s="155">
        <v>0</v>
      </c>
      <c r="S117" s="158">
        <v>0</v>
      </c>
      <c r="T117" s="155">
        <v>0</v>
      </c>
      <c r="U117" s="157">
        <v>0</v>
      </c>
      <c r="V117" t="str">
        <f>VLOOKUP(A117,'Projetos ciclo 2018-2022'!$I$8:$I$318,1,FALSE)</f>
        <v>SC00618</v>
      </c>
    </row>
    <row r="118" spans="1:22" x14ac:dyDescent="0.25">
      <c r="A118" s="149" t="s">
        <v>1657</v>
      </c>
      <c r="B118" s="150" t="s">
        <v>1659</v>
      </c>
      <c r="C118" s="150" t="s">
        <v>1658</v>
      </c>
      <c r="D118" s="151">
        <v>0</v>
      </c>
      <c r="E118" s="152">
        <v>0</v>
      </c>
      <c r="F118" s="151">
        <v>0</v>
      </c>
      <c r="G118" s="152">
        <v>16</v>
      </c>
      <c r="H118" s="151">
        <v>0</v>
      </c>
      <c r="I118" s="152">
        <v>0</v>
      </c>
      <c r="J118" s="151">
        <v>0</v>
      </c>
      <c r="K118" s="152">
        <v>0</v>
      </c>
      <c r="L118" s="151">
        <v>0</v>
      </c>
      <c r="M118" s="152">
        <v>0</v>
      </c>
      <c r="N118" s="151">
        <v>0</v>
      </c>
      <c r="O118" s="152">
        <v>0</v>
      </c>
      <c r="P118" s="151">
        <v>0</v>
      </c>
      <c r="Q118" s="152">
        <v>0</v>
      </c>
      <c r="R118" s="151">
        <v>0</v>
      </c>
      <c r="S118" s="152">
        <v>0</v>
      </c>
      <c r="T118" s="151">
        <v>0</v>
      </c>
      <c r="U118" s="153">
        <v>0</v>
      </c>
      <c r="V118" t="str">
        <f>VLOOKUP(A118,'Projetos ciclo 2018-2022'!$I$8:$I$318,1,FALSE)</f>
        <v>SC00718</v>
      </c>
    </row>
    <row r="119" spans="1:22" x14ac:dyDescent="0.25">
      <c r="A119" s="21" t="s">
        <v>1927</v>
      </c>
      <c r="B119" s="154" t="s">
        <v>1945</v>
      </c>
      <c r="C119" s="154" t="s">
        <v>1928</v>
      </c>
      <c r="D119" s="155">
        <v>0</v>
      </c>
      <c r="E119" s="158">
        <v>0</v>
      </c>
      <c r="F119" s="155">
        <v>0</v>
      </c>
      <c r="G119" s="158">
        <v>7</v>
      </c>
      <c r="H119" s="155">
        <v>0</v>
      </c>
      <c r="I119" s="158">
        <v>0</v>
      </c>
      <c r="J119" s="155">
        <v>0</v>
      </c>
      <c r="K119" s="158">
        <v>0</v>
      </c>
      <c r="L119" s="155">
        <v>0</v>
      </c>
      <c r="M119" s="158">
        <v>0</v>
      </c>
      <c r="N119" s="155">
        <v>0</v>
      </c>
      <c r="O119" s="158">
        <v>0</v>
      </c>
      <c r="P119" s="155">
        <v>0</v>
      </c>
      <c r="Q119" s="158">
        <v>0</v>
      </c>
      <c r="R119" s="155">
        <v>0</v>
      </c>
      <c r="S119" s="158">
        <v>0</v>
      </c>
      <c r="T119" s="155">
        <v>0</v>
      </c>
      <c r="U119" s="157">
        <v>0</v>
      </c>
      <c r="V119" t="str">
        <f>VLOOKUP(A119,'Projetos ciclo 2018-2022'!$I$8:$I$318,1,FALSE)</f>
        <v>SC00818</v>
      </c>
    </row>
    <row r="120" spans="1:22" x14ac:dyDescent="0.25">
      <c r="A120" s="149" t="s">
        <v>1925</v>
      </c>
      <c r="B120" s="150" t="s">
        <v>1946</v>
      </c>
      <c r="C120" s="150" t="s">
        <v>1926</v>
      </c>
      <c r="D120" s="151">
        <v>0</v>
      </c>
      <c r="E120" s="152">
        <v>0</v>
      </c>
      <c r="F120" s="151">
        <v>0</v>
      </c>
      <c r="G120" s="152">
        <v>0</v>
      </c>
      <c r="H120" s="151">
        <v>0</v>
      </c>
      <c r="I120" s="152">
        <v>0</v>
      </c>
      <c r="J120" s="151">
        <v>0</v>
      </c>
      <c r="K120" s="152">
        <v>0</v>
      </c>
      <c r="L120" s="151">
        <v>0</v>
      </c>
      <c r="M120" s="152">
        <v>0</v>
      </c>
      <c r="N120" s="151">
        <v>0</v>
      </c>
      <c r="O120" s="152">
        <v>0</v>
      </c>
      <c r="P120" s="151">
        <v>0</v>
      </c>
      <c r="Q120" s="152">
        <v>0</v>
      </c>
      <c r="R120" s="151">
        <v>0</v>
      </c>
      <c r="S120" s="152">
        <v>0</v>
      </c>
      <c r="T120" s="151">
        <v>0</v>
      </c>
      <c r="U120" s="153">
        <v>0</v>
      </c>
      <c r="V120" t="str">
        <f>VLOOKUP(A120,'Projetos ciclo 2018-2022'!$I$8:$I$318,1,FALSE)</f>
        <v>SC00918</v>
      </c>
    </row>
    <row r="121" spans="1:22" x14ac:dyDescent="0.25">
      <c r="A121" s="21" t="s">
        <v>1199</v>
      </c>
      <c r="B121" s="154" t="s">
        <v>1200</v>
      </c>
      <c r="C121" s="154" t="s">
        <v>59</v>
      </c>
      <c r="D121" s="155">
        <v>3368.5</v>
      </c>
      <c r="E121" s="158">
        <v>0</v>
      </c>
      <c r="F121" s="155">
        <v>0</v>
      </c>
      <c r="G121" s="158">
        <v>0</v>
      </c>
      <c r="H121" s="155">
        <v>0</v>
      </c>
      <c r="I121" s="158">
        <v>0</v>
      </c>
      <c r="J121" s="155">
        <v>0</v>
      </c>
      <c r="K121" s="158">
        <v>0</v>
      </c>
      <c r="L121" s="155">
        <v>0</v>
      </c>
      <c r="M121" s="158">
        <v>0</v>
      </c>
      <c r="N121" s="155">
        <v>0</v>
      </c>
      <c r="O121" s="158">
        <v>0</v>
      </c>
      <c r="P121" s="155">
        <v>0</v>
      </c>
      <c r="Q121" s="158">
        <v>0</v>
      </c>
      <c r="R121" s="155">
        <v>0</v>
      </c>
      <c r="S121" s="158">
        <v>0</v>
      </c>
      <c r="T121" s="155">
        <v>0</v>
      </c>
      <c r="U121" s="157">
        <v>0</v>
      </c>
      <c r="V121" t="e">
        <f>VLOOKUP(A121,'Projetos ciclo 2018-2022'!$I$8:$I$318,1,FALSE)</f>
        <v>#N/A</v>
      </c>
    </row>
    <row r="122" spans="1:22" x14ac:dyDescent="0.25">
      <c r="A122" s="149" t="s">
        <v>1538</v>
      </c>
      <c r="B122" s="150" t="s">
        <v>1549</v>
      </c>
      <c r="C122" s="150" t="s">
        <v>1539</v>
      </c>
      <c r="D122" s="151">
        <v>0</v>
      </c>
      <c r="E122" s="152">
        <v>0</v>
      </c>
      <c r="F122" s="151">
        <v>0</v>
      </c>
      <c r="G122" s="152">
        <v>20</v>
      </c>
      <c r="H122" s="151">
        <v>0</v>
      </c>
      <c r="I122" s="152">
        <v>11.725610017776489</v>
      </c>
      <c r="J122" s="151">
        <v>0</v>
      </c>
      <c r="K122" s="152">
        <v>11.725610017776489</v>
      </c>
      <c r="L122" s="151">
        <v>0</v>
      </c>
      <c r="M122" s="152">
        <v>11.725610017776489</v>
      </c>
      <c r="N122" s="151">
        <v>0</v>
      </c>
      <c r="O122" s="152">
        <v>0</v>
      </c>
      <c r="P122" s="151">
        <v>0</v>
      </c>
      <c r="Q122" s="152">
        <v>0</v>
      </c>
      <c r="R122" s="151">
        <v>0</v>
      </c>
      <c r="S122" s="152">
        <v>0</v>
      </c>
      <c r="T122" s="151">
        <v>0</v>
      </c>
      <c r="U122" s="153">
        <v>0</v>
      </c>
      <c r="V122" t="str">
        <f>VLOOKUP(A122,'Projetos ciclo 2018-2022'!$I$8:$I$318,1,FALSE)</f>
        <v>TI05018</v>
      </c>
    </row>
    <row r="123" spans="1:22" x14ac:dyDescent="0.25">
      <c r="A123" s="21" t="s">
        <v>1194</v>
      </c>
      <c r="B123" s="154" t="s">
        <v>1307</v>
      </c>
      <c r="C123" s="154" t="s">
        <v>59</v>
      </c>
      <c r="D123" s="155">
        <v>0</v>
      </c>
      <c r="E123" s="158">
        <v>0</v>
      </c>
      <c r="F123" s="155">
        <v>0</v>
      </c>
      <c r="G123" s="158">
        <v>0</v>
      </c>
      <c r="H123" s="155">
        <v>0</v>
      </c>
      <c r="I123" s="158">
        <v>0</v>
      </c>
      <c r="J123" s="155">
        <v>0</v>
      </c>
      <c r="K123" s="158">
        <v>0</v>
      </c>
      <c r="L123" s="155">
        <v>0</v>
      </c>
      <c r="M123" s="158">
        <v>0</v>
      </c>
      <c r="N123" s="155">
        <v>0</v>
      </c>
      <c r="O123" s="158">
        <v>0</v>
      </c>
      <c r="P123" s="155">
        <v>0</v>
      </c>
      <c r="Q123" s="158">
        <v>0</v>
      </c>
      <c r="R123" s="155">
        <v>0</v>
      </c>
      <c r="S123" s="158">
        <v>0</v>
      </c>
      <c r="T123" s="155">
        <v>0</v>
      </c>
      <c r="U123" s="157">
        <v>0</v>
      </c>
      <c r="V123" t="e">
        <f>VLOOKUP(A123,'Projetos ciclo 2018-2022'!$I$8:$I$318,1,FALSE)</f>
        <v>#N/A</v>
      </c>
    </row>
    <row r="124" spans="1:22" x14ac:dyDescent="0.25">
      <c r="A124" s="149" t="s">
        <v>1196</v>
      </c>
      <c r="B124" s="150" t="s">
        <v>1197</v>
      </c>
      <c r="C124" s="150" t="s">
        <v>59</v>
      </c>
      <c r="D124" s="151">
        <v>0</v>
      </c>
      <c r="E124" s="152">
        <v>0</v>
      </c>
      <c r="F124" s="151">
        <v>0</v>
      </c>
      <c r="G124" s="152">
        <v>0</v>
      </c>
      <c r="H124" s="151">
        <v>0</v>
      </c>
      <c r="I124" s="152">
        <v>0</v>
      </c>
      <c r="J124" s="151">
        <v>0</v>
      </c>
      <c r="K124" s="152">
        <v>0</v>
      </c>
      <c r="L124" s="151">
        <v>0</v>
      </c>
      <c r="M124" s="152">
        <v>0</v>
      </c>
      <c r="N124" s="151">
        <v>0</v>
      </c>
      <c r="O124" s="152">
        <v>0</v>
      </c>
      <c r="P124" s="151">
        <v>0</v>
      </c>
      <c r="Q124" s="152">
        <v>0</v>
      </c>
      <c r="R124" s="151">
        <v>0</v>
      </c>
      <c r="S124" s="152">
        <v>0</v>
      </c>
      <c r="T124" s="151">
        <v>0</v>
      </c>
      <c r="U124" s="153">
        <v>0</v>
      </c>
      <c r="V124" t="e">
        <f>VLOOKUP(A124,'Projetos ciclo 2018-2022'!$I$8:$I$318,1,FALSE)</f>
        <v>#N/A</v>
      </c>
    </row>
    <row r="125" spans="1:22" x14ac:dyDescent="0.25">
      <c r="A125" s="21" t="s">
        <v>565</v>
      </c>
      <c r="B125" s="154" t="s">
        <v>1198</v>
      </c>
      <c r="C125" s="154" t="s">
        <v>59</v>
      </c>
      <c r="D125" s="155">
        <v>30051</v>
      </c>
      <c r="E125" s="158">
        <v>0</v>
      </c>
      <c r="F125" s="155">
        <v>0</v>
      </c>
      <c r="G125" s="158">
        <v>0</v>
      </c>
      <c r="H125" s="155">
        <v>0</v>
      </c>
      <c r="I125" s="158">
        <v>0</v>
      </c>
      <c r="J125" s="155">
        <v>0</v>
      </c>
      <c r="K125" s="158">
        <v>0</v>
      </c>
      <c r="L125" s="155">
        <v>0</v>
      </c>
      <c r="M125" s="158">
        <v>0</v>
      </c>
      <c r="N125" s="155">
        <v>5003</v>
      </c>
      <c r="O125" s="158">
        <v>8113</v>
      </c>
      <c r="P125" s="155">
        <v>9847</v>
      </c>
      <c r="Q125" s="158">
        <v>7088</v>
      </c>
      <c r="R125" s="155">
        <v>0</v>
      </c>
      <c r="S125" s="158">
        <v>0</v>
      </c>
      <c r="T125" s="155">
        <v>0</v>
      </c>
      <c r="U125" s="157">
        <v>0</v>
      </c>
      <c r="V125" t="str">
        <f>VLOOKUP(A125,'Projetos ciclo 2018-2022'!$I$8:$I$318,1,FALSE)</f>
        <v>NA</v>
      </c>
    </row>
    <row r="126" spans="1:22" x14ac:dyDescent="0.25">
      <c r="A126" s="149" t="s">
        <v>1199</v>
      </c>
      <c r="B126" s="150" t="s">
        <v>1200</v>
      </c>
      <c r="C126" s="150" t="s">
        <v>59</v>
      </c>
      <c r="D126" s="151">
        <v>-1</v>
      </c>
      <c r="E126" s="152">
        <v>0</v>
      </c>
      <c r="F126" s="151">
        <v>0</v>
      </c>
      <c r="G126" s="152">
        <v>0</v>
      </c>
      <c r="H126" s="151">
        <v>0</v>
      </c>
      <c r="I126" s="152">
        <v>0</v>
      </c>
      <c r="J126" s="151">
        <v>0</v>
      </c>
      <c r="K126" s="152">
        <v>0</v>
      </c>
      <c r="L126" s="151">
        <v>0</v>
      </c>
      <c r="M126" s="152">
        <v>0</v>
      </c>
      <c r="N126" s="151">
        <v>0</v>
      </c>
      <c r="O126" s="152">
        <v>0</v>
      </c>
      <c r="P126" s="151">
        <v>0</v>
      </c>
      <c r="Q126" s="152">
        <v>0</v>
      </c>
      <c r="R126" s="151">
        <v>0</v>
      </c>
      <c r="S126" s="152">
        <v>0</v>
      </c>
      <c r="T126" s="151">
        <v>0</v>
      </c>
      <c r="U126" s="153">
        <v>0</v>
      </c>
      <c r="V126" t="e">
        <f>VLOOKUP(A126,'Projetos ciclo 2018-2022'!$I$8:$I$318,1,FALSE)</f>
        <v>#N/A</v>
      </c>
    </row>
    <row r="127" spans="1:22" x14ac:dyDescent="0.25">
      <c r="A127" s="21" t="s">
        <v>1308</v>
      </c>
      <c r="B127" s="154" t="s">
        <v>1309</v>
      </c>
      <c r="C127" s="154" t="s">
        <v>1310</v>
      </c>
      <c r="D127" s="155">
        <v>4512</v>
      </c>
      <c r="E127" s="158">
        <v>0</v>
      </c>
      <c r="F127" s="155">
        <v>4112</v>
      </c>
      <c r="G127" s="158">
        <v>0</v>
      </c>
      <c r="H127" s="155">
        <v>0</v>
      </c>
      <c r="I127" s="158">
        <v>0</v>
      </c>
      <c r="J127" s="155">
        <v>0</v>
      </c>
      <c r="K127" s="158">
        <v>0</v>
      </c>
      <c r="L127" s="155">
        <v>0</v>
      </c>
      <c r="M127" s="158">
        <v>0</v>
      </c>
      <c r="N127" s="155">
        <v>200</v>
      </c>
      <c r="O127" s="158">
        <v>200</v>
      </c>
      <c r="P127" s="155">
        <v>0</v>
      </c>
      <c r="Q127" s="158">
        <v>0</v>
      </c>
      <c r="R127" s="155">
        <v>0</v>
      </c>
      <c r="S127" s="158">
        <v>0</v>
      </c>
      <c r="T127" s="155">
        <v>0</v>
      </c>
      <c r="U127" s="157">
        <v>0</v>
      </c>
      <c r="V127" t="e">
        <f>VLOOKUP(A127,'Projetos ciclo 2018-2022'!$I$8:$I$318,1,FALSE)</f>
        <v>#N/A</v>
      </c>
    </row>
    <row r="128" spans="1:22" x14ac:dyDescent="0.25">
      <c r="A128" s="149" t="s">
        <v>1192</v>
      </c>
      <c r="B128" s="150" t="s">
        <v>1311</v>
      </c>
      <c r="C128" s="150" t="s">
        <v>1193</v>
      </c>
      <c r="D128" s="151">
        <v>0</v>
      </c>
      <c r="E128" s="152">
        <v>0</v>
      </c>
      <c r="F128" s="151">
        <v>0</v>
      </c>
      <c r="G128" s="152">
        <v>367</v>
      </c>
      <c r="H128" s="151">
        <v>0</v>
      </c>
      <c r="I128" s="152">
        <v>0</v>
      </c>
      <c r="J128" s="151">
        <v>0</v>
      </c>
      <c r="K128" s="152">
        <v>0</v>
      </c>
      <c r="L128" s="151">
        <v>356.9999942779541</v>
      </c>
      <c r="M128" s="152">
        <v>356.9999942779541</v>
      </c>
      <c r="N128" s="151">
        <v>0</v>
      </c>
      <c r="O128" s="152">
        <v>0</v>
      </c>
      <c r="P128" s="151">
        <v>0</v>
      </c>
      <c r="Q128" s="152">
        <v>0</v>
      </c>
      <c r="R128" s="151">
        <v>0</v>
      </c>
      <c r="S128" s="152">
        <v>0</v>
      </c>
      <c r="T128" s="151">
        <v>0</v>
      </c>
      <c r="U128" s="153">
        <v>0</v>
      </c>
      <c r="V128" t="str">
        <f>VLOOKUP(A128,'Projetos ciclo 2018-2022'!$I$8:$I$318,1,FALSE)</f>
        <v>TI02918</v>
      </c>
    </row>
    <row r="129" spans="1:22" x14ac:dyDescent="0.25">
      <c r="A129" s="21" t="s">
        <v>1312</v>
      </c>
      <c r="B129" s="154" t="s">
        <v>1313</v>
      </c>
      <c r="C129" s="154" t="s">
        <v>1314</v>
      </c>
      <c r="D129" s="155">
        <v>0</v>
      </c>
      <c r="E129" s="158">
        <v>0</v>
      </c>
      <c r="F129" s="155">
        <v>0</v>
      </c>
      <c r="G129" s="158">
        <v>108</v>
      </c>
      <c r="H129" s="155">
        <v>0</v>
      </c>
      <c r="I129" s="158">
        <v>0</v>
      </c>
      <c r="J129" s="155">
        <v>0</v>
      </c>
      <c r="K129" s="158">
        <v>0</v>
      </c>
      <c r="L129" s="155">
        <v>0</v>
      </c>
      <c r="M129" s="158">
        <v>0</v>
      </c>
      <c r="N129" s="155">
        <v>0</v>
      </c>
      <c r="O129" s="158">
        <v>0</v>
      </c>
      <c r="P129" s="155">
        <v>0</v>
      </c>
      <c r="Q129" s="158">
        <v>0</v>
      </c>
      <c r="R129" s="155">
        <v>0</v>
      </c>
      <c r="S129" s="158">
        <v>0</v>
      </c>
      <c r="T129" s="155">
        <v>0</v>
      </c>
      <c r="U129" s="157">
        <v>0</v>
      </c>
      <c r="V129" t="str">
        <f>VLOOKUP(A129,'Projetos ciclo 2018-2022'!$I$8:$I$318,1,FALSE)</f>
        <v>TI03118</v>
      </c>
    </row>
    <row r="130" spans="1:22" x14ac:dyDescent="0.25">
      <c r="A130" s="149" t="s">
        <v>1521</v>
      </c>
      <c r="B130" s="150" t="s">
        <v>1000</v>
      </c>
      <c r="C130" s="150" t="s">
        <v>1522</v>
      </c>
      <c r="D130" s="151">
        <v>0</v>
      </c>
      <c r="E130" s="152">
        <v>0</v>
      </c>
      <c r="F130" s="151">
        <v>0</v>
      </c>
      <c r="G130" s="152">
        <v>200</v>
      </c>
      <c r="H130" s="151">
        <v>0</v>
      </c>
      <c r="I130" s="152">
        <v>0</v>
      </c>
      <c r="J130" s="151">
        <v>0</v>
      </c>
      <c r="K130" s="152">
        <v>0</v>
      </c>
      <c r="L130" s="151">
        <v>194.82400512695312</v>
      </c>
      <c r="M130" s="152">
        <v>194.82400512695312</v>
      </c>
      <c r="N130" s="151">
        <v>0</v>
      </c>
      <c r="O130" s="152">
        <v>0</v>
      </c>
      <c r="P130" s="151">
        <v>0</v>
      </c>
      <c r="Q130" s="152">
        <v>0</v>
      </c>
      <c r="R130" s="151">
        <v>0</v>
      </c>
      <c r="S130" s="152">
        <v>0</v>
      </c>
      <c r="T130" s="151">
        <v>0</v>
      </c>
      <c r="U130" s="153">
        <v>0</v>
      </c>
      <c r="V130" t="str">
        <f>VLOOKUP(A130,'Projetos ciclo 2018-2022'!$I$8:$I$318,1,FALSE)</f>
        <v>TI05118</v>
      </c>
    </row>
    <row r="131" spans="1:22" x14ac:dyDescent="0.25">
      <c r="A131" s="21" t="s">
        <v>1668</v>
      </c>
      <c r="B131" s="154" t="s">
        <v>745</v>
      </c>
      <c r="C131" s="154" t="s">
        <v>1669</v>
      </c>
      <c r="D131" s="155">
        <v>0</v>
      </c>
      <c r="E131" s="158">
        <v>0</v>
      </c>
      <c r="F131" s="155">
        <v>0</v>
      </c>
      <c r="G131" s="158">
        <v>2214</v>
      </c>
      <c r="H131" s="155">
        <v>0</v>
      </c>
      <c r="I131" s="158">
        <v>0</v>
      </c>
      <c r="J131" s="155">
        <v>0</v>
      </c>
      <c r="K131" s="158">
        <v>0</v>
      </c>
      <c r="L131" s="155">
        <v>624.58897188305855</v>
      </c>
      <c r="M131" s="158">
        <v>624.58897188305855</v>
      </c>
      <c r="N131" s="155">
        <v>0</v>
      </c>
      <c r="O131" s="158">
        <v>0</v>
      </c>
      <c r="P131" s="155">
        <v>0</v>
      </c>
      <c r="Q131" s="158">
        <v>0</v>
      </c>
      <c r="R131" s="155">
        <v>0</v>
      </c>
      <c r="S131" s="158">
        <v>0</v>
      </c>
      <c r="T131" s="155">
        <v>0</v>
      </c>
      <c r="U131" s="157">
        <v>0</v>
      </c>
      <c r="V131" t="str">
        <f>VLOOKUP(A131,'Projetos ciclo 2018-2022'!$I$8:$I$318,1,FALSE)</f>
        <v>TI05918</v>
      </c>
    </row>
    <row r="132" spans="1:22" x14ac:dyDescent="0.25">
      <c r="A132" s="149" t="s">
        <v>1893</v>
      </c>
      <c r="B132" s="150" t="s">
        <v>1894</v>
      </c>
      <c r="C132" s="150" t="s">
        <v>1895</v>
      </c>
      <c r="D132" s="151">
        <v>0</v>
      </c>
      <c r="E132" s="152">
        <v>0</v>
      </c>
      <c r="F132" s="151">
        <v>0</v>
      </c>
      <c r="G132" s="152">
        <v>80</v>
      </c>
      <c r="H132" s="151">
        <v>0</v>
      </c>
      <c r="I132" s="152">
        <v>0</v>
      </c>
      <c r="J132" s="151">
        <v>0</v>
      </c>
      <c r="K132" s="152">
        <v>0</v>
      </c>
      <c r="L132" s="151">
        <v>0</v>
      </c>
      <c r="M132" s="152">
        <v>0</v>
      </c>
      <c r="N132" s="151">
        <v>0</v>
      </c>
      <c r="O132" s="152">
        <v>0</v>
      </c>
      <c r="P132" s="151">
        <v>0</v>
      </c>
      <c r="Q132" s="152">
        <v>0</v>
      </c>
      <c r="R132" s="151">
        <v>0</v>
      </c>
      <c r="S132" s="152">
        <v>0</v>
      </c>
      <c r="T132" s="151">
        <v>0</v>
      </c>
      <c r="U132" s="153">
        <v>0</v>
      </c>
      <c r="V132" t="str">
        <f>VLOOKUP(A132,'Projetos ciclo 2018-2022'!$I$8:$I$318,1,FALSE)</f>
        <v>TI07318</v>
      </c>
    </row>
    <row r="133" spans="1:22" x14ac:dyDescent="0.25">
      <c r="A133" s="21" t="s">
        <v>1976</v>
      </c>
      <c r="B133" s="154" t="s">
        <v>1977</v>
      </c>
      <c r="C133" s="154" t="s">
        <v>1978</v>
      </c>
      <c r="D133" s="155">
        <v>0</v>
      </c>
      <c r="E133" s="158">
        <v>0</v>
      </c>
      <c r="F133" s="155">
        <v>0</v>
      </c>
      <c r="G133" s="158">
        <v>276</v>
      </c>
      <c r="H133" s="155">
        <v>0</v>
      </c>
      <c r="I133" s="158">
        <v>0</v>
      </c>
      <c r="J133" s="155">
        <v>0</v>
      </c>
      <c r="K133" s="158">
        <v>0</v>
      </c>
      <c r="L133" s="155">
        <v>271.89999544620514</v>
      </c>
      <c r="M133" s="158">
        <v>271.89999544620514</v>
      </c>
      <c r="N133" s="155">
        <v>0</v>
      </c>
      <c r="O133" s="158">
        <v>0</v>
      </c>
      <c r="P133" s="155">
        <v>0</v>
      </c>
      <c r="Q133" s="158">
        <v>0</v>
      </c>
      <c r="R133" s="155">
        <v>0</v>
      </c>
      <c r="S133" s="158">
        <v>0</v>
      </c>
      <c r="T133" s="155">
        <v>0</v>
      </c>
      <c r="U133" s="157">
        <v>0</v>
      </c>
      <c r="V133" t="str">
        <f>VLOOKUP(A133,'Projetos ciclo 2018-2022'!$I$8:$I$318,1,FALSE)</f>
        <v>TI07718</v>
      </c>
    </row>
    <row r="134" spans="1:22" x14ac:dyDescent="0.25">
      <c r="A134" s="149" t="s">
        <v>1936</v>
      </c>
      <c r="B134" s="150" t="s">
        <v>724</v>
      </c>
      <c r="C134" s="150" t="s">
        <v>1937</v>
      </c>
      <c r="D134" s="151">
        <v>0</v>
      </c>
      <c r="E134" s="152">
        <v>0</v>
      </c>
      <c r="F134" s="151">
        <v>0</v>
      </c>
      <c r="G134" s="152">
        <v>711</v>
      </c>
      <c r="H134" s="151">
        <v>0</v>
      </c>
      <c r="I134" s="152">
        <v>0</v>
      </c>
      <c r="J134" s="151">
        <v>0</v>
      </c>
      <c r="K134" s="152">
        <v>0</v>
      </c>
      <c r="L134" s="151">
        <v>14.636799812316895</v>
      </c>
      <c r="M134" s="152">
        <v>14.636799812316895</v>
      </c>
      <c r="N134" s="151">
        <v>0</v>
      </c>
      <c r="O134" s="152">
        <v>0</v>
      </c>
      <c r="P134" s="151">
        <v>0</v>
      </c>
      <c r="Q134" s="152">
        <v>0</v>
      </c>
      <c r="R134" s="151">
        <v>0</v>
      </c>
      <c r="S134" s="152">
        <v>0</v>
      </c>
      <c r="T134" s="151">
        <v>0</v>
      </c>
      <c r="U134" s="153">
        <v>0</v>
      </c>
      <c r="V134" t="str">
        <f>VLOOKUP(A134,'Projetos ciclo 2018-2022'!$I$8:$I$318,1,FALSE)</f>
        <v>TI07918</v>
      </c>
    </row>
    <row r="135" spans="1:22" x14ac:dyDescent="0.25">
      <c r="A135" s="21" t="s">
        <v>1194</v>
      </c>
      <c r="B135" s="154" t="s">
        <v>1315</v>
      </c>
      <c r="C135" s="154" t="s">
        <v>59</v>
      </c>
      <c r="D135" s="155">
        <v>0</v>
      </c>
      <c r="E135" s="158">
        <v>0</v>
      </c>
      <c r="F135" s="155">
        <v>0</v>
      </c>
      <c r="G135" s="158">
        <v>0</v>
      </c>
      <c r="H135" s="155">
        <v>0</v>
      </c>
      <c r="I135" s="158">
        <v>0</v>
      </c>
      <c r="J135" s="155">
        <v>0</v>
      </c>
      <c r="K135" s="158">
        <v>0</v>
      </c>
      <c r="L135" s="155">
        <v>0</v>
      </c>
      <c r="M135" s="158">
        <v>0</v>
      </c>
      <c r="N135" s="155">
        <v>0</v>
      </c>
      <c r="O135" s="158">
        <v>0</v>
      </c>
      <c r="P135" s="155">
        <v>0</v>
      </c>
      <c r="Q135" s="158">
        <v>0</v>
      </c>
      <c r="R135" s="155">
        <v>0</v>
      </c>
      <c r="S135" s="158">
        <v>0</v>
      </c>
      <c r="T135" s="155">
        <v>0</v>
      </c>
      <c r="U135" s="157">
        <v>0</v>
      </c>
      <c r="V135" t="e">
        <f>VLOOKUP(A135,'Projetos ciclo 2018-2022'!$I$8:$I$318,1,FALSE)</f>
        <v>#N/A</v>
      </c>
    </row>
    <row r="136" spans="1:22" x14ac:dyDescent="0.25">
      <c r="A136" s="149" t="s">
        <v>1196</v>
      </c>
      <c r="B136" s="150" t="s">
        <v>1197</v>
      </c>
      <c r="C136" s="150" t="s">
        <v>59</v>
      </c>
      <c r="D136" s="151">
        <v>0</v>
      </c>
      <c r="E136" s="152">
        <v>0</v>
      </c>
      <c r="F136" s="151">
        <v>0</v>
      </c>
      <c r="G136" s="152">
        <v>0</v>
      </c>
      <c r="H136" s="151">
        <v>0</v>
      </c>
      <c r="I136" s="152">
        <v>0</v>
      </c>
      <c r="J136" s="151">
        <v>0</v>
      </c>
      <c r="K136" s="152">
        <v>0</v>
      </c>
      <c r="L136" s="151">
        <v>0</v>
      </c>
      <c r="M136" s="152">
        <v>0</v>
      </c>
      <c r="N136" s="151">
        <v>0</v>
      </c>
      <c r="O136" s="152">
        <v>0</v>
      </c>
      <c r="P136" s="151">
        <v>0</v>
      </c>
      <c r="Q136" s="152">
        <v>0</v>
      </c>
      <c r="R136" s="151">
        <v>0</v>
      </c>
      <c r="S136" s="152">
        <v>0</v>
      </c>
      <c r="T136" s="151">
        <v>0</v>
      </c>
      <c r="U136" s="153">
        <v>0</v>
      </c>
      <c r="V136" t="e">
        <f>VLOOKUP(A136,'Projetos ciclo 2018-2022'!$I$8:$I$318,1,FALSE)</f>
        <v>#N/A</v>
      </c>
    </row>
    <row r="137" spans="1:22" x14ac:dyDescent="0.25">
      <c r="A137" s="21" t="s">
        <v>565</v>
      </c>
      <c r="B137" s="154" t="s">
        <v>1316</v>
      </c>
      <c r="C137" s="154" t="s">
        <v>59</v>
      </c>
      <c r="D137" s="155">
        <v>20900</v>
      </c>
      <c r="E137" s="158">
        <v>0</v>
      </c>
      <c r="F137" s="155">
        <v>0</v>
      </c>
      <c r="G137" s="158">
        <v>0</v>
      </c>
      <c r="H137" s="155">
        <v>0</v>
      </c>
      <c r="I137" s="158">
        <v>0</v>
      </c>
      <c r="J137" s="155">
        <v>0</v>
      </c>
      <c r="K137" s="158">
        <v>0</v>
      </c>
      <c r="L137" s="155">
        <v>0</v>
      </c>
      <c r="M137" s="158">
        <v>0</v>
      </c>
      <c r="N137" s="155">
        <v>15190</v>
      </c>
      <c r="O137" s="158">
        <v>2660</v>
      </c>
      <c r="P137" s="155">
        <v>390</v>
      </c>
      <c r="Q137" s="158">
        <v>2660</v>
      </c>
      <c r="R137" s="155">
        <v>0</v>
      </c>
      <c r="S137" s="158">
        <v>0</v>
      </c>
      <c r="T137" s="155">
        <v>0</v>
      </c>
      <c r="U137" s="157">
        <v>0</v>
      </c>
      <c r="V137" t="str">
        <f>VLOOKUP(A137,'Projetos ciclo 2018-2022'!$I$8:$I$318,1,FALSE)</f>
        <v>NA</v>
      </c>
    </row>
    <row r="138" spans="1:22" x14ac:dyDescent="0.25">
      <c r="A138" s="149" t="s">
        <v>1199</v>
      </c>
      <c r="B138" s="150" t="s">
        <v>1200</v>
      </c>
      <c r="C138" s="150" t="s">
        <v>59</v>
      </c>
      <c r="D138" s="151">
        <v>0</v>
      </c>
      <c r="E138" s="152">
        <v>0</v>
      </c>
      <c r="F138" s="151">
        <v>0</v>
      </c>
      <c r="G138" s="152">
        <v>0</v>
      </c>
      <c r="H138" s="151">
        <v>0</v>
      </c>
      <c r="I138" s="152">
        <v>0</v>
      </c>
      <c r="J138" s="151">
        <v>0</v>
      </c>
      <c r="K138" s="152">
        <v>0</v>
      </c>
      <c r="L138" s="151">
        <v>0</v>
      </c>
      <c r="M138" s="152">
        <v>0</v>
      </c>
      <c r="N138" s="151">
        <v>0</v>
      </c>
      <c r="O138" s="152">
        <v>0</v>
      </c>
      <c r="P138" s="151">
        <v>0</v>
      </c>
      <c r="Q138" s="152">
        <v>0</v>
      </c>
      <c r="R138" s="151">
        <v>0</v>
      </c>
      <c r="S138" s="152">
        <v>0</v>
      </c>
      <c r="T138" s="151">
        <v>0</v>
      </c>
      <c r="U138" s="153">
        <v>0</v>
      </c>
      <c r="V138" t="e">
        <f>VLOOKUP(A138,'Projetos ciclo 2018-2022'!$I$8:$I$318,1,FALSE)</f>
        <v>#N/A</v>
      </c>
    </row>
    <row r="139" spans="1:22" x14ac:dyDescent="0.25">
      <c r="A139" s="21" t="s">
        <v>1317</v>
      </c>
      <c r="B139" s="154" t="s">
        <v>1318</v>
      </c>
      <c r="C139" s="154" t="s">
        <v>1319</v>
      </c>
      <c r="D139" s="155">
        <v>4964</v>
      </c>
      <c r="E139" s="158">
        <v>0</v>
      </c>
      <c r="F139" s="155">
        <v>4684</v>
      </c>
      <c r="G139" s="158">
        <v>0</v>
      </c>
      <c r="H139" s="155">
        <v>0</v>
      </c>
      <c r="I139" s="158">
        <v>0</v>
      </c>
      <c r="J139" s="155">
        <v>0</v>
      </c>
      <c r="K139" s="158">
        <v>0</v>
      </c>
      <c r="L139" s="155">
        <v>0</v>
      </c>
      <c r="M139" s="158">
        <v>0</v>
      </c>
      <c r="N139" s="155">
        <v>280</v>
      </c>
      <c r="O139" s="158">
        <v>0</v>
      </c>
      <c r="P139" s="155">
        <v>0</v>
      </c>
      <c r="Q139" s="158">
        <v>0</v>
      </c>
      <c r="R139" s="155">
        <v>0</v>
      </c>
      <c r="S139" s="158">
        <v>0</v>
      </c>
      <c r="T139" s="155">
        <v>0</v>
      </c>
      <c r="U139" s="157">
        <v>0</v>
      </c>
      <c r="V139" t="e">
        <f>VLOOKUP(A139,'Projetos ciclo 2018-2022'!$I$8:$I$318,1,FALSE)</f>
        <v>#N/A</v>
      </c>
    </row>
    <row r="140" spans="1:22" x14ac:dyDescent="0.25">
      <c r="A140" s="149" t="s">
        <v>711</v>
      </c>
      <c r="B140" s="150" t="s">
        <v>1320</v>
      </c>
      <c r="C140" s="150" t="s">
        <v>1321</v>
      </c>
      <c r="D140" s="151">
        <v>0</v>
      </c>
      <c r="E140" s="152">
        <v>0</v>
      </c>
      <c r="F140" s="151">
        <v>0</v>
      </c>
      <c r="G140" s="152">
        <v>0</v>
      </c>
      <c r="H140" s="151">
        <v>0</v>
      </c>
      <c r="I140" s="152">
        <v>0</v>
      </c>
      <c r="J140" s="151">
        <v>0</v>
      </c>
      <c r="K140" s="152">
        <v>0</v>
      </c>
      <c r="L140" s="151">
        <v>0</v>
      </c>
      <c r="M140" s="152">
        <v>0</v>
      </c>
      <c r="N140" s="151">
        <v>0</v>
      </c>
      <c r="O140" s="152">
        <v>0</v>
      </c>
      <c r="P140" s="151">
        <v>0</v>
      </c>
      <c r="Q140" s="152">
        <v>0</v>
      </c>
      <c r="R140" s="151">
        <v>0</v>
      </c>
      <c r="S140" s="152">
        <v>0</v>
      </c>
      <c r="T140" s="151">
        <v>0</v>
      </c>
      <c r="U140" s="153">
        <v>0</v>
      </c>
      <c r="V140" t="str">
        <f>VLOOKUP(A140,'Projetos ciclo 2018-2022'!$I$8:$I$318,1,FALSE)</f>
        <v>TI01816</v>
      </c>
    </row>
    <row r="141" spans="1:22" x14ac:dyDescent="0.25">
      <c r="A141" s="21" t="s">
        <v>1462</v>
      </c>
      <c r="B141" s="154" t="s">
        <v>1463</v>
      </c>
      <c r="C141" s="154" t="s">
        <v>1464</v>
      </c>
      <c r="D141" s="155">
        <v>0</v>
      </c>
      <c r="E141" s="158">
        <v>0</v>
      </c>
      <c r="F141" s="155">
        <v>0</v>
      </c>
      <c r="G141" s="158">
        <v>4684</v>
      </c>
      <c r="H141" s="155">
        <v>0</v>
      </c>
      <c r="I141" s="158">
        <v>0</v>
      </c>
      <c r="J141" s="155">
        <v>0</v>
      </c>
      <c r="K141" s="158">
        <v>0</v>
      </c>
      <c r="L141" s="155">
        <v>4565.14697265625</v>
      </c>
      <c r="M141" s="158">
        <v>4565.14697265625</v>
      </c>
      <c r="N141" s="155">
        <v>0</v>
      </c>
      <c r="O141" s="158">
        <v>0</v>
      </c>
      <c r="P141" s="155">
        <v>0</v>
      </c>
      <c r="Q141" s="158">
        <v>0</v>
      </c>
      <c r="R141" s="155">
        <v>0</v>
      </c>
      <c r="S141" s="158">
        <v>0</v>
      </c>
      <c r="T141" s="155">
        <v>0</v>
      </c>
      <c r="U141" s="157">
        <v>0</v>
      </c>
      <c r="V141" t="str">
        <f>VLOOKUP(A141,'Projetos ciclo 2018-2022'!$I$8:$I$318,1,FALSE)</f>
        <v>TI04318</v>
      </c>
    </row>
    <row r="142" spans="1:22" x14ac:dyDescent="0.25">
      <c r="A142" s="149" t="s">
        <v>1523</v>
      </c>
      <c r="B142" s="150" t="s">
        <v>1524</v>
      </c>
      <c r="C142" s="150" t="s">
        <v>1525</v>
      </c>
      <c r="D142" s="151">
        <v>0</v>
      </c>
      <c r="E142" s="152">
        <v>0</v>
      </c>
      <c r="F142" s="151">
        <v>0</v>
      </c>
      <c r="G142" s="152">
        <v>55</v>
      </c>
      <c r="H142" s="151">
        <v>0</v>
      </c>
      <c r="I142" s="152">
        <v>46.814499855041504</v>
      </c>
      <c r="J142" s="151">
        <v>0</v>
      </c>
      <c r="K142" s="152">
        <v>46.814499855041504</v>
      </c>
      <c r="L142" s="151">
        <v>5.0538201332092285</v>
      </c>
      <c r="M142" s="152">
        <v>51.868319988250732</v>
      </c>
      <c r="N142" s="151">
        <v>0</v>
      </c>
      <c r="O142" s="152">
        <v>0</v>
      </c>
      <c r="P142" s="151">
        <v>0</v>
      </c>
      <c r="Q142" s="152">
        <v>0</v>
      </c>
      <c r="R142" s="151">
        <v>0</v>
      </c>
      <c r="S142" s="152">
        <v>0</v>
      </c>
      <c r="T142" s="151">
        <v>0</v>
      </c>
      <c r="U142" s="153">
        <v>0</v>
      </c>
      <c r="V142" t="str">
        <f>VLOOKUP(A142,'Projetos ciclo 2018-2022'!$I$8:$I$318,1,FALSE)</f>
        <v>3211/12</v>
      </c>
    </row>
    <row r="143" spans="1:22" x14ac:dyDescent="0.25">
      <c r="A143" s="21" t="s">
        <v>1194</v>
      </c>
      <c r="B143" s="154" t="s">
        <v>1322</v>
      </c>
      <c r="C143" s="154" t="s">
        <v>59</v>
      </c>
      <c r="D143" s="155">
        <v>0</v>
      </c>
      <c r="E143" s="158">
        <v>0</v>
      </c>
      <c r="F143" s="155">
        <v>0</v>
      </c>
      <c r="G143" s="158">
        <v>0</v>
      </c>
      <c r="H143" s="155">
        <v>0</v>
      </c>
      <c r="I143" s="158">
        <v>0</v>
      </c>
      <c r="J143" s="155">
        <v>0</v>
      </c>
      <c r="K143" s="158">
        <v>0</v>
      </c>
      <c r="L143" s="155">
        <v>0</v>
      </c>
      <c r="M143" s="158">
        <v>0</v>
      </c>
      <c r="N143" s="155">
        <v>0</v>
      </c>
      <c r="O143" s="158">
        <v>0</v>
      </c>
      <c r="P143" s="155">
        <v>0</v>
      </c>
      <c r="Q143" s="158">
        <v>0</v>
      </c>
      <c r="R143" s="155">
        <v>0</v>
      </c>
      <c r="S143" s="158">
        <v>0</v>
      </c>
      <c r="T143" s="155">
        <v>0</v>
      </c>
      <c r="U143" s="157">
        <v>0</v>
      </c>
      <c r="V143" t="e">
        <f>VLOOKUP(A143,'Projetos ciclo 2018-2022'!$I$8:$I$318,1,FALSE)</f>
        <v>#N/A</v>
      </c>
    </row>
    <row r="144" spans="1:22" x14ac:dyDescent="0.25">
      <c r="A144" s="149" t="s">
        <v>1196</v>
      </c>
      <c r="B144" s="150" t="s">
        <v>1197</v>
      </c>
      <c r="C144" s="150" t="s">
        <v>59</v>
      </c>
      <c r="D144" s="151">
        <v>0</v>
      </c>
      <c r="E144" s="152">
        <v>0</v>
      </c>
      <c r="F144" s="151">
        <v>0</v>
      </c>
      <c r="G144" s="152">
        <v>0</v>
      </c>
      <c r="H144" s="151">
        <v>0</v>
      </c>
      <c r="I144" s="152">
        <v>0</v>
      </c>
      <c r="J144" s="151">
        <v>0</v>
      </c>
      <c r="K144" s="152">
        <v>0</v>
      </c>
      <c r="L144" s="151">
        <v>0</v>
      </c>
      <c r="M144" s="152">
        <v>0</v>
      </c>
      <c r="N144" s="151">
        <v>0</v>
      </c>
      <c r="O144" s="152">
        <v>0</v>
      </c>
      <c r="P144" s="151">
        <v>0</v>
      </c>
      <c r="Q144" s="152">
        <v>0</v>
      </c>
      <c r="R144" s="151">
        <v>0</v>
      </c>
      <c r="S144" s="152">
        <v>0</v>
      </c>
      <c r="T144" s="151">
        <v>0</v>
      </c>
      <c r="U144" s="153">
        <v>0</v>
      </c>
      <c r="V144" t="e">
        <f>VLOOKUP(A144,'Projetos ciclo 2018-2022'!$I$8:$I$318,1,FALSE)</f>
        <v>#N/A</v>
      </c>
    </row>
    <row r="145" spans="1:22" x14ac:dyDescent="0.25">
      <c r="A145" s="21" t="s">
        <v>565</v>
      </c>
      <c r="B145" s="154" t="s">
        <v>1323</v>
      </c>
      <c r="C145" s="154" t="s">
        <v>59</v>
      </c>
      <c r="D145" s="155">
        <v>117670</v>
      </c>
      <c r="E145" s="158">
        <v>0</v>
      </c>
      <c r="F145" s="155">
        <v>0</v>
      </c>
      <c r="G145" s="158">
        <v>0</v>
      </c>
      <c r="H145" s="155">
        <v>0</v>
      </c>
      <c r="I145" s="158">
        <v>0</v>
      </c>
      <c r="J145" s="155">
        <v>0</v>
      </c>
      <c r="K145" s="158">
        <v>0</v>
      </c>
      <c r="L145" s="155">
        <v>0</v>
      </c>
      <c r="M145" s="158">
        <v>0</v>
      </c>
      <c r="N145" s="155">
        <v>32896</v>
      </c>
      <c r="O145" s="158">
        <v>39225</v>
      </c>
      <c r="P145" s="155">
        <v>19202</v>
      </c>
      <c r="Q145" s="158">
        <v>26347</v>
      </c>
      <c r="R145" s="155">
        <v>0</v>
      </c>
      <c r="S145" s="158">
        <v>0</v>
      </c>
      <c r="T145" s="155">
        <v>0</v>
      </c>
      <c r="U145" s="157">
        <v>0</v>
      </c>
      <c r="V145" t="str">
        <f>VLOOKUP(A145,'Projetos ciclo 2018-2022'!$I$8:$I$318,1,FALSE)</f>
        <v>NA</v>
      </c>
    </row>
    <row r="146" spans="1:22" x14ac:dyDescent="0.25">
      <c r="A146" s="149" t="s">
        <v>1199</v>
      </c>
      <c r="B146" s="150" t="s">
        <v>1200</v>
      </c>
      <c r="C146" s="150" t="s">
        <v>59</v>
      </c>
      <c r="D146" s="151">
        <v>0</v>
      </c>
      <c r="E146" s="152">
        <v>0</v>
      </c>
      <c r="F146" s="151">
        <v>0</v>
      </c>
      <c r="G146" s="152">
        <v>0</v>
      </c>
      <c r="H146" s="151">
        <v>0</v>
      </c>
      <c r="I146" s="152">
        <v>0</v>
      </c>
      <c r="J146" s="151">
        <v>0</v>
      </c>
      <c r="K146" s="152">
        <v>0</v>
      </c>
      <c r="L146" s="151">
        <v>0</v>
      </c>
      <c r="M146" s="152">
        <v>0</v>
      </c>
      <c r="N146" s="151">
        <v>0</v>
      </c>
      <c r="O146" s="152">
        <v>0</v>
      </c>
      <c r="P146" s="151">
        <v>0</v>
      </c>
      <c r="Q146" s="152">
        <v>0</v>
      </c>
      <c r="R146" s="151">
        <v>0</v>
      </c>
      <c r="S146" s="152">
        <v>0</v>
      </c>
      <c r="T146" s="151">
        <v>0</v>
      </c>
      <c r="U146" s="153">
        <v>0</v>
      </c>
      <c r="V146" t="e">
        <f>VLOOKUP(A146,'Projetos ciclo 2018-2022'!$I$8:$I$318,1,FALSE)</f>
        <v>#N/A</v>
      </c>
    </row>
    <row r="147" spans="1:22" x14ac:dyDescent="0.25">
      <c r="A147" s="21" t="s">
        <v>1136</v>
      </c>
      <c r="B147" s="154" t="s">
        <v>1210</v>
      </c>
      <c r="C147" s="154" t="s">
        <v>1324</v>
      </c>
      <c r="D147" s="155">
        <v>0</v>
      </c>
      <c r="E147" s="158">
        <v>0</v>
      </c>
      <c r="F147" s="155">
        <v>0</v>
      </c>
      <c r="G147" s="158">
        <v>479</v>
      </c>
      <c r="H147" s="155">
        <v>0</v>
      </c>
      <c r="I147" s="158">
        <v>479.32675170898437</v>
      </c>
      <c r="J147" s="155">
        <v>0</v>
      </c>
      <c r="K147" s="158">
        <v>479.32675170898437</v>
      </c>
      <c r="L147" s="155">
        <v>0</v>
      </c>
      <c r="M147" s="158">
        <v>479.32675170898437</v>
      </c>
      <c r="N147" s="155">
        <v>0</v>
      </c>
      <c r="O147" s="158">
        <v>0</v>
      </c>
      <c r="P147" s="155">
        <v>0</v>
      </c>
      <c r="Q147" s="158">
        <v>0</v>
      </c>
      <c r="R147" s="155">
        <v>0</v>
      </c>
      <c r="S147" s="158">
        <v>0</v>
      </c>
      <c r="T147" s="155">
        <v>0</v>
      </c>
      <c r="U147" s="157">
        <v>0</v>
      </c>
      <c r="V147" t="str">
        <f>VLOOKUP(A147,'Projetos ciclo 2018-2022'!$I$8:$I$318,1,FALSE)</f>
        <v>TI00118</v>
      </c>
    </row>
    <row r="148" spans="1:22" x14ac:dyDescent="0.25">
      <c r="A148" s="149" t="s">
        <v>1177</v>
      </c>
      <c r="B148" s="150" t="s">
        <v>1179</v>
      </c>
      <c r="C148" s="150" t="s">
        <v>1178</v>
      </c>
      <c r="D148" s="151">
        <v>0</v>
      </c>
      <c r="E148" s="152">
        <v>0</v>
      </c>
      <c r="F148" s="151">
        <v>0</v>
      </c>
      <c r="G148" s="152">
        <v>14</v>
      </c>
      <c r="H148" s="151">
        <v>0</v>
      </c>
      <c r="I148" s="152">
        <v>14.010740280151367</v>
      </c>
      <c r="J148" s="151">
        <v>0</v>
      </c>
      <c r="K148" s="152">
        <v>14.010740280151367</v>
      </c>
      <c r="L148" s="151">
        <v>0</v>
      </c>
      <c r="M148" s="152">
        <v>14.010740280151367</v>
      </c>
      <c r="N148" s="151">
        <v>0</v>
      </c>
      <c r="O148" s="152">
        <v>0</v>
      </c>
      <c r="P148" s="151">
        <v>0</v>
      </c>
      <c r="Q148" s="152">
        <v>0</v>
      </c>
      <c r="R148" s="151">
        <v>0</v>
      </c>
      <c r="S148" s="152">
        <v>0</v>
      </c>
      <c r="T148" s="151">
        <v>0</v>
      </c>
      <c r="U148" s="153">
        <v>0</v>
      </c>
      <c r="V148" t="str">
        <f>VLOOKUP(A148,'Projetos ciclo 2018-2022'!$I$8:$I$318,1,FALSE)</f>
        <v>TI00216</v>
      </c>
    </row>
    <row r="149" spans="1:22" x14ac:dyDescent="0.25">
      <c r="A149" s="21" t="s">
        <v>1185</v>
      </c>
      <c r="B149" s="154" t="s">
        <v>1187</v>
      </c>
      <c r="C149" s="154" t="s">
        <v>1186</v>
      </c>
      <c r="D149" s="155">
        <v>0</v>
      </c>
      <c r="E149" s="158">
        <v>0</v>
      </c>
      <c r="F149" s="155">
        <v>0</v>
      </c>
      <c r="G149" s="158">
        <v>10</v>
      </c>
      <c r="H149" s="155">
        <v>0</v>
      </c>
      <c r="I149" s="158">
        <v>9.5870800018310547</v>
      </c>
      <c r="J149" s="155">
        <v>0</v>
      </c>
      <c r="K149" s="158">
        <v>9.5870800018310547</v>
      </c>
      <c r="L149" s="155">
        <v>0</v>
      </c>
      <c r="M149" s="158">
        <v>9.5870800018310547</v>
      </c>
      <c r="N149" s="155">
        <v>0</v>
      </c>
      <c r="O149" s="158">
        <v>0</v>
      </c>
      <c r="P149" s="155">
        <v>0</v>
      </c>
      <c r="Q149" s="158">
        <v>0</v>
      </c>
      <c r="R149" s="155">
        <v>0</v>
      </c>
      <c r="S149" s="158">
        <v>0</v>
      </c>
      <c r="T149" s="155">
        <v>0</v>
      </c>
      <c r="U149" s="157">
        <v>0</v>
      </c>
      <c r="V149" t="str">
        <f>VLOOKUP(A149,'Projetos ciclo 2018-2022'!$I$8:$I$318,1,FALSE)</f>
        <v>TI00316</v>
      </c>
    </row>
    <row r="150" spans="1:22" x14ac:dyDescent="0.25">
      <c r="A150" s="149" t="s">
        <v>1181</v>
      </c>
      <c r="B150" s="150" t="s">
        <v>1183</v>
      </c>
      <c r="C150" s="150" t="s">
        <v>1182</v>
      </c>
      <c r="D150" s="151">
        <v>0</v>
      </c>
      <c r="E150" s="152">
        <v>0</v>
      </c>
      <c r="F150" s="151">
        <v>0</v>
      </c>
      <c r="G150" s="152">
        <v>11</v>
      </c>
      <c r="H150" s="151">
        <v>0</v>
      </c>
      <c r="I150" s="152">
        <v>10.502650260925293</v>
      </c>
      <c r="J150" s="151">
        <v>0</v>
      </c>
      <c r="K150" s="152">
        <v>10.502650260925293</v>
      </c>
      <c r="L150" s="151">
        <v>0</v>
      </c>
      <c r="M150" s="152">
        <v>10.502650260925293</v>
      </c>
      <c r="N150" s="151">
        <v>0</v>
      </c>
      <c r="O150" s="152">
        <v>0</v>
      </c>
      <c r="P150" s="151">
        <v>0</v>
      </c>
      <c r="Q150" s="152">
        <v>0</v>
      </c>
      <c r="R150" s="151">
        <v>0</v>
      </c>
      <c r="S150" s="152">
        <v>0</v>
      </c>
      <c r="T150" s="151">
        <v>0</v>
      </c>
      <c r="U150" s="153">
        <v>0</v>
      </c>
      <c r="V150" t="str">
        <f>VLOOKUP(A150,'Projetos ciclo 2018-2022'!$I$8:$I$318,1,FALSE)</f>
        <v>TI00416</v>
      </c>
    </row>
    <row r="151" spans="1:22" x14ac:dyDescent="0.25">
      <c r="A151" s="21" t="s">
        <v>758</v>
      </c>
      <c r="B151" s="154" t="s">
        <v>1325</v>
      </c>
      <c r="C151" s="154" t="s">
        <v>1326</v>
      </c>
      <c r="D151" s="155">
        <v>0</v>
      </c>
      <c r="E151" s="158">
        <v>0</v>
      </c>
      <c r="F151" s="155">
        <v>0</v>
      </c>
      <c r="G151" s="158">
        <v>102</v>
      </c>
      <c r="H151" s="155">
        <v>0</v>
      </c>
      <c r="I151" s="158">
        <v>101.37385904788971</v>
      </c>
      <c r="J151" s="155">
        <v>0</v>
      </c>
      <c r="K151" s="158">
        <v>101.37385904788971</v>
      </c>
      <c r="L151" s="155">
        <v>0</v>
      </c>
      <c r="M151" s="158">
        <v>101.37385904788971</v>
      </c>
      <c r="N151" s="155">
        <v>0</v>
      </c>
      <c r="O151" s="158">
        <v>0</v>
      </c>
      <c r="P151" s="155">
        <v>0</v>
      </c>
      <c r="Q151" s="158">
        <v>0</v>
      </c>
      <c r="R151" s="155">
        <v>0</v>
      </c>
      <c r="S151" s="158">
        <v>0</v>
      </c>
      <c r="T151" s="155">
        <v>0</v>
      </c>
      <c r="U151" s="157">
        <v>0</v>
      </c>
      <c r="V151" t="str">
        <f>VLOOKUP(A151,'Projetos ciclo 2018-2022'!$I$8:$I$318,1,FALSE)</f>
        <v>TI00417</v>
      </c>
    </row>
    <row r="152" spans="1:22" x14ac:dyDescent="0.25">
      <c r="A152" s="149" t="s">
        <v>757</v>
      </c>
      <c r="B152" s="150" t="s">
        <v>341</v>
      </c>
      <c r="C152" s="150" t="s">
        <v>1330</v>
      </c>
      <c r="D152" s="151">
        <v>0</v>
      </c>
      <c r="E152" s="152">
        <v>0</v>
      </c>
      <c r="F152" s="151">
        <v>0</v>
      </c>
      <c r="G152" s="152">
        <v>122</v>
      </c>
      <c r="H152" s="151">
        <v>0</v>
      </c>
      <c r="I152" s="152">
        <v>103.01386070251465</v>
      </c>
      <c r="J152" s="151">
        <v>0</v>
      </c>
      <c r="K152" s="152">
        <v>103.01386070251465</v>
      </c>
      <c r="L152" s="151">
        <v>0</v>
      </c>
      <c r="M152" s="152">
        <v>103.01386070251465</v>
      </c>
      <c r="N152" s="151">
        <v>0</v>
      </c>
      <c r="O152" s="152">
        <v>0</v>
      </c>
      <c r="P152" s="151">
        <v>0</v>
      </c>
      <c r="Q152" s="152">
        <v>0</v>
      </c>
      <c r="R152" s="151">
        <v>0</v>
      </c>
      <c r="S152" s="152">
        <v>0</v>
      </c>
      <c r="T152" s="151">
        <v>0</v>
      </c>
      <c r="U152" s="153">
        <v>0</v>
      </c>
      <c r="V152" t="str">
        <f>VLOOKUP(A152,'Projetos ciclo 2018-2022'!$I$8:$I$318,1,FALSE)</f>
        <v>TI00517</v>
      </c>
    </row>
    <row r="153" spans="1:22" x14ac:dyDescent="0.25">
      <c r="A153" s="21" t="s">
        <v>755</v>
      </c>
      <c r="B153" s="154" t="s">
        <v>1331</v>
      </c>
      <c r="C153" s="154" t="s">
        <v>1332</v>
      </c>
      <c r="D153" s="155">
        <v>0</v>
      </c>
      <c r="E153" s="158">
        <v>0</v>
      </c>
      <c r="F153" s="155">
        <v>0</v>
      </c>
      <c r="G153" s="158">
        <v>440</v>
      </c>
      <c r="H153" s="155">
        <v>0</v>
      </c>
      <c r="I153" s="158">
        <v>204.41652679443359</v>
      </c>
      <c r="J153" s="155">
        <v>0</v>
      </c>
      <c r="K153" s="158">
        <v>204.41652679443359</v>
      </c>
      <c r="L153" s="155">
        <v>233.74465942382812</v>
      </c>
      <c r="M153" s="158">
        <v>438.16118621826172</v>
      </c>
      <c r="N153" s="155">
        <v>0</v>
      </c>
      <c r="O153" s="158">
        <v>0</v>
      </c>
      <c r="P153" s="155">
        <v>0</v>
      </c>
      <c r="Q153" s="158">
        <v>0</v>
      </c>
      <c r="R153" s="155">
        <v>0</v>
      </c>
      <c r="S153" s="158">
        <v>0</v>
      </c>
      <c r="T153" s="155">
        <v>0</v>
      </c>
      <c r="U153" s="157">
        <v>0</v>
      </c>
      <c r="V153" t="str">
        <f>VLOOKUP(A153,'Projetos ciclo 2018-2022'!$I$8:$I$318,1,FALSE)</f>
        <v>TI00617</v>
      </c>
    </row>
    <row r="154" spans="1:22" x14ac:dyDescent="0.25">
      <c r="A154" s="149" t="s">
        <v>1336</v>
      </c>
      <c r="B154" s="150" t="s">
        <v>823</v>
      </c>
      <c r="C154" s="150" t="s">
        <v>1337</v>
      </c>
      <c r="D154" s="151">
        <v>0</v>
      </c>
      <c r="E154" s="152">
        <v>0</v>
      </c>
      <c r="F154" s="151">
        <v>0</v>
      </c>
      <c r="G154" s="152">
        <v>0</v>
      </c>
      <c r="H154" s="151">
        <v>0</v>
      </c>
      <c r="I154" s="152">
        <v>0</v>
      </c>
      <c r="J154" s="151">
        <v>0</v>
      </c>
      <c r="K154" s="152">
        <v>0</v>
      </c>
      <c r="L154" s="151">
        <v>0</v>
      </c>
      <c r="M154" s="152">
        <v>0</v>
      </c>
      <c r="N154" s="151">
        <v>0</v>
      </c>
      <c r="O154" s="152">
        <v>0</v>
      </c>
      <c r="P154" s="151">
        <v>0</v>
      </c>
      <c r="Q154" s="152">
        <v>0</v>
      </c>
      <c r="R154" s="151">
        <v>0</v>
      </c>
      <c r="S154" s="152">
        <v>0</v>
      </c>
      <c r="T154" s="151">
        <v>0</v>
      </c>
      <c r="U154" s="153">
        <v>0</v>
      </c>
      <c r="V154" t="str">
        <f>VLOOKUP(A154,'Projetos ciclo 2018-2022'!$I$8:$I$318,1,FALSE)</f>
        <v>TI00818</v>
      </c>
    </row>
    <row r="155" spans="1:22" x14ac:dyDescent="0.25">
      <c r="A155" s="21" t="s">
        <v>1189</v>
      </c>
      <c r="B155" s="154" t="s">
        <v>1338</v>
      </c>
      <c r="C155" s="154" t="s">
        <v>1190</v>
      </c>
      <c r="D155" s="155">
        <v>0</v>
      </c>
      <c r="E155" s="158">
        <v>0</v>
      </c>
      <c r="F155" s="155">
        <v>0</v>
      </c>
      <c r="G155" s="158">
        <v>1</v>
      </c>
      <c r="H155" s="155">
        <v>0</v>
      </c>
      <c r="I155" s="158">
        <v>0.70901525020599365</v>
      </c>
      <c r="J155" s="155">
        <v>0</v>
      </c>
      <c r="K155" s="158">
        <v>0.70901525020599365</v>
      </c>
      <c r="L155" s="155">
        <v>0</v>
      </c>
      <c r="M155" s="158">
        <v>0.70901525020599365</v>
      </c>
      <c r="N155" s="155">
        <v>0</v>
      </c>
      <c r="O155" s="158">
        <v>0</v>
      </c>
      <c r="P155" s="155">
        <v>0</v>
      </c>
      <c r="Q155" s="158">
        <v>0</v>
      </c>
      <c r="R155" s="155">
        <v>0</v>
      </c>
      <c r="S155" s="158">
        <v>0</v>
      </c>
      <c r="T155" s="155">
        <v>0</v>
      </c>
      <c r="U155" s="157">
        <v>0</v>
      </c>
      <c r="V155" t="str">
        <f>VLOOKUP(A155,'Projetos ciclo 2018-2022'!$I$8:$I$318,1,FALSE)</f>
        <v>TI00914</v>
      </c>
    </row>
    <row r="156" spans="1:22" x14ac:dyDescent="0.25">
      <c r="A156" s="149" t="s">
        <v>1339</v>
      </c>
      <c r="B156" s="150" t="s">
        <v>1003</v>
      </c>
      <c r="C156" s="150" t="s">
        <v>1340</v>
      </c>
      <c r="D156" s="151">
        <v>0</v>
      </c>
      <c r="E156" s="152">
        <v>0</v>
      </c>
      <c r="F156" s="151">
        <v>0</v>
      </c>
      <c r="G156" s="152">
        <v>0</v>
      </c>
      <c r="H156" s="151">
        <v>0</v>
      </c>
      <c r="I156" s="152">
        <v>0</v>
      </c>
      <c r="J156" s="151">
        <v>0</v>
      </c>
      <c r="K156" s="152">
        <v>0</v>
      </c>
      <c r="L156" s="151">
        <v>0</v>
      </c>
      <c r="M156" s="152">
        <v>0</v>
      </c>
      <c r="N156" s="151">
        <v>0</v>
      </c>
      <c r="O156" s="152">
        <v>0</v>
      </c>
      <c r="P156" s="151">
        <v>0</v>
      </c>
      <c r="Q156" s="152">
        <v>0</v>
      </c>
      <c r="R156" s="151">
        <v>0</v>
      </c>
      <c r="S156" s="152">
        <v>0</v>
      </c>
      <c r="T156" s="151">
        <v>0</v>
      </c>
      <c r="U156" s="153">
        <v>0</v>
      </c>
      <c r="V156" t="str">
        <f>VLOOKUP(A156,'Projetos ciclo 2018-2022'!$I$8:$I$318,1,FALSE)</f>
        <v>TI00918</v>
      </c>
    </row>
    <row r="157" spans="1:22" x14ac:dyDescent="0.25">
      <c r="A157" s="21" t="s">
        <v>564</v>
      </c>
      <c r="B157" s="154" t="s">
        <v>1341</v>
      </c>
      <c r="C157" s="154" t="s">
        <v>1342</v>
      </c>
      <c r="D157" s="155">
        <v>0</v>
      </c>
      <c r="E157" s="158">
        <v>0</v>
      </c>
      <c r="F157" s="155">
        <v>0</v>
      </c>
      <c r="G157" s="158">
        <v>2954</v>
      </c>
      <c r="H157" s="155">
        <v>0</v>
      </c>
      <c r="I157" s="158">
        <v>199.91008186340332</v>
      </c>
      <c r="J157" s="155">
        <v>0</v>
      </c>
      <c r="K157" s="158">
        <v>199.91008186340332</v>
      </c>
      <c r="L157" s="155">
        <v>713.10650634765625</v>
      </c>
      <c r="M157" s="158">
        <v>913.01658821105957</v>
      </c>
      <c r="N157" s="155">
        <v>0</v>
      </c>
      <c r="O157" s="158">
        <v>0</v>
      </c>
      <c r="P157" s="155">
        <v>0</v>
      </c>
      <c r="Q157" s="158">
        <v>0</v>
      </c>
      <c r="R157" s="155">
        <v>0</v>
      </c>
      <c r="S157" s="158">
        <v>0</v>
      </c>
      <c r="T157" s="155">
        <v>0</v>
      </c>
      <c r="U157" s="157">
        <v>0</v>
      </c>
      <c r="V157" t="str">
        <f>VLOOKUP(A157,'Projetos ciclo 2018-2022'!$I$8:$I$318,1,FALSE)</f>
        <v>TI01016</v>
      </c>
    </row>
    <row r="158" spans="1:22" x14ac:dyDescent="0.25">
      <c r="A158" s="149" t="s">
        <v>1343</v>
      </c>
      <c r="B158" s="150" t="s">
        <v>1344</v>
      </c>
      <c r="C158" s="150" t="s">
        <v>1345</v>
      </c>
      <c r="D158" s="151">
        <v>0</v>
      </c>
      <c r="E158" s="152">
        <v>0</v>
      </c>
      <c r="F158" s="151">
        <v>0</v>
      </c>
      <c r="G158" s="152">
        <v>0</v>
      </c>
      <c r="H158" s="151">
        <v>0</v>
      </c>
      <c r="I158" s="152">
        <v>0</v>
      </c>
      <c r="J158" s="151">
        <v>0</v>
      </c>
      <c r="K158" s="152">
        <v>0</v>
      </c>
      <c r="L158" s="151">
        <v>0</v>
      </c>
      <c r="M158" s="152">
        <v>0</v>
      </c>
      <c r="N158" s="151">
        <v>0</v>
      </c>
      <c r="O158" s="152">
        <v>0</v>
      </c>
      <c r="P158" s="151">
        <v>0</v>
      </c>
      <c r="Q158" s="152">
        <v>0</v>
      </c>
      <c r="R158" s="151">
        <v>0</v>
      </c>
      <c r="S158" s="152">
        <v>0</v>
      </c>
      <c r="T158" s="151">
        <v>0</v>
      </c>
      <c r="U158" s="153">
        <v>0</v>
      </c>
      <c r="V158" t="str">
        <f>VLOOKUP(A158,'Projetos ciclo 2018-2022'!$I$8:$I$318,1,FALSE)</f>
        <v>TI01018</v>
      </c>
    </row>
    <row r="159" spans="1:22" x14ac:dyDescent="0.25">
      <c r="A159" s="21" t="s">
        <v>1167</v>
      </c>
      <c r="B159" s="154" t="s">
        <v>1346</v>
      </c>
      <c r="C159" s="154" t="s">
        <v>1168</v>
      </c>
      <c r="D159" s="155">
        <v>0</v>
      </c>
      <c r="E159" s="158">
        <v>0</v>
      </c>
      <c r="F159" s="155">
        <v>0</v>
      </c>
      <c r="G159" s="158">
        <v>1606</v>
      </c>
      <c r="H159" s="155">
        <v>0</v>
      </c>
      <c r="I159" s="158">
        <v>1236.459716796875</v>
      </c>
      <c r="J159" s="155">
        <v>0</v>
      </c>
      <c r="K159" s="158">
        <v>1236.459716796875</v>
      </c>
      <c r="L159" s="155">
        <v>0</v>
      </c>
      <c r="M159" s="158">
        <v>1236.459716796875</v>
      </c>
      <c r="N159" s="155">
        <v>0</v>
      </c>
      <c r="O159" s="158">
        <v>0</v>
      </c>
      <c r="P159" s="155">
        <v>0</v>
      </c>
      <c r="Q159" s="158">
        <v>0</v>
      </c>
      <c r="R159" s="155">
        <v>0</v>
      </c>
      <c r="S159" s="158">
        <v>0</v>
      </c>
      <c r="T159" s="155">
        <v>0</v>
      </c>
      <c r="U159" s="157">
        <v>0</v>
      </c>
      <c r="V159" t="str">
        <f>VLOOKUP(A159,'Projetos ciclo 2018-2022'!$I$8:$I$318,1,FALSE)</f>
        <v>TI01118</v>
      </c>
    </row>
    <row r="160" spans="1:22" x14ac:dyDescent="0.25">
      <c r="A160" s="149" t="s">
        <v>1350</v>
      </c>
      <c r="B160" s="150" t="s">
        <v>1351</v>
      </c>
      <c r="C160" s="150" t="s">
        <v>1352</v>
      </c>
      <c r="D160" s="151">
        <v>0</v>
      </c>
      <c r="E160" s="152">
        <v>0</v>
      </c>
      <c r="F160" s="151">
        <v>0</v>
      </c>
      <c r="G160" s="152">
        <v>0</v>
      </c>
      <c r="H160" s="151">
        <v>0</v>
      </c>
      <c r="I160" s="152">
        <v>0</v>
      </c>
      <c r="J160" s="151">
        <v>0</v>
      </c>
      <c r="K160" s="152">
        <v>0</v>
      </c>
      <c r="L160" s="151">
        <v>0</v>
      </c>
      <c r="M160" s="152">
        <v>0</v>
      </c>
      <c r="N160" s="151">
        <v>0</v>
      </c>
      <c r="O160" s="152">
        <v>0</v>
      </c>
      <c r="P160" s="151">
        <v>0</v>
      </c>
      <c r="Q160" s="152">
        <v>0</v>
      </c>
      <c r="R160" s="151">
        <v>0</v>
      </c>
      <c r="S160" s="152">
        <v>0</v>
      </c>
      <c r="T160" s="151">
        <v>0</v>
      </c>
      <c r="U160" s="153">
        <v>0</v>
      </c>
      <c r="V160" t="str">
        <f>VLOOKUP(A160,'Projetos ciclo 2018-2022'!$I$8:$I$318,1,FALSE)</f>
        <v>TI01218</v>
      </c>
    </row>
    <row r="161" spans="1:22" x14ac:dyDescent="0.25">
      <c r="A161" s="21" t="s">
        <v>759</v>
      </c>
      <c r="B161" s="154" t="s">
        <v>347</v>
      </c>
      <c r="C161" s="154" t="s">
        <v>1353</v>
      </c>
      <c r="D161" s="155">
        <v>0</v>
      </c>
      <c r="E161" s="158">
        <v>0</v>
      </c>
      <c r="F161" s="155">
        <v>0</v>
      </c>
      <c r="G161" s="158">
        <v>217</v>
      </c>
      <c r="H161" s="155">
        <v>0</v>
      </c>
      <c r="I161" s="158">
        <v>170.73672103881836</v>
      </c>
      <c r="J161" s="155">
        <v>0</v>
      </c>
      <c r="K161" s="158">
        <v>170.73672103881836</v>
      </c>
      <c r="L161" s="155">
        <v>27.19849967956543</v>
      </c>
      <c r="M161" s="158">
        <v>197.93522071838379</v>
      </c>
      <c r="N161" s="155">
        <v>0</v>
      </c>
      <c r="O161" s="158">
        <v>0</v>
      </c>
      <c r="P161" s="155">
        <v>0</v>
      </c>
      <c r="Q161" s="158">
        <v>0</v>
      </c>
      <c r="R161" s="155">
        <v>0</v>
      </c>
      <c r="S161" s="158">
        <v>0</v>
      </c>
      <c r="T161" s="155">
        <v>0</v>
      </c>
      <c r="U161" s="157">
        <v>0</v>
      </c>
      <c r="V161" t="str">
        <f>VLOOKUP(A161,'Projetos ciclo 2018-2022'!$I$8:$I$318,1,FALSE)</f>
        <v>TI01317</v>
      </c>
    </row>
    <row r="162" spans="1:22" x14ac:dyDescent="0.25">
      <c r="A162" s="149" t="s">
        <v>1354</v>
      </c>
      <c r="B162" s="150" t="s">
        <v>1355</v>
      </c>
      <c r="C162" s="150" t="s">
        <v>1356</v>
      </c>
      <c r="D162" s="151">
        <v>86425</v>
      </c>
      <c r="E162" s="152">
        <v>0</v>
      </c>
      <c r="F162" s="151">
        <v>54226</v>
      </c>
      <c r="G162" s="152">
        <v>0</v>
      </c>
      <c r="H162" s="151">
        <v>12373</v>
      </c>
      <c r="I162" s="152">
        <v>0</v>
      </c>
      <c r="J162" s="151">
        <v>0</v>
      </c>
      <c r="K162" s="152">
        <v>0</v>
      </c>
      <c r="L162" s="151">
        <v>0</v>
      </c>
      <c r="M162" s="152">
        <v>0</v>
      </c>
      <c r="N162" s="151">
        <v>18415</v>
      </c>
      <c r="O162" s="152">
        <v>10396</v>
      </c>
      <c r="P162" s="151">
        <v>3388</v>
      </c>
      <c r="Q162" s="152">
        <v>0</v>
      </c>
      <c r="R162" s="151">
        <v>0</v>
      </c>
      <c r="S162" s="152">
        <v>0</v>
      </c>
      <c r="T162" s="151">
        <v>0</v>
      </c>
      <c r="U162" s="153">
        <v>0</v>
      </c>
      <c r="V162" t="e">
        <f>VLOOKUP(A162,'Projetos ciclo 2018-2022'!$I$8:$I$318,1,FALSE)</f>
        <v>#N/A</v>
      </c>
    </row>
    <row r="163" spans="1:22" x14ac:dyDescent="0.25">
      <c r="A163" s="21" t="s">
        <v>752</v>
      </c>
      <c r="B163" s="154" t="s">
        <v>329</v>
      </c>
      <c r="C163" s="154" t="s">
        <v>1360</v>
      </c>
      <c r="D163" s="155">
        <v>0</v>
      </c>
      <c r="E163" s="158">
        <v>0</v>
      </c>
      <c r="F163" s="155">
        <v>0</v>
      </c>
      <c r="G163" s="158">
        <v>8350</v>
      </c>
      <c r="H163" s="155">
        <v>0</v>
      </c>
      <c r="I163" s="158">
        <v>4816.0257956981659</v>
      </c>
      <c r="J163" s="155">
        <v>0</v>
      </c>
      <c r="K163" s="158">
        <v>4816.0257956981659</v>
      </c>
      <c r="L163" s="155">
        <v>3214.4389572143555</v>
      </c>
      <c r="M163" s="158">
        <v>8030.4647529125214</v>
      </c>
      <c r="N163" s="155">
        <v>0</v>
      </c>
      <c r="O163" s="158">
        <v>0</v>
      </c>
      <c r="P163" s="155">
        <v>0</v>
      </c>
      <c r="Q163" s="158">
        <v>0</v>
      </c>
      <c r="R163" s="155">
        <v>0</v>
      </c>
      <c r="S163" s="158">
        <v>0</v>
      </c>
      <c r="T163" s="155">
        <v>0</v>
      </c>
      <c r="U163" s="157">
        <v>0</v>
      </c>
      <c r="V163" t="str">
        <f>VLOOKUP(A163,'Projetos ciclo 2018-2022'!$I$8:$I$318,1,FALSE)</f>
        <v>TI01715</v>
      </c>
    </row>
    <row r="164" spans="1:22" x14ac:dyDescent="0.25">
      <c r="A164" s="149" t="s">
        <v>763</v>
      </c>
      <c r="B164" s="150" t="s">
        <v>1361</v>
      </c>
      <c r="C164" s="150" t="s">
        <v>1362</v>
      </c>
      <c r="D164" s="151">
        <v>0</v>
      </c>
      <c r="E164" s="152">
        <v>0</v>
      </c>
      <c r="F164" s="151">
        <v>0</v>
      </c>
      <c r="G164" s="152">
        <v>684</v>
      </c>
      <c r="H164" s="151">
        <v>0</v>
      </c>
      <c r="I164" s="152">
        <v>305.20561981201172</v>
      </c>
      <c r="J164" s="151">
        <v>0</v>
      </c>
      <c r="K164" s="152">
        <v>305.20561981201172</v>
      </c>
      <c r="L164" s="151">
        <v>0</v>
      </c>
      <c r="M164" s="152">
        <v>305.20561981201172</v>
      </c>
      <c r="N164" s="151">
        <v>0</v>
      </c>
      <c r="O164" s="152">
        <v>0</v>
      </c>
      <c r="P164" s="151">
        <v>0</v>
      </c>
      <c r="Q164" s="152">
        <v>0</v>
      </c>
      <c r="R164" s="151">
        <v>0</v>
      </c>
      <c r="S164" s="152">
        <v>0</v>
      </c>
      <c r="T164" s="151">
        <v>0</v>
      </c>
      <c r="U164" s="153">
        <v>0</v>
      </c>
      <c r="V164" t="str">
        <f>VLOOKUP(A164,'Projetos ciclo 2018-2022'!$I$8:$I$318,1,FALSE)</f>
        <v>TI01813</v>
      </c>
    </row>
    <row r="165" spans="1:22" x14ac:dyDescent="0.25">
      <c r="A165" s="21" t="s">
        <v>563</v>
      </c>
      <c r="B165" s="154" t="s">
        <v>1363</v>
      </c>
      <c r="C165" s="154" t="s">
        <v>1364</v>
      </c>
      <c r="D165" s="155">
        <v>0</v>
      </c>
      <c r="E165" s="158">
        <v>0</v>
      </c>
      <c r="F165" s="155">
        <v>0</v>
      </c>
      <c r="G165" s="158">
        <v>6163</v>
      </c>
      <c r="H165" s="155">
        <v>0</v>
      </c>
      <c r="I165" s="158">
        <v>1082.6935119628906</v>
      </c>
      <c r="J165" s="155">
        <v>0</v>
      </c>
      <c r="K165" s="158">
        <v>1082.6935119628906</v>
      </c>
      <c r="L165" s="155">
        <v>39.699151039123535</v>
      </c>
      <c r="M165" s="158">
        <v>1122.3926630020142</v>
      </c>
      <c r="N165" s="155">
        <v>0</v>
      </c>
      <c r="O165" s="158">
        <v>0</v>
      </c>
      <c r="P165" s="155">
        <v>0</v>
      </c>
      <c r="Q165" s="158">
        <v>0</v>
      </c>
      <c r="R165" s="155">
        <v>0</v>
      </c>
      <c r="S165" s="158">
        <v>0</v>
      </c>
      <c r="T165" s="155">
        <v>0</v>
      </c>
      <c r="U165" s="157">
        <v>0</v>
      </c>
      <c r="V165" t="str">
        <f>VLOOKUP(A165,'Projetos ciclo 2018-2022'!$I$8:$I$318,1,FALSE)</f>
        <v>TI02115</v>
      </c>
    </row>
    <row r="166" spans="1:22" x14ac:dyDescent="0.25">
      <c r="A166" s="149" t="s">
        <v>767</v>
      </c>
      <c r="B166" s="150" t="s">
        <v>768</v>
      </c>
      <c r="C166" s="150" t="s">
        <v>1365</v>
      </c>
      <c r="D166" s="151">
        <v>0</v>
      </c>
      <c r="E166" s="152">
        <v>0</v>
      </c>
      <c r="F166" s="151">
        <v>0</v>
      </c>
      <c r="G166" s="152">
        <v>120</v>
      </c>
      <c r="H166" s="151">
        <v>0</v>
      </c>
      <c r="I166" s="152">
        <v>67.199996948242187</v>
      </c>
      <c r="J166" s="151">
        <v>0</v>
      </c>
      <c r="K166" s="152">
        <v>67.199996948242187</v>
      </c>
      <c r="L166" s="151">
        <v>52.799999237060547</v>
      </c>
      <c r="M166" s="152">
        <v>119.99999618530273</v>
      </c>
      <c r="N166" s="151">
        <v>0</v>
      </c>
      <c r="O166" s="152">
        <v>0</v>
      </c>
      <c r="P166" s="151">
        <v>0</v>
      </c>
      <c r="Q166" s="152">
        <v>0</v>
      </c>
      <c r="R166" s="151">
        <v>0</v>
      </c>
      <c r="S166" s="152">
        <v>0</v>
      </c>
      <c r="T166" s="151">
        <v>0</v>
      </c>
      <c r="U166" s="153">
        <v>0</v>
      </c>
      <c r="V166" t="str">
        <f>VLOOKUP(A166,'Projetos ciclo 2018-2022'!$I$8:$I$318,1,FALSE)</f>
        <v>TI02217</v>
      </c>
    </row>
    <row r="167" spans="1:22" x14ac:dyDescent="0.25">
      <c r="A167" s="21" t="s">
        <v>1175</v>
      </c>
      <c r="B167" s="154" t="s">
        <v>1173</v>
      </c>
      <c r="C167" s="154" t="s">
        <v>1176</v>
      </c>
      <c r="D167" s="155">
        <v>0</v>
      </c>
      <c r="E167" s="158">
        <v>0</v>
      </c>
      <c r="F167" s="155">
        <v>0</v>
      </c>
      <c r="G167" s="158">
        <v>142</v>
      </c>
      <c r="H167" s="155">
        <v>0</v>
      </c>
      <c r="I167" s="158">
        <v>0</v>
      </c>
      <c r="J167" s="155">
        <v>0</v>
      </c>
      <c r="K167" s="158">
        <v>0</v>
      </c>
      <c r="L167" s="155">
        <v>141.69599914550781</v>
      </c>
      <c r="M167" s="158">
        <v>141.69599914550781</v>
      </c>
      <c r="N167" s="155">
        <v>0</v>
      </c>
      <c r="O167" s="158">
        <v>0</v>
      </c>
      <c r="P167" s="155">
        <v>0</v>
      </c>
      <c r="Q167" s="158">
        <v>0</v>
      </c>
      <c r="R167" s="155">
        <v>0</v>
      </c>
      <c r="S167" s="158">
        <v>0</v>
      </c>
      <c r="T167" s="155">
        <v>0</v>
      </c>
      <c r="U167" s="157">
        <v>0</v>
      </c>
      <c r="V167" t="str">
        <f>VLOOKUP(A167,'Projetos ciclo 2018-2022'!$I$8:$I$318,1,FALSE)</f>
        <v>TI02318</v>
      </c>
    </row>
    <row r="168" spans="1:22" x14ac:dyDescent="0.25">
      <c r="A168" s="149" t="s">
        <v>1368</v>
      </c>
      <c r="B168" s="150" t="s">
        <v>1369</v>
      </c>
      <c r="C168" s="150" t="s">
        <v>1370</v>
      </c>
      <c r="D168" s="151">
        <v>0</v>
      </c>
      <c r="E168" s="152">
        <v>0</v>
      </c>
      <c r="F168" s="151">
        <v>0</v>
      </c>
      <c r="G168" s="152">
        <v>373</v>
      </c>
      <c r="H168" s="151">
        <v>0</v>
      </c>
      <c r="I168" s="152">
        <v>69.509599685668945</v>
      </c>
      <c r="J168" s="151">
        <v>0</v>
      </c>
      <c r="K168" s="152">
        <v>69.509599685668945</v>
      </c>
      <c r="L168" s="151">
        <v>176.40750122070312</v>
      </c>
      <c r="M168" s="152">
        <v>245.91710090637207</v>
      </c>
      <c r="N168" s="151">
        <v>0</v>
      </c>
      <c r="O168" s="152">
        <v>0</v>
      </c>
      <c r="P168" s="151">
        <v>0</v>
      </c>
      <c r="Q168" s="152">
        <v>0</v>
      </c>
      <c r="R168" s="151">
        <v>0</v>
      </c>
      <c r="S168" s="152">
        <v>0</v>
      </c>
      <c r="T168" s="151">
        <v>0</v>
      </c>
      <c r="U168" s="153">
        <v>0</v>
      </c>
      <c r="V168" t="str">
        <f>VLOOKUP(A168,'Projetos ciclo 2018-2022'!$I$8:$I$318,1,FALSE)</f>
        <v>TI02416</v>
      </c>
    </row>
    <row r="169" spans="1:22" x14ac:dyDescent="0.25">
      <c r="A169" s="21" t="s">
        <v>1171</v>
      </c>
      <c r="B169" s="154" t="s">
        <v>764</v>
      </c>
      <c r="C169" s="154" t="s">
        <v>1172</v>
      </c>
      <c r="D169" s="155">
        <v>0</v>
      </c>
      <c r="E169" s="158">
        <v>0</v>
      </c>
      <c r="F169" s="155">
        <v>0</v>
      </c>
      <c r="G169" s="158">
        <v>693</v>
      </c>
      <c r="H169" s="155">
        <v>0</v>
      </c>
      <c r="I169" s="158">
        <v>693.4403076171875</v>
      </c>
      <c r="J169" s="155">
        <v>0</v>
      </c>
      <c r="K169" s="158">
        <v>693.4403076171875</v>
      </c>
      <c r="L169" s="155">
        <v>0</v>
      </c>
      <c r="M169" s="158">
        <v>693.4403076171875</v>
      </c>
      <c r="N169" s="155">
        <v>0</v>
      </c>
      <c r="O169" s="158">
        <v>0</v>
      </c>
      <c r="P169" s="155">
        <v>0</v>
      </c>
      <c r="Q169" s="158">
        <v>0</v>
      </c>
      <c r="R169" s="155">
        <v>0</v>
      </c>
      <c r="S169" s="158">
        <v>0</v>
      </c>
      <c r="T169" s="155">
        <v>0</v>
      </c>
      <c r="U169" s="157">
        <v>0</v>
      </c>
      <c r="V169" t="str">
        <f>VLOOKUP(A169,'Projetos ciclo 2018-2022'!$I$8:$I$318,1,FALSE)</f>
        <v>TI02418</v>
      </c>
    </row>
    <row r="170" spans="1:22" x14ac:dyDescent="0.25">
      <c r="A170" s="149" t="s">
        <v>753</v>
      </c>
      <c r="B170" s="150" t="s">
        <v>1371</v>
      </c>
      <c r="C170" s="150" t="s">
        <v>1372</v>
      </c>
      <c r="D170" s="151">
        <v>0</v>
      </c>
      <c r="E170" s="152">
        <v>0</v>
      </c>
      <c r="F170" s="151">
        <v>0</v>
      </c>
      <c r="G170" s="152">
        <v>350</v>
      </c>
      <c r="H170" s="151">
        <v>0</v>
      </c>
      <c r="I170" s="152">
        <v>44.140701055526733</v>
      </c>
      <c r="J170" s="151">
        <v>0</v>
      </c>
      <c r="K170" s="152">
        <v>44.140701055526733</v>
      </c>
      <c r="L170" s="151">
        <v>78.574318170547485</v>
      </c>
      <c r="M170" s="152">
        <v>122.71501922607422</v>
      </c>
      <c r="N170" s="151">
        <v>0</v>
      </c>
      <c r="O170" s="152">
        <v>0</v>
      </c>
      <c r="P170" s="151">
        <v>0</v>
      </c>
      <c r="Q170" s="152">
        <v>0</v>
      </c>
      <c r="R170" s="151">
        <v>0</v>
      </c>
      <c r="S170" s="152">
        <v>0</v>
      </c>
      <c r="T170" s="151">
        <v>0</v>
      </c>
      <c r="U170" s="153">
        <v>0</v>
      </c>
      <c r="V170" t="str">
        <f>VLOOKUP(A170,'Projetos ciclo 2018-2022'!$I$8:$I$318,1,FALSE)</f>
        <v>TI02515</v>
      </c>
    </row>
    <row r="171" spans="1:22" x14ac:dyDescent="0.25">
      <c r="A171" s="21" t="s">
        <v>566</v>
      </c>
      <c r="B171" s="154" t="s">
        <v>1373</v>
      </c>
      <c r="C171" s="154" t="s">
        <v>1374</v>
      </c>
      <c r="D171" s="155">
        <v>0</v>
      </c>
      <c r="E171" s="158">
        <v>0</v>
      </c>
      <c r="F171" s="155">
        <v>0</v>
      </c>
      <c r="G171" s="158">
        <v>0</v>
      </c>
      <c r="H171" s="155">
        <v>0</v>
      </c>
      <c r="I171" s="158">
        <v>0</v>
      </c>
      <c r="J171" s="155">
        <v>0</v>
      </c>
      <c r="K171" s="158">
        <v>0</v>
      </c>
      <c r="L171" s="155">
        <v>0</v>
      </c>
      <c r="M171" s="158">
        <v>0</v>
      </c>
      <c r="N171" s="155">
        <v>0</v>
      </c>
      <c r="O171" s="158">
        <v>0</v>
      </c>
      <c r="P171" s="155">
        <v>0</v>
      </c>
      <c r="Q171" s="158">
        <v>0</v>
      </c>
      <c r="R171" s="155">
        <v>0</v>
      </c>
      <c r="S171" s="158">
        <v>0</v>
      </c>
      <c r="T171" s="155">
        <v>0</v>
      </c>
      <c r="U171" s="157">
        <v>0</v>
      </c>
      <c r="V171" t="str">
        <f>VLOOKUP(A171,'Projetos ciclo 2018-2022'!$I$8:$I$318,1,FALSE)</f>
        <v>TI02516</v>
      </c>
    </row>
    <row r="172" spans="1:22" x14ac:dyDescent="0.25">
      <c r="A172" s="149" t="s">
        <v>568</v>
      </c>
      <c r="B172" s="150" t="s">
        <v>567</v>
      </c>
      <c r="C172" s="150" t="s">
        <v>1375</v>
      </c>
      <c r="D172" s="151">
        <v>0</v>
      </c>
      <c r="E172" s="152">
        <v>0</v>
      </c>
      <c r="F172" s="151">
        <v>0</v>
      </c>
      <c r="G172" s="152">
        <v>55</v>
      </c>
      <c r="H172" s="151">
        <v>0</v>
      </c>
      <c r="I172" s="152">
        <v>0</v>
      </c>
      <c r="J172" s="151">
        <v>0</v>
      </c>
      <c r="K172" s="152">
        <v>0</v>
      </c>
      <c r="L172" s="151">
        <v>0</v>
      </c>
      <c r="M172" s="152">
        <v>0</v>
      </c>
      <c r="N172" s="151">
        <v>0</v>
      </c>
      <c r="O172" s="152">
        <v>0</v>
      </c>
      <c r="P172" s="151">
        <v>0</v>
      </c>
      <c r="Q172" s="152">
        <v>0</v>
      </c>
      <c r="R172" s="151">
        <v>0</v>
      </c>
      <c r="S172" s="152">
        <v>0</v>
      </c>
      <c r="T172" s="151">
        <v>0</v>
      </c>
      <c r="U172" s="153">
        <v>0</v>
      </c>
      <c r="V172" t="str">
        <f>VLOOKUP(A172,'Projetos ciclo 2018-2022'!$I$8:$I$318,1,FALSE)</f>
        <v>TI02616</v>
      </c>
    </row>
    <row r="173" spans="1:22" x14ac:dyDescent="0.25">
      <c r="A173" s="21" t="s">
        <v>1164</v>
      </c>
      <c r="B173" s="154" t="s">
        <v>1376</v>
      </c>
      <c r="C173" s="154" t="s">
        <v>1165</v>
      </c>
      <c r="D173" s="155">
        <v>0</v>
      </c>
      <c r="E173" s="158">
        <v>0</v>
      </c>
      <c r="F173" s="155">
        <v>0</v>
      </c>
      <c r="G173" s="158">
        <v>1225</v>
      </c>
      <c r="H173" s="155">
        <v>0</v>
      </c>
      <c r="I173" s="158">
        <v>0</v>
      </c>
      <c r="J173" s="155">
        <v>0</v>
      </c>
      <c r="K173" s="158">
        <v>0</v>
      </c>
      <c r="L173" s="155">
        <v>980.65558624267578</v>
      </c>
      <c r="M173" s="158">
        <v>980.65558624267578</v>
      </c>
      <c r="N173" s="155">
        <v>0</v>
      </c>
      <c r="O173" s="158">
        <v>0</v>
      </c>
      <c r="P173" s="155">
        <v>0</v>
      </c>
      <c r="Q173" s="158">
        <v>0</v>
      </c>
      <c r="R173" s="155">
        <v>0</v>
      </c>
      <c r="S173" s="158">
        <v>0</v>
      </c>
      <c r="T173" s="155">
        <v>0</v>
      </c>
      <c r="U173" s="157">
        <v>0</v>
      </c>
      <c r="V173" t="str">
        <f>VLOOKUP(A173,'Projetos ciclo 2018-2022'!$I$8:$I$318,1,FALSE)</f>
        <v>TI02618</v>
      </c>
    </row>
    <row r="174" spans="1:22" x14ac:dyDescent="0.25">
      <c r="A174" s="149" t="s">
        <v>1377</v>
      </c>
      <c r="B174" s="150" t="s">
        <v>1378</v>
      </c>
      <c r="C174" s="150" t="s">
        <v>1379</v>
      </c>
      <c r="D174" s="151">
        <v>0</v>
      </c>
      <c r="E174" s="152">
        <v>0</v>
      </c>
      <c r="F174" s="151">
        <v>0</v>
      </c>
      <c r="G174" s="152">
        <v>3223</v>
      </c>
      <c r="H174" s="151">
        <v>0</v>
      </c>
      <c r="I174" s="152">
        <v>267.26645660400391</v>
      </c>
      <c r="J174" s="151">
        <v>0</v>
      </c>
      <c r="K174" s="152">
        <v>267.26645660400391</v>
      </c>
      <c r="L174" s="151">
        <v>2947.880859375</v>
      </c>
      <c r="M174" s="152">
        <v>3215.1473159790039</v>
      </c>
      <c r="N174" s="151">
        <v>0</v>
      </c>
      <c r="O174" s="152">
        <v>0</v>
      </c>
      <c r="P174" s="151">
        <v>0</v>
      </c>
      <c r="Q174" s="152">
        <v>0</v>
      </c>
      <c r="R174" s="151">
        <v>0</v>
      </c>
      <c r="S174" s="152">
        <v>0</v>
      </c>
      <c r="T174" s="151">
        <v>0</v>
      </c>
      <c r="U174" s="153">
        <v>0</v>
      </c>
      <c r="V174" t="str">
        <f>VLOOKUP(A174,'Projetos ciclo 2018-2022'!$I$8:$I$318,1,FALSE)</f>
        <v>TI02718</v>
      </c>
    </row>
    <row r="175" spans="1:22" x14ac:dyDescent="0.25">
      <c r="A175" s="21" t="s">
        <v>1010</v>
      </c>
      <c r="B175" s="154" t="s">
        <v>1011</v>
      </c>
      <c r="C175" s="154" t="s">
        <v>1380</v>
      </c>
      <c r="D175" s="155">
        <v>0</v>
      </c>
      <c r="E175" s="158">
        <v>0</v>
      </c>
      <c r="F175" s="155">
        <v>0</v>
      </c>
      <c r="G175" s="158">
        <v>600</v>
      </c>
      <c r="H175" s="155">
        <v>0</v>
      </c>
      <c r="I175" s="158">
        <v>599.97772216796875</v>
      </c>
      <c r="J175" s="155">
        <v>0</v>
      </c>
      <c r="K175" s="158">
        <v>599.97772216796875</v>
      </c>
      <c r="L175" s="155">
        <v>0</v>
      </c>
      <c r="M175" s="158">
        <v>599.97772216796875</v>
      </c>
      <c r="N175" s="155">
        <v>0</v>
      </c>
      <c r="O175" s="158">
        <v>0</v>
      </c>
      <c r="P175" s="155">
        <v>0</v>
      </c>
      <c r="Q175" s="158">
        <v>0</v>
      </c>
      <c r="R175" s="155">
        <v>0</v>
      </c>
      <c r="S175" s="158">
        <v>0</v>
      </c>
      <c r="T175" s="155">
        <v>0</v>
      </c>
      <c r="U175" s="157">
        <v>0</v>
      </c>
      <c r="V175" t="str">
        <f>VLOOKUP(A175,'Projetos ciclo 2018-2022'!$I$8:$I$318,1,FALSE)</f>
        <v>TI02817</v>
      </c>
    </row>
    <row r="176" spans="1:22" x14ac:dyDescent="0.25">
      <c r="A176" s="149" t="s">
        <v>1163</v>
      </c>
      <c r="B176" s="150" t="s">
        <v>335</v>
      </c>
      <c r="C176" s="150" t="s">
        <v>1381</v>
      </c>
      <c r="D176" s="151">
        <v>0</v>
      </c>
      <c r="E176" s="152">
        <v>0</v>
      </c>
      <c r="F176" s="151">
        <v>0</v>
      </c>
      <c r="G176" s="152">
        <v>504</v>
      </c>
      <c r="H176" s="151">
        <v>0</v>
      </c>
      <c r="I176" s="152">
        <v>147.11999893188477</v>
      </c>
      <c r="J176" s="151">
        <v>0</v>
      </c>
      <c r="K176" s="152">
        <v>147.11999893188477</v>
      </c>
      <c r="L176" s="151">
        <v>357.05808687210083</v>
      </c>
      <c r="M176" s="152">
        <v>504.1780858039856</v>
      </c>
      <c r="N176" s="151">
        <v>0</v>
      </c>
      <c r="O176" s="152">
        <v>0</v>
      </c>
      <c r="P176" s="151">
        <v>0</v>
      </c>
      <c r="Q176" s="152">
        <v>0</v>
      </c>
      <c r="R176" s="151">
        <v>0</v>
      </c>
      <c r="S176" s="152">
        <v>0</v>
      </c>
      <c r="T176" s="151">
        <v>0</v>
      </c>
      <c r="U176" s="153">
        <v>0</v>
      </c>
      <c r="V176" t="str">
        <f>VLOOKUP(A176,'Projetos ciclo 2018-2022'!$I$8:$I$318,1,FALSE)</f>
        <v>TI03015</v>
      </c>
    </row>
    <row r="177" spans="1:22" x14ac:dyDescent="0.25">
      <c r="A177" s="21" t="s">
        <v>1938</v>
      </c>
      <c r="B177" s="154" t="s">
        <v>1939</v>
      </c>
      <c r="C177" s="154" t="s">
        <v>1940</v>
      </c>
      <c r="D177" s="155">
        <v>0</v>
      </c>
      <c r="E177" s="158">
        <v>0</v>
      </c>
      <c r="F177" s="155">
        <v>0</v>
      </c>
      <c r="G177" s="158">
        <v>166</v>
      </c>
      <c r="H177" s="155">
        <v>0</v>
      </c>
      <c r="I177" s="158">
        <v>5.8700799942016602</v>
      </c>
      <c r="J177" s="155">
        <v>0</v>
      </c>
      <c r="K177" s="158">
        <v>5.8700799942016602</v>
      </c>
      <c r="L177" s="155">
        <v>160</v>
      </c>
      <c r="M177" s="158">
        <v>165.87007999420166</v>
      </c>
      <c r="N177" s="155">
        <v>0</v>
      </c>
      <c r="O177" s="158">
        <v>0</v>
      </c>
      <c r="P177" s="155">
        <v>0</v>
      </c>
      <c r="Q177" s="158">
        <v>0</v>
      </c>
      <c r="R177" s="155">
        <v>0</v>
      </c>
      <c r="S177" s="158">
        <v>0</v>
      </c>
      <c r="T177" s="155">
        <v>0</v>
      </c>
      <c r="U177" s="157">
        <v>0</v>
      </c>
      <c r="V177" t="str">
        <f>VLOOKUP(A177,'Projetos ciclo 2018-2022'!$I$8:$I$318,1,FALSE)</f>
        <v>TI03017</v>
      </c>
    </row>
    <row r="178" spans="1:22" x14ac:dyDescent="0.25">
      <c r="A178" s="149" t="s">
        <v>1144</v>
      </c>
      <c r="B178" s="150" t="s">
        <v>1382</v>
      </c>
      <c r="C178" s="150" t="s">
        <v>1383</v>
      </c>
      <c r="D178" s="151">
        <v>0</v>
      </c>
      <c r="E178" s="152">
        <v>0</v>
      </c>
      <c r="F178" s="151">
        <v>0</v>
      </c>
      <c r="G178" s="152">
        <v>216</v>
      </c>
      <c r="H178" s="151">
        <v>0</v>
      </c>
      <c r="I178" s="152">
        <v>60.324001312255859</v>
      </c>
      <c r="J178" s="151">
        <v>0</v>
      </c>
      <c r="K178" s="152">
        <v>60.324001312255859</v>
      </c>
      <c r="L178" s="151">
        <v>155.67599487304687</v>
      </c>
      <c r="M178" s="152">
        <v>215.99999618530273</v>
      </c>
      <c r="N178" s="151">
        <v>0</v>
      </c>
      <c r="O178" s="152">
        <v>0</v>
      </c>
      <c r="P178" s="151">
        <v>0</v>
      </c>
      <c r="Q178" s="152">
        <v>0</v>
      </c>
      <c r="R178" s="151">
        <v>0</v>
      </c>
      <c r="S178" s="152">
        <v>0</v>
      </c>
      <c r="T178" s="151">
        <v>0</v>
      </c>
      <c r="U178" s="153">
        <v>0</v>
      </c>
      <c r="V178" t="str">
        <f>VLOOKUP(A178,'Projetos ciclo 2018-2022'!$I$8:$I$318,1,FALSE)</f>
        <v>TI03117</v>
      </c>
    </row>
    <row r="179" spans="1:22" x14ac:dyDescent="0.25">
      <c r="A179" s="21" t="s">
        <v>1049</v>
      </c>
      <c r="B179" s="154" t="s">
        <v>1338</v>
      </c>
      <c r="C179" s="154" t="s">
        <v>1384</v>
      </c>
      <c r="D179" s="155">
        <v>0</v>
      </c>
      <c r="E179" s="158">
        <v>0</v>
      </c>
      <c r="F179" s="155">
        <v>0</v>
      </c>
      <c r="G179" s="158">
        <v>2100</v>
      </c>
      <c r="H179" s="155">
        <v>0</v>
      </c>
      <c r="I179" s="158">
        <v>0</v>
      </c>
      <c r="J179" s="155">
        <v>0</v>
      </c>
      <c r="K179" s="158">
        <v>0</v>
      </c>
      <c r="L179" s="155">
        <v>1496.0580673217773</v>
      </c>
      <c r="M179" s="158">
        <v>1496.0580673217773</v>
      </c>
      <c r="N179" s="155">
        <v>0</v>
      </c>
      <c r="O179" s="158">
        <v>0</v>
      </c>
      <c r="P179" s="155">
        <v>0</v>
      </c>
      <c r="Q179" s="158">
        <v>0</v>
      </c>
      <c r="R179" s="155">
        <v>0</v>
      </c>
      <c r="S179" s="158">
        <v>0</v>
      </c>
      <c r="T179" s="155">
        <v>0</v>
      </c>
      <c r="U179" s="157">
        <v>0</v>
      </c>
      <c r="V179" t="str">
        <f>VLOOKUP(A179,'Projetos ciclo 2018-2022'!$I$8:$I$318,1,FALSE)</f>
        <v>TI03217</v>
      </c>
    </row>
    <row r="180" spans="1:22" x14ac:dyDescent="0.25">
      <c r="A180" s="149" t="s">
        <v>1051</v>
      </c>
      <c r="B180" s="150" t="s">
        <v>1024</v>
      </c>
      <c r="C180" s="150" t="s">
        <v>1385</v>
      </c>
      <c r="D180" s="151">
        <v>0</v>
      </c>
      <c r="E180" s="152">
        <v>0</v>
      </c>
      <c r="F180" s="151">
        <v>0</v>
      </c>
      <c r="G180" s="152">
        <v>278</v>
      </c>
      <c r="H180" s="151">
        <v>0</v>
      </c>
      <c r="I180" s="152">
        <v>108.51967239379883</v>
      </c>
      <c r="J180" s="151">
        <v>0</v>
      </c>
      <c r="K180" s="152">
        <v>108.51967239379883</v>
      </c>
      <c r="L180" s="151">
        <v>169.582275390625</v>
      </c>
      <c r="M180" s="152">
        <v>278.10194778442383</v>
      </c>
      <c r="N180" s="151">
        <v>0</v>
      </c>
      <c r="O180" s="152">
        <v>0</v>
      </c>
      <c r="P180" s="151">
        <v>0</v>
      </c>
      <c r="Q180" s="152">
        <v>0</v>
      </c>
      <c r="R180" s="151">
        <v>0</v>
      </c>
      <c r="S180" s="152">
        <v>0</v>
      </c>
      <c r="T180" s="151">
        <v>0</v>
      </c>
      <c r="U180" s="153">
        <v>0</v>
      </c>
      <c r="V180" t="str">
        <f>VLOOKUP(A180,'Projetos ciclo 2018-2022'!$I$8:$I$318,1,FALSE)</f>
        <v>TI03317</v>
      </c>
    </row>
    <row r="181" spans="1:22" x14ac:dyDescent="0.25">
      <c r="A181" s="21" t="s">
        <v>1465</v>
      </c>
      <c r="B181" s="154" t="s">
        <v>1466</v>
      </c>
      <c r="C181" s="154" t="s">
        <v>1467</v>
      </c>
      <c r="D181" s="155">
        <v>0</v>
      </c>
      <c r="E181" s="158">
        <v>0</v>
      </c>
      <c r="F181" s="155">
        <v>0</v>
      </c>
      <c r="G181" s="158">
        <v>245</v>
      </c>
      <c r="H181" s="155">
        <v>0</v>
      </c>
      <c r="I181" s="158">
        <v>232.37596130371094</v>
      </c>
      <c r="J181" s="155">
        <v>0</v>
      </c>
      <c r="K181" s="158">
        <v>232.37596130371094</v>
      </c>
      <c r="L181" s="155">
        <v>0</v>
      </c>
      <c r="M181" s="158">
        <v>232.37596130371094</v>
      </c>
      <c r="N181" s="155">
        <v>0</v>
      </c>
      <c r="O181" s="158">
        <v>0</v>
      </c>
      <c r="P181" s="155">
        <v>0</v>
      </c>
      <c r="Q181" s="158">
        <v>0</v>
      </c>
      <c r="R181" s="155">
        <v>0</v>
      </c>
      <c r="S181" s="158">
        <v>0</v>
      </c>
      <c r="T181" s="155">
        <v>0</v>
      </c>
      <c r="U181" s="157">
        <v>0</v>
      </c>
      <c r="V181" t="str">
        <f>VLOOKUP(A181,'Projetos ciclo 2018-2022'!$I$8:$I$318,1,FALSE)</f>
        <v>TI03318</v>
      </c>
    </row>
    <row r="182" spans="1:22" x14ac:dyDescent="0.25">
      <c r="A182" s="149" t="s">
        <v>1140</v>
      </c>
      <c r="B182" s="150" t="s">
        <v>1386</v>
      </c>
      <c r="C182" s="150" t="s">
        <v>1387</v>
      </c>
      <c r="D182" s="151">
        <v>0</v>
      </c>
      <c r="E182" s="152">
        <v>0</v>
      </c>
      <c r="F182" s="151">
        <v>0</v>
      </c>
      <c r="G182" s="152">
        <v>814</v>
      </c>
      <c r="H182" s="151">
        <v>0</v>
      </c>
      <c r="I182" s="152">
        <v>813.67767333984375</v>
      </c>
      <c r="J182" s="151">
        <v>0</v>
      </c>
      <c r="K182" s="152">
        <v>813.67767333984375</v>
      </c>
      <c r="L182" s="151">
        <v>0</v>
      </c>
      <c r="M182" s="152">
        <v>813.67767333984375</v>
      </c>
      <c r="N182" s="151">
        <v>0</v>
      </c>
      <c r="O182" s="152">
        <v>0</v>
      </c>
      <c r="P182" s="151">
        <v>0</v>
      </c>
      <c r="Q182" s="152">
        <v>0</v>
      </c>
      <c r="R182" s="151">
        <v>0</v>
      </c>
      <c r="S182" s="152">
        <v>0</v>
      </c>
      <c r="T182" s="151">
        <v>0</v>
      </c>
      <c r="U182" s="153">
        <v>0</v>
      </c>
      <c r="V182" t="str">
        <f>VLOOKUP(A182,'Projetos ciclo 2018-2022'!$I$8:$I$318,1,FALSE)</f>
        <v>TI03417</v>
      </c>
    </row>
    <row r="183" spans="1:22" x14ac:dyDescent="0.25">
      <c r="A183" s="21" t="s">
        <v>1147</v>
      </c>
      <c r="B183" s="154" t="s">
        <v>1023</v>
      </c>
      <c r="C183" s="154" t="s">
        <v>1388</v>
      </c>
      <c r="D183" s="155">
        <v>0</v>
      </c>
      <c r="E183" s="158">
        <v>0</v>
      </c>
      <c r="F183" s="155">
        <v>0</v>
      </c>
      <c r="G183" s="158">
        <v>155</v>
      </c>
      <c r="H183" s="155">
        <v>0</v>
      </c>
      <c r="I183" s="158">
        <v>0</v>
      </c>
      <c r="J183" s="155">
        <v>0</v>
      </c>
      <c r="K183" s="158">
        <v>0</v>
      </c>
      <c r="L183" s="155">
        <v>154.5</v>
      </c>
      <c r="M183" s="158">
        <v>154.5</v>
      </c>
      <c r="N183" s="155">
        <v>0</v>
      </c>
      <c r="O183" s="158">
        <v>0</v>
      </c>
      <c r="P183" s="155">
        <v>0</v>
      </c>
      <c r="Q183" s="158">
        <v>0</v>
      </c>
      <c r="R183" s="155">
        <v>0</v>
      </c>
      <c r="S183" s="158">
        <v>0</v>
      </c>
      <c r="T183" s="155">
        <v>0</v>
      </c>
      <c r="U183" s="157">
        <v>0</v>
      </c>
      <c r="V183" t="str">
        <f>VLOOKUP(A183,'Projetos ciclo 2018-2022'!$I$8:$I$318,1,FALSE)</f>
        <v>TI03517</v>
      </c>
    </row>
    <row r="184" spans="1:22" x14ac:dyDescent="0.25">
      <c r="A184" s="149" t="s">
        <v>1050</v>
      </c>
      <c r="B184" s="150" t="s">
        <v>1022</v>
      </c>
      <c r="C184" s="150" t="s">
        <v>1389</v>
      </c>
      <c r="D184" s="151">
        <v>0</v>
      </c>
      <c r="E184" s="152">
        <v>0</v>
      </c>
      <c r="F184" s="151">
        <v>0</v>
      </c>
      <c r="G184" s="152">
        <v>247</v>
      </c>
      <c r="H184" s="151">
        <v>0</v>
      </c>
      <c r="I184" s="152">
        <v>72.401939392089844</v>
      </c>
      <c r="J184" s="151">
        <v>0</v>
      </c>
      <c r="K184" s="152">
        <v>72.401939392089844</v>
      </c>
      <c r="L184" s="151">
        <v>174.79806518554687</v>
      </c>
      <c r="M184" s="152">
        <v>247.20000457763672</v>
      </c>
      <c r="N184" s="151">
        <v>0</v>
      </c>
      <c r="O184" s="152">
        <v>0</v>
      </c>
      <c r="P184" s="151">
        <v>0</v>
      </c>
      <c r="Q184" s="152">
        <v>0</v>
      </c>
      <c r="R184" s="151">
        <v>0</v>
      </c>
      <c r="S184" s="152">
        <v>0</v>
      </c>
      <c r="T184" s="151">
        <v>0</v>
      </c>
      <c r="U184" s="153">
        <v>0</v>
      </c>
      <c r="V184" t="str">
        <f>VLOOKUP(A184,'Projetos ciclo 2018-2022'!$I$8:$I$318,1,FALSE)</f>
        <v>TI03617</v>
      </c>
    </row>
    <row r="185" spans="1:22" x14ac:dyDescent="0.25">
      <c r="A185" s="21" t="s">
        <v>1143</v>
      </c>
      <c r="B185" s="154" t="s">
        <v>1390</v>
      </c>
      <c r="C185" s="154" t="s">
        <v>1391</v>
      </c>
      <c r="D185" s="155">
        <v>0</v>
      </c>
      <c r="E185" s="158">
        <v>0</v>
      </c>
      <c r="F185" s="155">
        <v>0</v>
      </c>
      <c r="G185" s="158">
        <v>871</v>
      </c>
      <c r="H185" s="155">
        <v>0</v>
      </c>
      <c r="I185" s="158">
        <v>15.5</v>
      </c>
      <c r="J185" s="155">
        <v>0</v>
      </c>
      <c r="K185" s="158">
        <v>15.5</v>
      </c>
      <c r="L185" s="155">
        <v>384.39999389648437</v>
      </c>
      <c r="M185" s="158">
        <v>399.89999389648437</v>
      </c>
      <c r="N185" s="155">
        <v>0</v>
      </c>
      <c r="O185" s="158">
        <v>0</v>
      </c>
      <c r="P185" s="155">
        <v>0</v>
      </c>
      <c r="Q185" s="158">
        <v>0</v>
      </c>
      <c r="R185" s="155">
        <v>0</v>
      </c>
      <c r="S185" s="158">
        <v>0</v>
      </c>
      <c r="T185" s="155">
        <v>0</v>
      </c>
      <c r="U185" s="157">
        <v>0</v>
      </c>
      <c r="V185" t="str">
        <f>VLOOKUP(A185,'Projetos ciclo 2018-2022'!$I$8:$I$318,1,FALSE)</f>
        <v>TI04117</v>
      </c>
    </row>
    <row r="186" spans="1:22" x14ac:dyDescent="0.25">
      <c r="A186" s="149" t="s">
        <v>1550</v>
      </c>
      <c r="B186" s="150" t="s">
        <v>1551</v>
      </c>
      <c r="C186" s="150" t="s">
        <v>1552</v>
      </c>
      <c r="D186" s="151">
        <v>0</v>
      </c>
      <c r="E186" s="152">
        <v>0</v>
      </c>
      <c r="F186" s="151">
        <v>0</v>
      </c>
      <c r="G186" s="152">
        <v>150</v>
      </c>
      <c r="H186" s="151">
        <v>0</v>
      </c>
      <c r="I186" s="152">
        <v>0</v>
      </c>
      <c r="J186" s="151">
        <v>0</v>
      </c>
      <c r="K186" s="152">
        <v>0</v>
      </c>
      <c r="L186" s="151">
        <v>0</v>
      </c>
      <c r="M186" s="152">
        <v>0</v>
      </c>
      <c r="N186" s="151">
        <v>0</v>
      </c>
      <c r="O186" s="152">
        <v>0</v>
      </c>
      <c r="P186" s="151">
        <v>0</v>
      </c>
      <c r="Q186" s="152">
        <v>0</v>
      </c>
      <c r="R186" s="151">
        <v>0</v>
      </c>
      <c r="S186" s="152">
        <v>0</v>
      </c>
      <c r="T186" s="151">
        <v>0</v>
      </c>
      <c r="U186" s="153">
        <v>0</v>
      </c>
      <c r="V186" t="str">
        <f>VLOOKUP(A186,'Projetos ciclo 2018-2022'!$I$8:$I$318,1,FALSE)</f>
        <v>TI04618</v>
      </c>
    </row>
    <row r="187" spans="1:22" x14ac:dyDescent="0.25">
      <c r="A187" s="21" t="s">
        <v>1479</v>
      </c>
      <c r="B187" s="154" t="s">
        <v>1480</v>
      </c>
      <c r="C187" s="154" t="s">
        <v>1481</v>
      </c>
      <c r="D187" s="155">
        <v>0</v>
      </c>
      <c r="E187" s="158">
        <v>0</v>
      </c>
      <c r="F187" s="155">
        <v>0</v>
      </c>
      <c r="G187" s="158">
        <v>141</v>
      </c>
      <c r="H187" s="155">
        <v>0</v>
      </c>
      <c r="I187" s="158">
        <v>0</v>
      </c>
      <c r="J187" s="155">
        <v>0</v>
      </c>
      <c r="K187" s="158">
        <v>0</v>
      </c>
      <c r="L187" s="155">
        <v>141.22349548339844</v>
      </c>
      <c r="M187" s="158">
        <v>141.22349548339844</v>
      </c>
      <c r="N187" s="155">
        <v>0</v>
      </c>
      <c r="O187" s="158">
        <v>0</v>
      </c>
      <c r="P187" s="155">
        <v>0</v>
      </c>
      <c r="Q187" s="158">
        <v>0</v>
      </c>
      <c r="R187" s="155">
        <v>0</v>
      </c>
      <c r="S187" s="158">
        <v>0</v>
      </c>
      <c r="T187" s="155">
        <v>0</v>
      </c>
      <c r="U187" s="157">
        <v>0</v>
      </c>
      <c r="V187" t="str">
        <f>VLOOKUP(A187,'Projetos ciclo 2018-2022'!$I$8:$I$318,1,FALSE)</f>
        <v>TI04718</v>
      </c>
    </row>
    <row r="188" spans="1:22" x14ac:dyDescent="0.25">
      <c r="A188" s="149" t="s">
        <v>1587</v>
      </c>
      <c r="B188" s="150" t="s">
        <v>1588</v>
      </c>
      <c r="C188" s="150" t="s">
        <v>1589</v>
      </c>
      <c r="D188" s="151">
        <v>0</v>
      </c>
      <c r="E188" s="152">
        <v>0</v>
      </c>
      <c r="F188" s="151">
        <v>0</v>
      </c>
      <c r="G188" s="152">
        <v>420</v>
      </c>
      <c r="H188" s="151">
        <v>0</v>
      </c>
      <c r="I188" s="152">
        <v>0</v>
      </c>
      <c r="J188" s="151">
        <v>0</v>
      </c>
      <c r="K188" s="152">
        <v>0</v>
      </c>
      <c r="L188" s="151">
        <v>420.44839477539062</v>
      </c>
      <c r="M188" s="152">
        <v>420.44839477539062</v>
      </c>
      <c r="N188" s="151">
        <v>0</v>
      </c>
      <c r="O188" s="152">
        <v>0</v>
      </c>
      <c r="P188" s="151">
        <v>0</v>
      </c>
      <c r="Q188" s="152">
        <v>0</v>
      </c>
      <c r="R188" s="151">
        <v>0</v>
      </c>
      <c r="S188" s="152">
        <v>0</v>
      </c>
      <c r="T188" s="151">
        <v>0</v>
      </c>
      <c r="U188" s="153">
        <v>0</v>
      </c>
      <c r="V188" t="str">
        <f>VLOOKUP(A188,'Projetos ciclo 2018-2022'!$I$8:$I$318,1,FALSE)</f>
        <v>TI05218</v>
      </c>
    </row>
    <row r="189" spans="1:22" x14ac:dyDescent="0.25">
      <c r="A189" s="21" t="s">
        <v>1615</v>
      </c>
      <c r="B189" s="154" t="s">
        <v>1616</v>
      </c>
      <c r="C189" s="154" t="s">
        <v>1617</v>
      </c>
      <c r="D189" s="155">
        <v>0</v>
      </c>
      <c r="E189" s="158">
        <v>0</v>
      </c>
      <c r="F189" s="155">
        <v>0</v>
      </c>
      <c r="G189" s="158">
        <v>800</v>
      </c>
      <c r="H189" s="155">
        <v>0</v>
      </c>
      <c r="I189" s="158">
        <v>800</v>
      </c>
      <c r="J189" s="155">
        <v>0</v>
      </c>
      <c r="K189" s="158">
        <v>800</v>
      </c>
      <c r="L189" s="155">
        <v>0</v>
      </c>
      <c r="M189" s="158">
        <v>800</v>
      </c>
      <c r="N189" s="155">
        <v>0</v>
      </c>
      <c r="O189" s="158">
        <v>0</v>
      </c>
      <c r="P189" s="155">
        <v>0</v>
      </c>
      <c r="Q189" s="158">
        <v>0</v>
      </c>
      <c r="R189" s="155">
        <v>0</v>
      </c>
      <c r="S189" s="158">
        <v>0</v>
      </c>
      <c r="T189" s="155">
        <v>0</v>
      </c>
      <c r="U189" s="157">
        <v>0</v>
      </c>
      <c r="V189" t="str">
        <f>VLOOKUP(A189,'Projetos ciclo 2018-2022'!$I$8:$I$318,1,FALSE)</f>
        <v>TI05318</v>
      </c>
    </row>
    <row r="190" spans="1:22" x14ac:dyDescent="0.25">
      <c r="A190" s="149" t="s">
        <v>1645</v>
      </c>
      <c r="B190" s="150" t="s">
        <v>1605</v>
      </c>
      <c r="C190" s="150" t="s">
        <v>1646</v>
      </c>
      <c r="D190" s="151">
        <v>0</v>
      </c>
      <c r="E190" s="152">
        <v>0</v>
      </c>
      <c r="F190" s="151">
        <v>0</v>
      </c>
      <c r="G190" s="152">
        <v>500</v>
      </c>
      <c r="H190" s="151">
        <v>0</v>
      </c>
      <c r="I190" s="152">
        <v>0</v>
      </c>
      <c r="J190" s="151">
        <v>0</v>
      </c>
      <c r="K190" s="152">
        <v>0</v>
      </c>
      <c r="L190" s="151">
        <v>439.99998474121094</v>
      </c>
      <c r="M190" s="152">
        <v>439.99998474121094</v>
      </c>
      <c r="N190" s="151">
        <v>0</v>
      </c>
      <c r="O190" s="152">
        <v>0</v>
      </c>
      <c r="P190" s="151">
        <v>0</v>
      </c>
      <c r="Q190" s="152">
        <v>0</v>
      </c>
      <c r="R190" s="151">
        <v>0</v>
      </c>
      <c r="S190" s="152">
        <v>0</v>
      </c>
      <c r="T190" s="151">
        <v>0</v>
      </c>
      <c r="U190" s="153">
        <v>0</v>
      </c>
      <c r="V190" t="str">
        <f>VLOOKUP(A190,'Projetos ciclo 2018-2022'!$I$8:$I$318,1,FALSE)</f>
        <v>TI05418</v>
      </c>
    </row>
    <row r="191" spans="1:22" x14ac:dyDescent="0.25">
      <c r="A191" s="21" t="s">
        <v>1647</v>
      </c>
      <c r="B191" s="154" t="s">
        <v>1574</v>
      </c>
      <c r="C191" s="154" t="s">
        <v>1648</v>
      </c>
      <c r="D191" s="155">
        <v>0</v>
      </c>
      <c r="E191" s="158">
        <v>0</v>
      </c>
      <c r="F191" s="155">
        <v>0</v>
      </c>
      <c r="G191" s="158">
        <v>760</v>
      </c>
      <c r="H191" s="155">
        <v>0</v>
      </c>
      <c r="I191" s="158">
        <v>0</v>
      </c>
      <c r="J191" s="155">
        <v>0</v>
      </c>
      <c r="K191" s="158">
        <v>0</v>
      </c>
      <c r="L191" s="155">
        <v>580.49600219726562</v>
      </c>
      <c r="M191" s="158">
        <v>580.49600219726562</v>
      </c>
      <c r="N191" s="155">
        <v>0</v>
      </c>
      <c r="O191" s="158">
        <v>0</v>
      </c>
      <c r="P191" s="155">
        <v>0</v>
      </c>
      <c r="Q191" s="158">
        <v>0</v>
      </c>
      <c r="R191" s="155">
        <v>0</v>
      </c>
      <c r="S191" s="158">
        <v>0</v>
      </c>
      <c r="T191" s="155">
        <v>0</v>
      </c>
      <c r="U191" s="157">
        <v>0</v>
      </c>
      <c r="V191" t="str">
        <f>VLOOKUP(A191,'Projetos ciclo 2018-2022'!$I$8:$I$318,1,FALSE)</f>
        <v>TI05518</v>
      </c>
    </row>
    <row r="192" spans="1:22" x14ac:dyDescent="0.25">
      <c r="A192" s="149" t="s">
        <v>1649</v>
      </c>
      <c r="B192" s="150" t="s">
        <v>843</v>
      </c>
      <c r="C192" s="150" t="s">
        <v>1650</v>
      </c>
      <c r="D192" s="151">
        <v>0</v>
      </c>
      <c r="E192" s="152">
        <v>0</v>
      </c>
      <c r="F192" s="151">
        <v>0</v>
      </c>
      <c r="G192" s="152">
        <v>1865</v>
      </c>
      <c r="H192" s="151">
        <v>0</v>
      </c>
      <c r="I192" s="152">
        <v>0</v>
      </c>
      <c r="J192" s="151">
        <v>0</v>
      </c>
      <c r="K192" s="152">
        <v>0</v>
      </c>
      <c r="L192" s="151">
        <v>1678.5040016174316</v>
      </c>
      <c r="M192" s="152">
        <v>1678.5040016174316</v>
      </c>
      <c r="N192" s="151">
        <v>0</v>
      </c>
      <c r="O192" s="152">
        <v>0</v>
      </c>
      <c r="P192" s="151">
        <v>0</v>
      </c>
      <c r="Q192" s="152">
        <v>0</v>
      </c>
      <c r="R192" s="151">
        <v>0</v>
      </c>
      <c r="S192" s="152">
        <v>0</v>
      </c>
      <c r="T192" s="151">
        <v>0</v>
      </c>
      <c r="U192" s="153">
        <v>0</v>
      </c>
      <c r="V192" t="str">
        <f>VLOOKUP(A192,'Projetos ciclo 2018-2022'!$I$8:$I$318,1,FALSE)</f>
        <v>TI05618</v>
      </c>
    </row>
    <row r="193" spans="1:22" x14ac:dyDescent="0.25">
      <c r="A193" s="21" t="s">
        <v>1651</v>
      </c>
      <c r="B193" s="154" t="s">
        <v>1652</v>
      </c>
      <c r="C193" s="154" t="s">
        <v>1653</v>
      </c>
      <c r="D193" s="155">
        <v>0</v>
      </c>
      <c r="E193" s="158">
        <v>0</v>
      </c>
      <c r="F193" s="155">
        <v>0</v>
      </c>
      <c r="G193" s="158">
        <v>179</v>
      </c>
      <c r="H193" s="155">
        <v>0</v>
      </c>
      <c r="I193" s="158">
        <v>0</v>
      </c>
      <c r="J193" s="155">
        <v>0</v>
      </c>
      <c r="K193" s="158">
        <v>0</v>
      </c>
      <c r="L193" s="155">
        <v>0</v>
      </c>
      <c r="M193" s="158">
        <v>0</v>
      </c>
      <c r="N193" s="155">
        <v>0</v>
      </c>
      <c r="O193" s="158">
        <v>0</v>
      </c>
      <c r="P193" s="155">
        <v>0</v>
      </c>
      <c r="Q193" s="158">
        <v>0</v>
      </c>
      <c r="R193" s="155">
        <v>0</v>
      </c>
      <c r="S193" s="158">
        <v>0</v>
      </c>
      <c r="T193" s="155">
        <v>0</v>
      </c>
      <c r="U193" s="157">
        <v>0</v>
      </c>
      <c r="V193" t="str">
        <f>VLOOKUP(A193,'Projetos ciclo 2018-2022'!$I$8:$I$318,1,FALSE)</f>
        <v>TI05718</v>
      </c>
    </row>
    <row r="194" spans="1:22" x14ac:dyDescent="0.25">
      <c r="A194" s="149" t="s">
        <v>1746</v>
      </c>
      <c r="B194" s="150" t="s">
        <v>1684</v>
      </c>
      <c r="C194" s="150" t="s">
        <v>1747</v>
      </c>
      <c r="D194" s="151">
        <v>0</v>
      </c>
      <c r="E194" s="152">
        <v>0</v>
      </c>
      <c r="F194" s="151">
        <v>0</v>
      </c>
      <c r="G194" s="152">
        <v>0</v>
      </c>
      <c r="H194" s="151">
        <v>0</v>
      </c>
      <c r="I194" s="152">
        <v>0</v>
      </c>
      <c r="J194" s="151">
        <v>0</v>
      </c>
      <c r="K194" s="152">
        <v>0</v>
      </c>
      <c r="L194" s="151">
        <v>0</v>
      </c>
      <c r="M194" s="152">
        <v>0</v>
      </c>
      <c r="N194" s="151">
        <v>0</v>
      </c>
      <c r="O194" s="152">
        <v>0</v>
      </c>
      <c r="P194" s="151">
        <v>0</v>
      </c>
      <c r="Q194" s="152">
        <v>0</v>
      </c>
      <c r="R194" s="151">
        <v>0</v>
      </c>
      <c r="S194" s="152">
        <v>0</v>
      </c>
      <c r="T194" s="151">
        <v>0</v>
      </c>
      <c r="U194" s="153">
        <v>0</v>
      </c>
      <c r="V194" t="str">
        <f>VLOOKUP(A194,'Projetos ciclo 2018-2022'!$I$8:$I$318,1,FALSE)</f>
        <v>TI06218</v>
      </c>
    </row>
    <row r="195" spans="1:22" x14ac:dyDescent="0.25">
      <c r="A195" s="21" t="s">
        <v>1748</v>
      </c>
      <c r="B195" s="154" t="s">
        <v>1678</v>
      </c>
      <c r="C195" s="154" t="s">
        <v>1749</v>
      </c>
      <c r="D195" s="155">
        <v>0</v>
      </c>
      <c r="E195" s="158">
        <v>0</v>
      </c>
      <c r="F195" s="155">
        <v>0</v>
      </c>
      <c r="G195" s="158">
        <v>26</v>
      </c>
      <c r="H195" s="155">
        <v>0</v>
      </c>
      <c r="I195" s="158">
        <v>0</v>
      </c>
      <c r="J195" s="155">
        <v>0</v>
      </c>
      <c r="K195" s="158">
        <v>0</v>
      </c>
      <c r="L195" s="155">
        <v>25.677000045776367</v>
      </c>
      <c r="M195" s="158">
        <v>25.677000045776367</v>
      </c>
      <c r="N195" s="155">
        <v>0</v>
      </c>
      <c r="O195" s="158">
        <v>0</v>
      </c>
      <c r="P195" s="155">
        <v>0</v>
      </c>
      <c r="Q195" s="158">
        <v>0</v>
      </c>
      <c r="R195" s="155">
        <v>0</v>
      </c>
      <c r="S195" s="158">
        <v>0</v>
      </c>
      <c r="T195" s="155">
        <v>0</v>
      </c>
      <c r="U195" s="157">
        <v>0</v>
      </c>
      <c r="V195" t="str">
        <f>VLOOKUP(A195,'Projetos ciclo 2018-2022'!$I$8:$I$318,1,FALSE)</f>
        <v>TI06318</v>
      </c>
    </row>
    <row r="196" spans="1:22" x14ac:dyDescent="0.25">
      <c r="A196" s="149" t="s">
        <v>1750</v>
      </c>
      <c r="B196" s="150" t="s">
        <v>1025</v>
      </c>
      <c r="C196" s="150" t="s">
        <v>1751</v>
      </c>
      <c r="D196" s="151">
        <v>0</v>
      </c>
      <c r="E196" s="152">
        <v>0</v>
      </c>
      <c r="F196" s="151">
        <v>0</v>
      </c>
      <c r="G196" s="152">
        <v>68</v>
      </c>
      <c r="H196" s="151">
        <v>0</v>
      </c>
      <c r="I196" s="152">
        <v>0</v>
      </c>
      <c r="J196" s="151">
        <v>0</v>
      </c>
      <c r="K196" s="152">
        <v>0</v>
      </c>
      <c r="L196" s="151">
        <v>68.472000122070313</v>
      </c>
      <c r="M196" s="152">
        <v>68.472000122070313</v>
      </c>
      <c r="N196" s="151">
        <v>0</v>
      </c>
      <c r="O196" s="152">
        <v>0</v>
      </c>
      <c r="P196" s="151">
        <v>0</v>
      </c>
      <c r="Q196" s="152">
        <v>0</v>
      </c>
      <c r="R196" s="151">
        <v>0</v>
      </c>
      <c r="S196" s="152">
        <v>0</v>
      </c>
      <c r="T196" s="151">
        <v>0</v>
      </c>
      <c r="U196" s="153">
        <v>0</v>
      </c>
      <c r="V196" t="str">
        <f>VLOOKUP(A196,'Projetos ciclo 2018-2022'!$I$8:$I$318,1,FALSE)</f>
        <v>TI06418</v>
      </c>
    </row>
    <row r="197" spans="1:22" x14ac:dyDescent="0.25">
      <c r="A197" s="21" t="s">
        <v>1752</v>
      </c>
      <c r="B197" s="154" t="s">
        <v>834</v>
      </c>
      <c r="C197" s="154" t="s">
        <v>1753</v>
      </c>
      <c r="D197" s="155">
        <v>0</v>
      </c>
      <c r="E197" s="158">
        <v>0</v>
      </c>
      <c r="F197" s="155">
        <v>0</v>
      </c>
      <c r="G197" s="158">
        <v>860</v>
      </c>
      <c r="H197" s="155">
        <v>0</v>
      </c>
      <c r="I197" s="158">
        <v>0</v>
      </c>
      <c r="J197" s="155">
        <v>0</v>
      </c>
      <c r="K197" s="158">
        <v>0</v>
      </c>
      <c r="L197" s="155">
        <v>0</v>
      </c>
      <c r="M197" s="158">
        <v>0</v>
      </c>
      <c r="N197" s="155">
        <v>0</v>
      </c>
      <c r="O197" s="158">
        <v>0</v>
      </c>
      <c r="P197" s="155">
        <v>0</v>
      </c>
      <c r="Q197" s="158">
        <v>0</v>
      </c>
      <c r="R197" s="155">
        <v>0</v>
      </c>
      <c r="S197" s="158">
        <v>0</v>
      </c>
      <c r="T197" s="155">
        <v>0</v>
      </c>
      <c r="U197" s="157">
        <v>0</v>
      </c>
      <c r="V197" t="str">
        <f>VLOOKUP(A197,'Projetos ciclo 2018-2022'!$I$8:$I$318,1,FALSE)</f>
        <v>TI06518</v>
      </c>
    </row>
    <row r="198" spans="1:22" x14ac:dyDescent="0.25">
      <c r="A198" s="149" t="s">
        <v>1798</v>
      </c>
      <c r="B198" s="150" t="s">
        <v>854</v>
      </c>
      <c r="C198" s="150" t="s">
        <v>1799</v>
      </c>
      <c r="D198" s="151">
        <v>0</v>
      </c>
      <c r="E198" s="152">
        <v>0</v>
      </c>
      <c r="F198" s="151">
        <v>0</v>
      </c>
      <c r="G198" s="152">
        <v>12</v>
      </c>
      <c r="H198" s="151">
        <v>0</v>
      </c>
      <c r="I198" s="152">
        <v>0</v>
      </c>
      <c r="J198" s="151">
        <v>0</v>
      </c>
      <c r="K198" s="152">
        <v>0</v>
      </c>
      <c r="L198" s="151">
        <v>0</v>
      </c>
      <c r="M198" s="152">
        <v>0</v>
      </c>
      <c r="N198" s="151">
        <v>0</v>
      </c>
      <c r="O198" s="152">
        <v>0</v>
      </c>
      <c r="P198" s="151">
        <v>0</v>
      </c>
      <c r="Q198" s="152">
        <v>0</v>
      </c>
      <c r="R198" s="151">
        <v>0</v>
      </c>
      <c r="S198" s="152">
        <v>0</v>
      </c>
      <c r="T198" s="151">
        <v>0</v>
      </c>
      <c r="U198" s="153">
        <v>0</v>
      </c>
      <c r="V198" t="str">
        <f>VLOOKUP(A198,'Projetos ciclo 2018-2022'!$I$8:$I$318,1,FALSE)</f>
        <v>TI06718</v>
      </c>
    </row>
    <row r="199" spans="1:22" x14ac:dyDescent="0.25">
      <c r="A199" s="21" t="s">
        <v>1800</v>
      </c>
      <c r="B199" s="154" t="s">
        <v>1796</v>
      </c>
      <c r="C199" s="154" t="s">
        <v>1801</v>
      </c>
      <c r="D199" s="155">
        <v>0</v>
      </c>
      <c r="E199" s="158">
        <v>0</v>
      </c>
      <c r="F199" s="155">
        <v>0</v>
      </c>
      <c r="G199" s="158">
        <v>99</v>
      </c>
      <c r="H199" s="155">
        <v>0</v>
      </c>
      <c r="I199" s="158">
        <v>0</v>
      </c>
      <c r="J199" s="155">
        <v>0</v>
      </c>
      <c r="K199" s="158">
        <v>0</v>
      </c>
      <c r="L199" s="155">
        <v>99.022499084472656</v>
      </c>
      <c r="M199" s="158">
        <v>99.022499084472656</v>
      </c>
      <c r="N199" s="155">
        <v>0</v>
      </c>
      <c r="O199" s="158">
        <v>0</v>
      </c>
      <c r="P199" s="155">
        <v>0</v>
      </c>
      <c r="Q199" s="158">
        <v>0</v>
      </c>
      <c r="R199" s="155">
        <v>0</v>
      </c>
      <c r="S199" s="158">
        <v>0</v>
      </c>
      <c r="T199" s="155">
        <v>0</v>
      </c>
      <c r="U199" s="157">
        <v>0</v>
      </c>
      <c r="V199" t="str">
        <f>VLOOKUP(A199,'Projetos ciclo 2018-2022'!$I$8:$I$318,1,FALSE)</f>
        <v>TI07018</v>
      </c>
    </row>
    <row r="200" spans="1:22" x14ac:dyDescent="0.25">
      <c r="A200" s="149" t="s">
        <v>1915</v>
      </c>
      <c r="B200" s="150" t="s">
        <v>1916</v>
      </c>
      <c r="C200" s="150" t="s">
        <v>1917</v>
      </c>
      <c r="D200" s="151">
        <v>0</v>
      </c>
      <c r="E200" s="152">
        <v>0</v>
      </c>
      <c r="F200" s="151">
        <v>0</v>
      </c>
      <c r="G200" s="152">
        <v>69</v>
      </c>
      <c r="H200" s="151">
        <v>0</v>
      </c>
      <c r="I200" s="152">
        <v>0</v>
      </c>
      <c r="J200" s="151">
        <v>0</v>
      </c>
      <c r="K200" s="152">
        <v>0</v>
      </c>
      <c r="L200" s="151">
        <v>0</v>
      </c>
      <c r="M200" s="152">
        <v>0</v>
      </c>
      <c r="N200" s="151">
        <v>0</v>
      </c>
      <c r="O200" s="152">
        <v>0</v>
      </c>
      <c r="P200" s="151">
        <v>0</v>
      </c>
      <c r="Q200" s="152">
        <v>0</v>
      </c>
      <c r="R200" s="151">
        <v>0</v>
      </c>
      <c r="S200" s="152">
        <v>0</v>
      </c>
      <c r="T200" s="151">
        <v>0</v>
      </c>
      <c r="U200" s="153">
        <v>0</v>
      </c>
      <c r="V200" t="str">
        <f>VLOOKUP(A200,'Projetos ciclo 2018-2022'!$I$8:$I$318,1,FALSE)</f>
        <v>TI07418</v>
      </c>
    </row>
    <row r="201" spans="1:22" x14ac:dyDescent="0.25">
      <c r="A201" s="21" t="s">
        <v>1918</v>
      </c>
      <c r="B201" s="154" t="s">
        <v>1919</v>
      </c>
      <c r="C201" s="154" t="s">
        <v>1920</v>
      </c>
      <c r="D201" s="155">
        <v>0</v>
      </c>
      <c r="E201" s="158">
        <v>0</v>
      </c>
      <c r="F201" s="155">
        <v>0</v>
      </c>
      <c r="G201" s="158">
        <v>485</v>
      </c>
      <c r="H201" s="155">
        <v>0</v>
      </c>
      <c r="I201" s="158">
        <v>0</v>
      </c>
      <c r="J201" s="155">
        <v>0</v>
      </c>
      <c r="K201" s="158">
        <v>0</v>
      </c>
      <c r="L201" s="155">
        <v>0</v>
      </c>
      <c r="M201" s="158">
        <v>0</v>
      </c>
      <c r="N201" s="155">
        <v>0</v>
      </c>
      <c r="O201" s="158">
        <v>0</v>
      </c>
      <c r="P201" s="155">
        <v>0</v>
      </c>
      <c r="Q201" s="158">
        <v>0</v>
      </c>
      <c r="R201" s="155">
        <v>0</v>
      </c>
      <c r="S201" s="158">
        <v>0</v>
      </c>
      <c r="T201" s="155">
        <v>0</v>
      </c>
      <c r="U201" s="157">
        <v>0</v>
      </c>
      <c r="V201" t="str">
        <f>VLOOKUP(A201,'Projetos ciclo 2018-2022'!$I$8:$I$318,1,FALSE)</f>
        <v>TI07518</v>
      </c>
    </row>
    <row r="202" spans="1:22" x14ac:dyDescent="0.25">
      <c r="A202" s="149" t="s">
        <v>1947</v>
      </c>
      <c r="B202" s="150" t="s">
        <v>1948</v>
      </c>
      <c r="C202" s="150" t="s">
        <v>1949</v>
      </c>
      <c r="D202" s="151">
        <v>0</v>
      </c>
      <c r="E202" s="152">
        <v>0</v>
      </c>
      <c r="F202" s="151">
        <v>0</v>
      </c>
      <c r="G202" s="152">
        <v>115</v>
      </c>
      <c r="H202" s="151">
        <v>0</v>
      </c>
      <c r="I202" s="152">
        <v>0</v>
      </c>
      <c r="J202" s="151">
        <v>0</v>
      </c>
      <c r="K202" s="152">
        <v>0</v>
      </c>
      <c r="L202" s="151">
        <v>114.364501953125</v>
      </c>
      <c r="M202" s="152">
        <v>114.364501953125</v>
      </c>
      <c r="N202" s="151">
        <v>0</v>
      </c>
      <c r="O202" s="152">
        <v>0</v>
      </c>
      <c r="P202" s="151">
        <v>0</v>
      </c>
      <c r="Q202" s="152">
        <v>0</v>
      </c>
      <c r="R202" s="151">
        <v>0</v>
      </c>
      <c r="S202" s="152">
        <v>0</v>
      </c>
      <c r="T202" s="151">
        <v>0</v>
      </c>
      <c r="U202" s="153">
        <v>0</v>
      </c>
      <c r="V202" t="str">
        <f>VLOOKUP(A202,'Projetos ciclo 2018-2022'!$I$8:$I$318,1,FALSE)</f>
        <v>TI08218</v>
      </c>
    </row>
    <row r="203" spans="1:22" x14ac:dyDescent="0.25">
      <c r="A203" s="21" t="s">
        <v>1980</v>
      </c>
      <c r="B203" s="154" t="s">
        <v>2000</v>
      </c>
      <c r="C203" s="154" t="s">
        <v>2001</v>
      </c>
      <c r="D203" s="155">
        <v>0</v>
      </c>
      <c r="E203" s="158">
        <v>0</v>
      </c>
      <c r="F203" s="155">
        <v>0</v>
      </c>
      <c r="G203" s="158">
        <v>50</v>
      </c>
      <c r="H203" s="155">
        <v>0</v>
      </c>
      <c r="I203" s="158">
        <v>0</v>
      </c>
      <c r="J203" s="155">
        <v>0</v>
      </c>
      <c r="K203" s="158">
        <v>0</v>
      </c>
      <c r="L203" s="155">
        <v>0</v>
      </c>
      <c r="M203" s="158">
        <v>0</v>
      </c>
      <c r="N203" s="155">
        <v>0</v>
      </c>
      <c r="O203" s="158">
        <v>0</v>
      </c>
      <c r="P203" s="155">
        <v>0</v>
      </c>
      <c r="Q203" s="158">
        <v>0</v>
      </c>
      <c r="R203" s="155">
        <v>0</v>
      </c>
      <c r="S203" s="158">
        <v>0</v>
      </c>
      <c r="T203" s="155">
        <v>0</v>
      </c>
      <c r="U203" s="157">
        <v>0</v>
      </c>
      <c r="V203" t="str">
        <f>VLOOKUP(A203,'Projetos ciclo 2018-2022'!$I$8:$I$318,1,FALSE)</f>
        <v>TI08318</v>
      </c>
    </row>
    <row r="204" spans="1:22" x14ac:dyDescent="0.25">
      <c r="A204" s="149" t="s">
        <v>2002</v>
      </c>
      <c r="B204" s="150" t="s">
        <v>2003</v>
      </c>
      <c r="C204" s="150" t="s">
        <v>2004</v>
      </c>
      <c r="D204" s="151">
        <v>0</v>
      </c>
      <c r="E204" s="152">
        <v>0</v>
      </c>
      <c r="F204" s="151">
        <v>0</v>
      </c>
      <c r="G204" s="152">
        <v>50</v>
      </c>
      <c r="H204" s="151">
        <v>0</v>
      </c>
      <c r="I204" s="152">
        <v>0</v>
      </c>
      <c r="J204" s="151">
        <v>0</v>
      </c>
      <c r="K204" s="152">
        <v>0</v>
      </c>
      <c r="L204" s="151">
        <v>0</v>
      </c>
      <c r="M204" s="152">
        <v>0</v>
      </c>
      <c r="N204" s="151">
        <v>0</v>
      </c>
      <c r="O204" s="152">
        <v>0</v>
      </c>
      <c r="P204" s="151">
        <v>0</v>
      </c>
      <c r="Q204" s="152">
        <v>0</v>
      </c>
      <c r="R204" s="151">
        <v>0</v>
      </c>
      <c r="S204" s="152">
        <v>0</v>
      </c>
      <c r="T204" s="151">
        <v>0</v>
      </c>
      <c r="U204" s="153">
        <v>0</v>
      </c>
      <c r="V204" t="str">
        <f>VLOOKUP(A204,'Projetos ciclo 2018-2022'!$I$8:$I$318,1,FALSE)</f>
        <v>TI08418</v>
      </c>
    </row>
    <row r="205" spans="1:22" x14ac:dyDescent="0.25">
      <c r="A205" s="21" t="s">
        <v>1194</v>
      </c>
      <c r="B205" s="154" t="s">
        <v>1392</v>
      </c>
      <c r="C205" s="154" t="s">
        <v>59</v>
      </c>
      <c r="D205" s="155">
        <v>0</v>
      </c>
      <c r="E205" s="158">
        <v>0</v>
      </c>
      <c r="F205" s="155">
        <v>0</v>
      </c>
      <c r="G205" s="158">
        <v>0</v>
      </c>
      <c r="H205" s="155">
        <v>0</v>
      </c>
      <c r="I205" s="158">
        <v>0</v>
      </c>
      <c r="J205" s="155">
        <v>0</v>
      </c>
      <c r="K205" s="158">
        <v>0</v>
      </c>
      <c r="L205" s="155">
        <v>0</v>
      </c>
      <c r="M205" s="158">
        <v>0</v>
      </c>
      <c r="N205" s="155">
        <v>0</v>
      </c>
      <c r="O205" s="158">
        <v>0</v>
      </c>
      <c r="P205" s="155">
        <v>0</v>
      </c>
      <c r="Q205" s="158">
        <v>0</v>
      </c>
      <c r="R205" s="155">
        <v>0</v>
      </c>
      <c r="S205" s="158">
        <v>0</v>
      </c>
      <c r="T205" s="155">
        <v>0</v>
      </c>
      <c r="U205" s="157">
        <v>0</v>
      </c>
      <c r="V205" t="e">
        <f>VLOOKUP(A205,'Projetos ciclo 2018-2022'!$I$8:$I$318,1,FALSE)</f>
        <v>#N/A</v>
      </c>
    </row>
    <row r="206" spans="1:22" x14ac:dyDescent="0.25">
      <c r="A206" s="149" t="s">
        <v>1196</v>
      </c>
      <c r="B206" s="150" t="s">
        <v>1197</v>
      </c>
      <c r="C206" s="150" t="s">
        <v>59</v>
      </c>
      <c r="D206" s="151">
        <v>0</v>
      </c>
      <c r="E206" s="152">
        <v>0</v>
      </c>
      <c r="F206" s="151">
        <v>0</v>
      </c>
      <c r="G206" s="152">
        <v>0</v>
      </c>
      <c r="H206" s="151">
        <v>0</v>
      </c>
      <c r="I206" s="152">
        <v>0</v>
      </c>
      <c r="J206" s="151">
        <v>0</v>
      </c>
      <c r="K206" s="152">
        <v>0</v>
      </c>
      <c r="L206" s="151">
        <v>0</v>
      </c>
      <c r="M206" s="152">
        <v>0</v>
      </c>
      <c r="N206" s="151">
        <v>0</v>
      </c>
      <c r="O206" s="152">
        <v>0</v>
      </c>
      <c r="P206" s="151">
        <v>0</v>
      </c>
      <c r="Q206" s="152">
        <v>0</v>
      </c>
      <c r="R206" s="151">
        <v>0</v>
      </c>
      <c r="S206" s="152">
        <v>0</v>
      </c>
      <c r="T206" s="151">
        <v>0</v>
      </c>
      <c r="U206" s="153">
        <v>0</v>
      </c>
      <c r="V206" t="e">
        <f>VLOOKUP(A206,'Projetos ciclo 2018-2022'!$I$8:$I$318,1,FALSE)</f>
        <v>#N/A</v>
      </c>
    </row>
    <row r="207" spans="1:22" x14ac:dyDescent="0.25">
      <c r="A207" s="21" t="s">
        <v>1393</v>
      </c>
      <c r="B207" s="154" t="s">
        <v>1394</v>
      </c>
      <c r="C207" s="154" t="s">
        <v>1510</v>
      </c>
      <c r="D207" s="155">
        <v>1746</v>
      </c>
      <c r="E207" s="158">
        <v>0</v>
      </c>
      <c r="F207" s="155">
        <v>90</v>
      </c>
      <c r="G207" s="158">
        <v>0</v>
      </c>
      <c r="H207" s="155">
        <v>0</v>
      </c>
      <c r="I207" s="158">
        <v>0</v>
      </c>
      <c r="J207" s="155">
        <v>0</v>
      </c>
      <c r="K207" s="158">
        <v>0</v>
      </c>
      <c r="L207" s="155">
        <v>0</v>
      </c>
      <c r="M207" s="158">
        <v>0</v>
      </c>
      <c r="N207" s="155">
        <v>1656</v>
      </c>
      <c r="O207" s="158">
        <v>0</v>
      </c>
      <c r="P207" s="155">
        <v>0</v>
      </c>
      <c r="Q207" s="158">
        <v>0</v>
      </c>
      <c r="R207" s="155">
        <v>0</v>
      </c>
      <c r="S207" s="158">
        <v>0</v>
      </c>
      <c r="T207" s="155">
        <v>0</v>
      </c>
      <c r="U207" s="157">
        <v>0</v>
      </c>
      <c r="V207" t="e">
        <f>VLOOKUP(A207,'Projetos ciclo 2018-2022'!$I$8:$I$318,1,FALSE)</f>
        <v>#N/A</v>
      </c>
    </row>
    <row r="208" spans="1:22" x14ac:dyDescent="0.25">
      <c r="A208" s="149" t="s">
        <v>1426</v>
      </c>
      <c r="B208" s="150" t="s">
        <v>1511</v>
      </c>
      <c r="C208" s="150" t="s">
        <v>1512</v>
      </c>
      <c r="D208" s="151">
        <v>0</v>
      </c>
      <c r="E208" s="152">
        <v>0</v>
      </c>
      <c r="F208" s="151">
        <v>0</v>
      </c>
      <c r="G208" s="152">
        <v>0</v>
      </c>
      <c r="H208" s="151">
        <v>0</v>
      </c>
      <c r="I208" s="152">
        <v>0</v>
      </c>
      <c r="J208" s="151">
        <v>0</v>
      </c>
      <c r="K208" s="152">
        <v>0</v>
      </c>
      <c r="L208" s="151">
        <v>0</v>
      </c>
      <c r="M208" s="152">
        <v>0</v>
      </c>
      <c r="N208" s="151">
        <v>0</v>
      </c>
      <c r="O208" s="152">
        <v>0</v>
      </c>
      <c r="P208" s="151">
        <v>0</v>
      </c>
      <c r="Q208" s="152">
        <v>0</v>
      </c>
      <c r="R208" s="151">
        <v>0</v>
      </c>
      <c r="S208" s="152">
        <v>0</v>
      </c>
      <c r="T208" s="151">
        <v>0</v>
      </c>
      <c r="U208" s="153">
        <v>0</v>
      </c>
      <c r="V208" t="str">
        <f>VLOOKUP(A208,'Projetos ciclo 2018-2022'!$I$8:$I$318,1,FALSE)</f>
        <v>MD00218</v>
      </c>
    </row>
    <row r="209" spans="1:22" x14ac:dyDescent="0.25">
      <c r="A209" s="21" t="s">
        <v>565</v>
      </c>
      <c r="B209" s="154" t="s">
        <v>1198</v>
      </c>
      <c r="C209" s="154" t="s">
        <v>59</v>
      </c>
      <c r="D209" s="155">
        <v>3710</v>
      </c>
      <c r="E209" s="158">
        <v>0</v>
      </c>
      <c r="F209" s="155">
        <v>0</v>
      </c>
      <c r="G209" s="158">
        <v>0</v>
      </c>
      <c r="H209" s="155">
        <v>0</v>
      </c>
      <c r="I209" s="158">
        <v>0</v>
      </c>
      <c r="J209" s="155">
        <v>0</v>
      </c>
      <c r="K209" s="158">
        <v>0</v>
      </c>
      <c r="L209" s="155">
        <v>0</v>
      </c>
      <c r="M209" s="158">
        <v>0</v>
      </c>
      <c r="N209" s="155">
        <v>208</v>
      </c>
      <c r="O209" s="158">
        <v>2982</v>
      </c>
      <c r="P209" s="155">
        <v>350</v>
      </c>
      <c r="Q209" s="158">
        <v>170</v>
      </c>
      <c r="R209" s="155">
        <v>0</v>
      </c>
      <c r="S209" s="158">
        <v>0</v>
      </c>
      <c r="T209" s="155">
        <v>0</v>
      </c>
      <c r="U209" s="157">
        <v>0</v>
      </c>
      <c r="V209" t="str">
        <f>VLOOKUP(A209,'Projetos ciclo 2018-2022'!$I$8:$I$318,1,FALSE)</f>
        <v>NA</v>
      </c>
    </row>
    <row r="210" spans="1:22" x14ac:dyDescent="0.25">
      <c r="A210" s="149" t="s">
        <v>1199</v>
      </c>
      <c r="B210" s="150" t="s">
        <v>1200</v>
      </c>
      <c r="C210" s="150" t="s">
        <v>59</v>
      </c>
      <c r="D210" s="151">
        <v>3092</v>
      </c>
      <c r="E210" s="152">
        <v>0</v>
      </c>
      <c r="F210" s="151">
        <v>0</v>
      </c>
      <c r="G210" s="152">
        <v>0</v>
      </c>
      <c r="H210" s="151">
        <v>0</v>
      </c>
      <c r="I210" s="152">
        <v>0</v>
      </c>
      <c r="J210" s="151">
        <v>0</v>
      </c>
      <c r="K210" s="152">
        <v>0</v>
      </c>
      <c r="L210" s="151">
        <v>0</v>
      </c>
      <c r="M210" s="152">
        <v>0</v>
      </c>
      <c r="N210" s="151">
        <v>0</v>
      </c>
      <c r="O210" s="152">
        <v>0</v>
      </c>
      <c r="P210" s="151">
        <v>0</v>
      </c>
      <c r="Q210" s="152">
        <v>0</v>
      </c>
      <c r="R210" s="151">
        <v>0</v>
      </c>
      <c r="S210" s="152">
        <v>0</v>
      </c>
      <c r="T210" s="151">
        <v>0</v>
      </c>
      <c r="U210" s="153">
        <v>0</v>
      </c>
      <c r="V210" t="e">
        <f>VLOOKUP(A210,'Projetos ciclo 2018-2022'!$I$8:$I$318,1,FALSE)</f>
        <v>#N/A</v>
      </c>
    </row>
    <row r="211" spans="1:22" x14ac:dyDescent="0.25">
      <c r="A211" s="21" t="s">
        <v>1194</v>
      </c>
      <c r="B211" s="154" t="s">
        <v>1315</v>
      </c>
      <c r="C211" s="154" t="s">
        <v>59</v>
      </c>
      <c r="D211" s="155">
        <v>0</v>
      </c>
      <c r="E211" s="158">
        <v>0</v>
      </c>
      <c r="F211" s="155">
        <v>0</v>
      </c>
      <c r="G211" s="158">
        <v>0</v>
      </c>
      <c r="H211" s="155">
        <v>0</v>
      </c>
      <c r="I211" s="158">
        <v>0</v>
      </c>
      <c r="J211" s="155">
        <v>0</v>
      </c>
      <c r="K211" s="158">
        <v>0</v>
      </c>
      <c r="L211" s="155">
        <v>0</v>
      </c>
      <c r="M211" s="158">
        <v>0</v>
      </c>
      <c r="N211" s="155">
        <v>0</v>
      </c>
      <c r="O211" s="158">
        <v>0</v>
      </c>
      <c r="P211" s="155">
        <v>0</v>
      </c>
      <c r="Q211" s="158">
        <v>0</v>
      </c>
      <c r="R211" s="155">
        <v>0</v>
      </c>
      <c r="S211" s="158">
        <v>0</v>
      </c>
      <c r="T211" s="155">
        <v>0</v>
      </c>
      <c r="U211" s="157">
        <v>0</v>
      </c>
      <c r="V211" t="e">
        <f>VLOOKUP(A211,'Projetos ciclo 2018-2022'!$I$8:$I$318,1,FALSE)</f>
        <v>#N/A</v>
      </c>
    </row>
    <row r="212" spans="1:22" x14ac:dyDescent="0.25">
      <c r="A212" s="149" t="s">
        <v>1196</v>
      </c>
      <c r="B212" s="150" t="s">
        <v>1197</v>
      </c>
      <c r="C212" s="150" t="s">
        <v>59</v>
      </c>
      <c r="D212" s="151">
        <v>0</v>
      </c>
      <c r="E212" s="152">
        <v>0</v>
      </c>
      <c r="F212" s="151">
        <v>0</v>
      </c>
      <c r="G212" s="152">
        <v>0</v>
      </c>
      <c r="H212" s="151">
        <v>0</v>
      </c>
      <c r="I212" s="152">
        <v>0</v>
      </c>
      <c r="J212" s="151">
        <v>0</v>
      </c>
      <c r="K212" s="152">
        <v>0</v>
      </c>
      <c r="L212" s="151">
        <v>0</v>
      </c>
      <c r="M212" s="152">
        <v>0</v>
      </c>
      <c r="N212" s="151">
        <v>0</v>
      </c>
      <c r="O212" s="152">
        <v>0</v>
      </c>
      <c r="P212" s="151">
        <v>0</v>
      </c>
      <c r="Q212" s="152">
        <v>0</v>
      </c>
      <c r="R212" s="151">
        <v>0</v>
      </c>
      <c r="S212" s="152">
        <v>0</v>
      </c>
      <c r="T212" s="151">
        <v>0</v>
      </c>
      <c r="U212" s="153">
        <v>0</v>
      </c>
      <c r="V212" t="e">
        <f>VLOOKUP(A212,'Projetos ciclo 2018-2022'!$I$8:$I$318,1,FALSE)</f>
        <v>#N/A</v>
      </c>
    </row>
    <row r="213" spans="1:22" x14ac:dyDescent="0.25">
      <c r="A213" s="21" t="s">
        <v>565</v>
      </c>
      <c r="B213" s="154" t="s">
        <v>1396</v>
      </c>
      <c r="C213" s="154" t="s">
        <v>59</v>
      </c>
      <c r="D213" s="155">
        <v>625</v>
      </c>
      <c r="E213" s="158">
        <v>0</v>
      </c>
      <c r="F213" s="155">
        <v>0</v>
      </c>
      <c r="G213" s="158">
        <v>0</v>
      </c>
      <c r="H213" s="155">
        <v>0</v>
      </c>
      <c r="I213" s="158">
        <v>0</v>
      </c>
      <c r="J213" s="155">
        <v>0</v>
      </c>
      <c r="K213" s="158">
        <v>0</v>
      </c>
      <c r="L213" s="155">
        <v>0</v>
      </c>
      <c r="M213" s="158">
        <v>0</v>
      </c>
      <c r="N213" s="155">
        <v>75</v>
      </c>
      <c r="O213" s="158">
        <v>150</v>
      </c>
      <c r="P213" s="155">
        <v>150</v>
      </c>
      <c r="Q213" s="158">
        <v>250</v>
      </c>
      <c r="R213" s="155">
        <v>0</v>
      </c>
      <c r="S213" s="158">
        <v>0</v>
      </c>
      <c r="T213" s="155">
        <v>0</v>
      </c>
      <c r="U213" s="157">
        <v>0</v>
      </c>
      <c r="V213" t="str">
        <f>VLOOKUP(A213,'Projetos ciclo 2018-2022'!$I$8:$I$318,1,FALSE)</f>
        <v>NA</v>
      </c>
    </row>
    <row r="214" spans="1:22" x14ac:dyDescent="0.25">
      <c r="A214" s="149" t="s">
        <v>1199</v>
      </c>
      <c r="B214" s="150" t="s">
        <v>1200</v>
      </c>
      <c r="C214" s="150" t="s">
        <v>59</v>
      </c>
      <c r="D214" s="151">
        <v>0</v>
      </c>
      <c r="E214" s="152">
        <v>0</v>
      </c>
      <c r="F214" s="151">
        <v>0</v>
      </c>
      <c r="G214" s="152">
        <v>0</v>
      </c>
      <c r="H214" s="151">
        <v>0</v>
      </c>
      <c r="I214" s="152">
        <v>0</v>
      </c>
      <c r="J214" s="151">
        <v>0</v>
      </c>
      <c r="K214" s="152">
        <v>0</v>
      </c>
      <c r="L214" s="151">
        <v>0</v>
      </c>
      <c r="M214" s="152">
        <v>0</v>
      </c>
      <c r="N214" s="151">
        <v>0</v>
      </c>
      <c r="O214" s="152">
        <v>0</v>
      </c>
      <c r="P214" s="151">
        <v>0</v>
      </c>
      <c r="Q214" s="152">
        <v>0</v>
      </c>
      <c r="R214" s="151">
        <v>0</v>
      </c>
      <c r="S214" s="152">
        <v>0</v>
      </c>
      <c r="T214" s="151">
        <v>0</v>
      </c>
      <c r="U214" s="153">
        <v>0</v>
      </c>
      <c r="V214" t="e">
        <f>VLOOKUP(A214,'Projetos ciclo 2018-2022'!$I$8:$I$318,1,FALSE)</f>
        <v>#N/A</v>
      </c>
    </row>
    <row r="215" spans="1:22" x14ac:dyDescent="0.25">
      <c r="A215" s="21" t="s">
        <v>1397</v>
      </c>
      <c r="B215" s="154" t="s">
        <v>1398</v>
      </c>
      <c r="C215" s="154" t="s">
        <v>1399</v>
      </c>
      <c r="D215" s="155">
        <v>75</v>
      </c>
      <c r="E215" s="158">
        <v>0</v>
      </c>
      <c r="F215" s="155">
        <v>75</v>
      </c>
      <c r="G215" s="158">
        <v>0</v>
      </c>
      <c r="H215" s="155">
        <v>0</v>
      </c>
      <c r="I215" s="158">
        <v>0</v>
      </c>
      <c r="J215" s="155">
        <v>0</v>
      </c>
      <c r="K215" s="158">
        <v>0</v>
      </c>
      <c r="L215" s="155">
        <v>0</v>
      </c>
      <c r="M215" s="158">
        <v>0</v>
      </c>
      <c r="N215" s="155">
        <v>0</v>
      </c>
      <c r="O215" s="158">
        <v>0</v>
      </c>
      <c r="P215" s="155">
        <v>0</v>
      </c>
      <c r="Q215" s="158">
        <v>0</v>
      </c>
      <c r="R215" s="155">
        <v>0</v>
      </c>
      <c r="S215" s="158">
        <v>0</v>
      </c>
      <c r="T215" s="155">
        <v>0</v>
      </c>
      <c r="U215" s="157">
        <v>0</v>
      </c>
      <c r="V215" t="e">
        <f>VLOOKUP(A215,'Projetos ciclo 2018-2022'!$I$8:$I$318,1,FALSE)</f>
        <v>#N/A</v>
      </c>
    </row>
    <row r="216" spans="1:22" x14ac:dyDescent="0.25">
      <c r="A216" s="149" t="s">
        <v>1482</v>
      </c>
      <c r="B216" s="150" t="s">
        <v>1463</v>
      </c>
      <c r="C216" s="150" t="s">
        <v>1483</v>
      </c>
      <c r="D216" s="151">
        <v>0</v>
      </c>
      <c r="E216" s="152">
        <v>0</v>
      </c>
      <c r="F216" s="151">
        <v>0</v>
      </c>
      <c r="G216" s="152">
        <v>75</v>
      </c>
      <c r="H216" s="151">
        <v>0</v>
      </c>
      <c r="I216" s="152">
        <v>0</v>
      </c>
      <c r="J216" s="151">
        <v>0</v>
      </c>
      <c r="K216" s="152">
        <v>0</v>
      </c>
      <c r="L216" s="151">
        <v>0</v>
      </c>
      <c r="M216" s="152">
        <v>0</v>
      </c>
      <c r="N216" s="151">
        <v>0</v>
      </c>
      <c r="O216" s="152">
        <v>0</v>
      </c>
      <c r="P216" s="151">
        <v>0</v>
      </c>
      <c r="Q216" s="152">
        <v>0</v>
      </c>
      <c r="R216" s="151">
        <v>0</v>
      </c>
      <c r="S216" s="152">
        <v>0</v>
      </c>
      <c r="T216" s="151">
        <v>0</v>
      </c>
      <c r="U216" s="153">
        <v>0</v>
      </c>
      <c r="V216" t="str">
        <f>VLOOKUP(A216,'Projetos ciclo 2018-2022'!$I$8:$I$318,1,FALSE)</f>
        <v>TI04518</v>
      </c>
    </row>
    <row r="217" spans="1:22" x14ac:dyDescent="0.25">
      <c r="A217" s="21" t="s">
        <v>1194</v>
      </c>
      <c r="B217" s="154" t="s">
        <v>1400</v>
      </c>
      <c r="C217" s="154" t="s">
        <v>59</v>
      </c>
      <c r="D217" s="155">
        <v>0</v>
      </c>
      <c r="E217" s="158">
        <v>0</v>
      </c>
      <c r="F217" s="155">
        <v>0</v>
      </c>
      <c r="G217" s="158">
        <v>0</v>
      </c>
      <c r="H217" s="155">
        <v>0</v>
      </c>
      <c r="I217" s="158">
        <v>0</v>
      </c>
      <c r="J217" s="155">
        <v>0</v>
      </c>
      <c r="K217" s="158">
        <v>0</v>
      </c>
      <c r="L217" s="155">
        <v>0</v>
      </c>
      <c r="M217" s="158">
        <v>0</v>
      </c>
      <c r="N217" s="155">
        <v>0</v>
      </c>
      <c r="O217" s="158">
        <v>0</v>
      </c>
      <c r="P217" s="155">
        <v>0</v>
      </c>
      <c r="Q217" s="158">
        <v>0</v>
      </c>
      <c r="R217" s="155">
        <v>0</v>
      </c>
      <c r="S217" s="158">
        <v>0</v>
      </c>
      <c r="T217" s="155">
        <v>0</v>
      </c>
      <c r="U217" s="157">
        <v>0</v>
      </c>
      <c r="V217" t="e">
        <f>VLOOKUP(A217,'Projetos ciclo 2018-2022'!$I$8:$I$318,1,FALSE)</f>
        <v>#N/A</v>
      </c>
    </row>
    <row r="218" spans="1:22" x14ac:dyDescent="0.25">
      <c r="A218" s="149" t="s">
        <v>1196</v>
      </c>
      <c r="B218" s="150" t="s">
        <v>1197</v>
      </c>
      <c r="C218" s="150" t="s">
        <v>59</v>
      </c>
      <c r="D218" s="151">
        <v>0</v>
      </c>
      <c r="E218" s="152">
        <v>0</v>
      </c>
      <c r="F218" s="151">
        <v>0</v>
      </c>
      <c r="G218" s="152">
        <v>0</v>
      </c>
      <c r="H218" s="151">
        <v>0</v>
      </c>
      <c r="I218" s="152">
        <v>0</v>
      </c>
      <c r="J218" s="151">
        <v>0</v>
      </c>
      <c r="K218" s="152">
        <v>0</v>
      </c>
      <c r="L218" s="151">
        <v>0</v>
      </c>
      <c r="M218" s="152">
        <v>0</v>
      </c>
      <c r="N218" s="151">
        <v>0</v>
      </c>
      <c r="O218" s="152">
        <v>0</v>
      </c>
      <c r="P218" s="151">
        <v>0</v>
      </c>
      <c r="Q218" s="152">
        <v>0</v>
      </c>
      <c r="R218" s="151">
        <v>0</v>
      </c>
      <c r="S218" s="152">
        <v>0</v>
      </c>
      <c r="T218" s="151">
        <v>0</v>
      </c>
      <c r="U218" s="153">
        <v>0</v>
      </c>
      <c r="V218" t="e">
        <f>VLOOKUP(A218,'Projetos ciclo 2018-2022'!$I$8:$I$318,1,FALSE)</f>
        <v>#N/A</v>
      </c>
    </row>
    <row r="219" spans="1:22" x14ac:dyDescent="0.25">
      <c r="A219" s="21" t="s">
        <v>565</v>
      </c>
      <c r="B219" s="154" t="s">
        <v>1401</v>
      </c>
      <c r="C219" s="154" t="s">
        <v>59</v>
      </c>
      <c r="D219" s="155">
        <v>571</v>
      </c>
      <c r="E219" s="158">
        <v>0</v>
      </c>
      <c r="F219" s="155">
        <v>0</v>
      </c>
      <c r="G219" s="158">
        <v>0</v>
      </c>
      <c r="H219" s="155">
        <v>0</v>
      </c>
      <c r="I219" s="158">
        <v>0</v>
      </c>
      <c r="J219" s="155">
        <v>0</v>
      </c>
      <c r="K219" s="158">
        <v>0</v>
      </c>
      <c r="L219" s="155">
        <v>0</v>
      </c>
      <c r="M219" s="158">
        <v>0</v>
      </c>
      <c r="N219" s="155">
        <v>135</v>
      </c>
      <c r="O219" s="158">
        <v>136</v>
      </c>
      <c r="P219" s="155">
        <v>150</v>
      </c>
      <c r="Q219" s="158">
        <v>150</v>
      </c>
      <c r="R219" s="155">
        <v>0</v>
      </c>
      <c r="S219" s="158">
        <v>0</v>
      </c>
      <c r="T219" s="155">
        <v>0</v>
      </c>
      <c r="U219" s="157">
        <v>0</v>
      </c>
      <c r="V219" t="str">
        <f>VLOOKUP(A219,'Projetos ciclo 2018-2022'!$I$8:$I$318,1,FALSE)</f>
        <v>NA</v>
      </c>
    </row>
    <row r="220" spans="1:22" x14ac:dyDescent="0.25">
      <c r="A220" s="149" t="s">
        <v>1199</v>
      </c>
      <c r="B220" s="150" t="s">
        <v>1200</v>
      </c>
      <c r="C220" s="150" t="s">
        <v>59</v>
      </c>
      <c r="D220" s="151">
        <v>0</v>
      </c>
      <c r="E220" s="152">
        <v>0</v>
      </c>
      <c r="F220" s="151">
        <v>0</v>
      </c>
      <c r="G220" s="152">
        <v>0</v>
      </c>
      <c r="H220" s="151">
        <v>0</v>
      </c>
      <c r="I220" s="152">
        <v>0</v>
      </c>
      <c r="J220" s="151">
        <v>0</v>
      </c>
      <c r="K220" s="152">
        <v>0</v>
      </c>
      <c r="L220" s="151">
        <v>0</v>
      </c>
      <c r="M220" s="152">
        <v>0</v>
      </c>
      <c r="N220" s="151">
        <v>0</v>
      </c>
      <c r="O220" s="152">
        <v>0</v>
      </c>
      <c r="P220" s="151">
        <v>0</v>
      </c>
      <c r="Q220" s="152">
        <v>0</v>
      </c>
      <c r="R220" s="151">
        <v>0</v>
      </c>
      <c r="S220" s="152">
        <v>0</v>
      </c>
      <c r="T220" s="151">
        <v>0</v>
      </c>
      <c r="U220" s="153">
        <v>0</v>
      </c>
      <c r="V220" t="e">
        <f>VLOOKUP(A220,'Projetos ciclo 2018-2022'!$I$8:$I$318,1,FALSE)</f>
        <v>#N/A</v>
      </c>
    </row>
    <row r="221" spans="1:22" x14ac:dyDescent="0.25">
      <c r="A221" s="21" t="s">
        <v>801</v>
      </c>
      <c r="B221" s="154" t="s">
        <v>1405</v>
      </c>
      <c r="C221" s="154" t="s">
        <v>1406</v>
      </c>
      <c r="D221" s="155">
        <v>0</v>
      </c>
      <c r="E221" s="158">
        <v>0</v>
      </c>
      <c r="F221" s="155">
        <v>0</v>
      </c>
      <c r="G221" s="158">
        <v>8</v>
      </c>
      <c r="H221" s="155">
        <v>0</v>
      </c>
      <c r="I221" s="158">
        <v>7.6050000190734863</v>
      </c>
      <c r="J221" s="155">
        <v>0</v>
      </c>
      <c r="K221" s="158">
        <v>7.6050000190734863</v>
      </c>
      <c r="L221" s="155">
        <v>0</v>
      </c>
      <c r="M221" s="158">
        <v>7.6050000190734863</v>
      </c>
      <c r="N221" s="155">
        <v>0</v>
      </c>
      <c r="O221" s="158">
        <v>0</v>
      </c>
      <c r="P221" s="155">
        <v>0</v>
      </c>
      <c r="Q221" s="158">
        <v>0</v>
      </c>
      <c r="R221" s="155">
        <v>0</v>
      </c>
      <c r="S221" s="158">
        <v>0</v>
      </c>
      <c r="T221" s="155">
        <v>0</v>
      </c>
      <c r="U221" s="157">
        <v>0</v>
      </c>
      <c r="V221" t="str">
        <f>VLOOKUP(A221,'Projetos ciclo 2018-2022'!$I$8:$I$318,1,FALSE)</f>
        <v>TI01114</v>
      </c>
    </row>
    <row r="222" spans="1:22" x14ac:dyDescent="0.25">
      <c r="A222" s="149" t="s">
        <v>1397</v>
      </c>
      <c r="B222" s="150" t="s">
        <v>1407</v>
      </c>
      <c r="C222" s="150" t="s">
        <v>1408</v>
      </c>
      <c r="D222" s="151">
        <v>1318</v>
      </c>
      <c r="E222" s="152">
        <v>0</v>
      </c>
      <c r="F222" s="151">
        <v>1289</v>
      </c>
      <c r="G222" s="152">
        <v>0</v>
      </c>
      <c r="H222" s="151">
        <v>219</v>
      </c>
      <c r="I222" s="152">
        <v>0</v>
      </c>
      <c r="J222" s="151">
        <v>0</v>
      </c>
      <c r="K222" s="152">
        <v>0</v>
      </c>
      <c r="L222" s="151">
        <v>0</v>
      </c>
      <c r="M222" s="152">
        <v>0</v>
      </c>
      <c r="N222" s="151">
        <v>15</v>
      </c>
      <c r="O222" s="152">
        <v>14</v>
      </c>
      <c r="P222" s="151">
        <v>0</v>
      </c>
      <c r="Q222" s="152">
        <v>0</v>
      </c>
      <c r="R222" s="151">
        <v>0</v>
      </c>
      <c r="S222" s="152">
        <v>0</v>
      </c>
      <c r="T222" s="151">
        <v>0</v>
      </c>
      <c r="U222" s="153">
        <v>0</v>
      </c>
      <c r="V222" t="e">
        <f>VLOOKUP(A222,'Projetos ciclo 2018-2022'!$I$8:$I$318,1,FALSE)</f>
        <v>#N/A</v>
      </c>
    </row>
    <row r="223" spans="1:22" x14ac:dyDescent="0.25">
      <c r="A223" s="21" t="s">
        <v>1802</v>
      </c>
      <c r="B223" s="154" t="s">
        <v>1796</v>
      </c>
      <c r="C223" s="154" t="s">
        <v>1803</v>
      </c>
      <c r="D223" s="155">
        <v>0</v>
      </c>
      <c r="E223" s="158">
        <v>0</v>
      </c>
      <c r="F223" s="155">
        <v>0</v>
      </c>
      <c r="G223" s="158">
        <v>15</v>
      </c>
      <c r="H223" s="155">
        <v>0</v>
      </c>
      <c r="I223" s="158">
        <v>0</v>
      </c>
      <c r="J223" s="155">
        <v>0</v>
      </c>
      <c r="K223" s="158">
        <v>0</v>
      </c>
      <c r="L223" s="155">
        <v>14.723099708557129</v>
      </c>
      <c r="M223" s="158">
        <v>14.723099708557129</v>
      </c>
      <c r="N223" s="155">
        <v>0</v>
      </c>
      <c r="O223" s="158">
        <v>0</v>
      </c>
      <c r="P223" s="155">
        <v>0</v>
      </c>
      <c r="Q223" s="158">
        <v>0</v>
      </c>
      <c r="R223" s="155">
        <v>0</v>
      </c>
      <c r="S223" s="158">
        <v>0</v>
      </c>
      <c r="T223" s="155">
        <v>0</v>
      </c>
      <c r="U223" s="157">
        <v>0</v>
      </c>
      <c r="V223" t="str">
        <f>VLOOKUP(A223,'Projetos ciclo 2018-2022'!$I$8:$I$318,1,FALSE)</f>
        <v>TI07118</v>
      </c>
    </row>
    <row r="224" spans="1:22" x14ac:dyDescent="0.25">
      <c r="A224" s="149" t="s">
        <v>1921</v>
      </c>
      <c r="B224" s="150" t="s">
        <v>1890</v>
      </c>
      <c r="C224" s="150" t="s">
        <v>1922</v>
      </c>
      <c r="D224" s="151">
        <v>0</v>
      </c>
      <c r="E224" s="152">
        <v>0</v>
      </c>
      <c r="F224" s="151">
        <v>0</v>
      </c>
      <c r="G224" s="152">
        <v>55</v>
      </c>
      <c r="H224" s="151">
        <v>0</v>
      </c>
      <c r="I224" s="152">
        <v>0</v>
      </c>
      <c r="J224" s="151">
        <v>0</v>
      </c>
      <c r="K224" s="152">
        <v>0</v>
      </c>
      <c r="L224" s="151">
        <v>0</v>
      </c>
      <c r="M224" s="152">
        <v>0</v>
      </c>
      <c r="N224" s="151">
        <v>0</v>
      </c>
      <c r="O224" s="152">
        <v>0</v>
      </c>
      <c r="P224" s="151">
        <v>0</v>
      </c>
      <c r="Q224" s="152">
        <v>0</v>
      </c>
      <c r="R224" s="151">
        <v>0</v>
      </c>
      <c r="S224" s="152">
        <v>0</v>
      </c>
      <c r="T224" s="151">
        <v>0</v>
      </c>
      <c r="U224" s="153">
        <v>0</v>
      </c>
      <c r="V224" t="e">
        <f>VLOOKUP(A224,'Projetos ciclo 2018-2022'!$I$8:$I$318,1,FALSE)</f>
        <v>#N/A</v>
      </c>
    </row>
    <row r="225" spans="4:21" x14ac:dyDescent="0.25">
      <c r="D225" s="200">
        <f>SUM(D4:D224)</f>
        <v>356727.6</v>
      </c>
      <c r="E225" s="200">
        <f t="shared" ref="E225:U225" si="0">SUM(E4:E224)</f>
        <v>0</v>
      </c>
      <c r="F225" s="200">
        <f t="shared" si="0"/>
        <v>76148</v>
      </c>
      <c r="G225" s="200">
        <f t="shared" si="0"/>
        <v>59045</v>
      </c>
      <c r="H225" s="200">
        <f t="shared" si="0"/>
        <v>13470</v>
      </c>
      <c r="I225" s="200">
        <f t="shared" si="0"/>
        <v>13438.201662898064</v>
      </c>
      <c r="J225" s="200">
        <f t="shared" si="0"/>
        <v>0</v>
      </c>
      <c r="K225" s="200">
        <f t="shared" si="0"/>
        <v>13438.201662898064</v>
      </c>
      <c r="L225" s="200">
        <f t="shared" si="0"/>
        <v>28205.591063886881</v>
      </c>
      <c r="M225" s="200">
        <f t="shared" si="0"/>
        <v>41643.792726784945</v>
      </c>
      <c r="N225" s="200">
        <f t="shared" si="0"/>
        <v>89792</v>
      </c>
      <c r="O225" s="200">
        <f t="shared" si="0"/>
        <v>81660</v>
      </c>
      <c r="P225" s="200">
        <f t="shared" si="0"/>
        <v>54136</v>
      </c>
      <c r="Q225" s="200">
        <f t="shared" si="0"/>
        <v>47400</v>
      </c>
      <c r="R225" s="200">
        <f t="shared" si="0"/>
        <v>0</v>
      </c>
      <c r="S225" s="200">
        <f t="shared" si="0"/>
        <v>0</v>
      </c>
      <c r="T225" s="200">
        <f t="shared" si="0"/>
        <v>0</v>
      </c>
      <c r="U225" s="200">
        <f t="shared" si="0"/>
        <v>0</v>
      </c>
    </row>
    <row r="229" spans="4:21" ht="13.5" customHeight="1" x14ac:dyDescent="0.25"/>
  </sheetData>
  <autoFilter ref="A2:V219"/>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9"/>
  <sheetViews>
    <sheetView showGridLines="0" workbookViewId="0">
      <pane ySplit="3" topLeftCell="A4" activePane="bottomLeft" state="frozen"/>
      <selection pane="bottomLeft" activeCell="G151" sqref="G151"/>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527" t="s">
        <v>1409</v>
      </c>
      <c r="B2" s="527" t="s">
        <v>1410</v>
      </c>
      <c r="C2" s="527" t="s">
        <v>1411</v>
      </c>
      <c r="D2" s="529" t="s">
        <v>1412</v>
      </c>
      <c r="E2" s="365" t="s">
        <v>1413</v>
      </c>
      <c r="F2" s="160"/>
      <c r="G2" s="161"/>
      <c r="H2" s="160"/>
      <c r="I2" s="162" t="s">
        <v>1414</v>
      </c>
      <c r="J2" s="163">
        <f>[1]Capa!$K$3</f>
        <v>43251</v>
      </c>
      <c r="K2" s="162"/>
      <c r="L2" s="162"/>
      <c r="M2" s="164"/>
      <c r="N2" s="165"/>
      <c r="O2" s="162"/>
      <c r="P2" s="162" t="s">
        <v>1415</v>
      </c>
      <c r="Q2" s="162"/>
      <c r="R2" s="162"/>
      <c r="S2" s="162"/>
      <c r="T2" s="162"/>
      <c r="U2" s="166"/>
    </row>
    <row r="3" spans="1:21"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1"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row>
    <row r="5" spans="1:21"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row>
    <row r="6" spans="1:21" x14ac:dyDescent="0.25">
      <c r="A6" s="149" t="s">
        <v>565</v>
      </c>
      <c r="B6" s="150" t="s">
        <v>1198</v>
      </c>
      <c r="C6" s="150" t="s">
        <v>59</v>
      </c>
      <c r="D6" s="151">
        <v>0</v>
      </c>
      <c r="E6" s="152">
        <v>0</v>
      </c>
      <c r="F6" s="151">
        <v>0</v>
      </c>
      <c r="G6" s="152">
        <v>0</v>
      </c>
      <c r="H6" s="151">
        <v>0</v>
      </c>
      <c r="I6" s="152">
        <v>0</v>
      </c>
      <c r="J6" s="151">
        <v>0</v>
      </c>
      <c r="K6" s="152">
        <v>0</v>
      </c>
      <c r="L6" s="151">
        <v>0</v>
      </c>
      <c r="M6" s="152">
        <v>0</v>
      </c>
      <c r="N6" s="151">
        <v>0</v>
      </c>
      <c r="O6" s="152">
        <v>0</v>
      </c>
      <c r="P6" s="151">
        <v>0</v>
      </c>
      <c r="Q6" s="152">
        <v>0</v>
      </c>
      <c r="R6" s="151">
        <v>0</v>
      </c>
      <c r="S6" s="152">
        <v>0</v>
      </c>
      <c r="T6" s="151">
        <v>0</v>
      </c>
      <c r="U6" s="153">
        <v>0</v>
      </c>
    </row>
    <row r="7" spans="1:21" x14ac:dyDescent="0.25">
      <c r="A7" s="21" t="s">
        <v>1199</v>
      </c>
      <c r="B7" s="154" t="s">
        <v>1200</v>
      </c>
      <c r="C7" s="154" t="s">
        <v>59</v>
      </c>
      <c r="D7" s="155">
        <v>0</v>
      </c>
      <c r="E7" s="158">
        <v>0</v>
      </c>
      <c r="F7" s="155">
        <v>0</v>
      </c>
      <c r="G7" s="158">
        <v>0</v>
      </c>
      <c r="H7" s="155">
        <v>0</v>
      </c>
      <c r="I7" s="158">
        <v>0</v>
      </c>
      <c r="J7" s="155">
        <v>0</v>
      </c>
      <c r="K7" s="158">
        <v>0</v>
      </c>
      <c r="L7" s="155">
        <v>0</v>
      </c>
      <c r="M7" s="158">
        <v>0</v>
      </c>
      <c r="N7" s="155">
        <v>0</v>
      </c>
      <c r="O7" s="158">
        <v>0</v>
      </c>
      <c r="P7" s="155">
        <v>0</v>
      </c>
      <c r="Q7" s="158">
        <v>0</v>
      </c>
      <c r="R7" s="155">
        <v>0</v>
      </c>
      <c r="S7" s="158">
        <v>0</v>
      </c>
      <c r="T7" s="155">
        <v>0</v>
      </c>
      <c r="U7" s="157">
        <v>0</v>
      </c>
    </row>
    <row r="8" spans="1:21" x14ac:dyDescent="0.25">
      <c r="A8" s="149" t="s">
        <v>1194</v>
      </c>
      <c r="B8" s="150" t="s">
        <v>1201</v>
      </c>
      <c r="C8" s="150" t="s">
        <v>59</v>
      </c>
      <c r="D8" s="151">
        <v>0</v>
      </c>
      <c r="E8" s="152">
        <v>0</v>
      </c>
      <c r="F8" s="151">
        <v>0</v>
      </c>
      <c r="G8" s="152">
        <v>0</v>
      </c>
      <c r="H8" s="151">
        <v>0</v>
      </c>
      <c r="I8" s="152">
        <v>0</v>
      </c>
      <c r="J8" s="151">
        <v>0</v>
      </c>
      <c r="K8" s="152">
        <v>0</v>
      </c>
      <c r="L8" s="151">
        <v>0</v>
      </c>
      <c r="M8" s="152">
        <v>0</v>
      </c>
      <c r="N8" s="151">
        <v>0</v>
      </c>
      <c r="O8" s="152">
        <v>0</v>
      </c>
      <c r="P8" s="151">
        <v>0</v>
      </c>
      <c r="Q8" s="152">
        <v>0</v>
      </c>
      <c r="R8" s="151">
        <v>0</v>
      </c>
      <c r="S8" s="152">
        <v>0</v>
      </c>
      <c r="T8" s="151">
        <v>0</v>
      </c>
      <c r="U8" s="153">
        <v>0</v>
      </c>
    </row>
    <row r="9" spans="1:21" x14ac:dyDescent="0.25">
      <c r="A9" s="21" t="s">
        <v>1196</v>
      </c>
      <c r="B9" s="154" t="s">
        <v>1197</v>
      </c>
      <c r="C9" s="154" t="s">
        <v>59</v>
      </c>
      <c r="D9" s="155">
        <v>0</v>
      </c>
      <c r="E9" s="158">
        <v>0</v>
      </c>
      <c r="F9" s="155">
        <v>0</v>
      </c>
      <c r="G9" s="158">
        <v>0</v>
      </c>
      <c r="H9" s="155">
        <v>0</v>
      </c>
      <c r="I9" s="158">
        <v>0</v>
      </c>
      <c r="J9" s="155">
        <v>0</v>
      </c>
      <c r="K9" s="158">
        <v>0</v>
      </c>
      <c r="L9" s="155">
        <v>0</v>
      </c>
      <c r="M9" s="158">
        <v>0</v>
      </c>
      <c r="N9" s="155">
        <v>0</v>
      </c>
      <c r="O9" s="158">
        <v>0</v>
      </c>
      <c r="P9" s="155">
        <v>0</v>
      </c>
      <c r="Q9" s="158">
        <v>0</v>
      </c>
      <c r="R9" s="155">
        <v>0</v>
      </c>
      <c r="S9" s="158">
        <v>0</v>
      </c>
      <c r="T9" s="155">
        <v>0</v>
      </c>
      <c r="U9" s="157">
        <v>0</v>
      </c>
    </row>
    <row r="10" spans="1:21" x14ac:dyDescent="0.25">
      <c r="A10" s="149" t="s">
        <v>565</v>
      </c>
      <c r="B10" s="150" t="s">
        <v>1198</v>
      </c>
      <c r="C10" s="150" t="s">
        <v>59</v>
      </c>
      <c r="D10" s="151">
        <v>0</v>
      </c>
      <c r="E10" s="152">
        <v>0</v>
      </c>
      <c r="F10" s="151">
        <v>0</v>
      </c>
      <c r="G10" s="152">
        <v>0</v>
      </c>
      <c r="H10" s="151">
        <v>0</v>
      </c>
      <c r="I10" s="152">
        <v>0</v>
      </c>
      <c r="J10" s="151">
        <v>0</v>
      </c>
      <c r="K10" s="152">
        <v>0</v>
      </c>
      <c r="L10" s="151">
        <v>0</v>
      </c>
      <c r="M10" s="152">
        <v>0</v>
      </c>
      <c r="N10" s="151">
        <v>0</v>
      </c>
      <c r="O10" s="152">
        <v>0</v>
      </c>
      <c r="P10" s="151">
        <v>0</v>
      </c>
      <c r="Q10" s="152">
        <v>0</v>
      </c>
      <c r="R10" s="151">
        <v>0</v>
      </c>
      <c r="S10" s="152">
        <v>0</v>
      </c>
      <c r="T10" s="151">
        <v>0</v>
      </c>
      <c r="U10" s="153">
        <v>0</v>
      </c>
    </row>
    <row r="11" spans="1:21" x14ac:dyDescent="0.25">
      <c r="A11" s="21" t="s">
        <v>1199</v>
      </c>
      <c r="B11" s="154" t="s">
        <v>1200</v>
      </c>
      <c r="C11" s="154" t="s">
        <v>59</v>
      </c>
      <c r="D11" s="155">
        <v>0</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row>
    <row r="12" spans="1:21" x14ac:dyDescent="0.25">
      <c r="A12" s="149" t="s">
        <v>1194</v>
      </c>
      <c r="B12" s="150" t="s">
        <v>1205</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row>
    <row r="13" spans="1:21" x14ac:dyDescent="0.25">
      <c r="A13" s="21" t="s">
        <v>1196</v>
      </c>
      <c r="B13" s="154" t="s">
        <v>1197</v>
      </c>
      <c r="C13" s="154" t="s">
        <v>59</v>
      </c>
      <c r="D13" s="155">
        <v>0</v>
      </c>
      <c r="E13" s="158">
        <v>0</v>
      </c>
      <c r="F13" s="155">
        <v>0</v>
      </c>
      <c r="G13" s="158">
        <v>0</v>
      </c>
      <c r="H13" s="155">
        <v>0</v>
      </c>
      <c r="I13" s="158">
        <v>0</v>
      </c>
      <c r="J13" s="155">
        <v>0</v>
      </c>
      <c r="K13" s="158">
        <v>0</v>
      </c>
      <c r="L13" s="155">
        <v>0</v>
      </c>
      <c r="M13" s="158">
        <v>0</v>
      </c>
      <c r="N13" s="155">
        <v>0</v>
      </c>
      <c r="O13" s="158">
        <v>0</v>
      </c>
      <c r="P13" s="155">
        <v>0</v>
      </c>
      <c r="Q13" s="158">
        <v>0</v>
      </c>
      <c r="R13" s="155">
        <v>0</v>
      </c>
      <c r="S13" s="158">
        <v>0</v>
      </c>
      <c r="T13" s="155">
        <v>0</v>
      </c>
      <c r="U13" s="157">
        <v>0</v>
      </c>
    </row>
    <row r="14" spans="1:21" x14ac:dyDescent="0.25">
      <c r="A14" s="149" t="s">
        <v>565</v>
      </c>
      <c r="B14" s="150" t="s">
        <v>1198</v>
      </c>
      <c r="C14" s="150" t="s">
        <v>59</v>
      </c>
      <c r="D14" s="151">
        <v>0</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row>
    <row r="15" spans="1:21" x14ac:dyDescent="0.25">
      <c r="A15" s="21" t="s">
        <v>1199</v>
      </c>
      <c r="B15" s="154" t="s">
        <v>1200</v>
      </c>
      <c r="C15" s="154" t="s">
        <v>59</v>
      </c>
      <c r="D15" s="155">
        <v>0</v>
      </c>
      <c r="E15" s="158">
        <v>0</v>
      </c>
      <c r="F15" s="155">
        <v>0</v>
      </c>
      <c r="G15" s="158">
        <v>0</v>
      </c>
      <c r="H15" s="155">
        <v>0</v>
      </c>
      <c r="I15" s="158">
        <v>0</v>
      </c>
      <c r="J15" s="155">
        <v>0</v>
      </c>
      <c r="K15" s="158">
        <v>0</v>
      </c>
      <c r="L15" s="155">
        <v>0</v>
      </c>
      <c r="M15" s="158">
        <v>0</v>
      </c>
      <c r="N15" s="155">
        <v>0</v>
      </c>
      <c r="O15" s="158">
        <v>0</v>
      </c>
      <c r="P15" s="155">
        <v>0</v>
      </c>
      <c r="Q15" s="158">
        <v>0</v>
      </c>
      <c r="R15" s="155">
        <v>0</v>
      </c>
      <c r="S15" s="158">
        <v>0</v>
      </c>
      <c r="T15" s="155">
        <v>0</v>
      </c>
      <c r="U15" s="157">
        <v>0</v>
      </c>
    </row>
    <row r="16" spans="1:21" x14ac:dyDescent="0.25">
      <c r="A16" s="149" t="s">
        <v>1194</v>
      </c>
      <c r="B16" s="150" t="s">
        <v>1209</v>
      </c>
      <c r="C16" s="150" t="s">
        <v>59</v>
      </c>
      <c r="D16" s="151">
        <v>0</v>
      </c>
      <c r="E16" s="152">
        <v>0</v>
      </c>
      <c r="F16" s="151">
        <v>0</v>
      </c>
      <c r="G16" s="152">
        <v>0</v>
      </c>
      <c r="H16" s="151">
        <v>0</v>
      </c>
      <c r="I16" s="152">
        <v>0</v>
      </c>
      <c r="J16" s="151">
        <v>0</v>
      </c>
      <c r="K16" s="152">
        <v>0</v>
      </c>
      <c r="L16" s="151">
        <v>0</v>
      </c>
      <c r="M16" s="152">
        <v>0</v>
      </c>
      <c r="N16" s="151">
        <v>0</v>
      </c>
      <c r="O16" s="152">
        <v>0</v>
      </c>
      <c r="P16" s="151">
        <v>0</v>
      </c>
      <c r="Q16" s="152">
        <v>0</v>
      </c>
      <c r="R16" s="151">
        <v>0</v>
      </c>
      <c r="S16" s="152">
        <v>0</v>
      </c>
      <c r="T16" s="151">
        <v>0</v>
      </c>
      <c r="U16" s="153">
        <v>0</v>
      </c>
    </row>
    <row r="17" spans="1:21" x14ac:dyDescent="0.25">
      <c r="A17" s="21" t="s">
        <v>1196</v>
      </c>
      <c r="B17" s="154" t="s">
        <v>1197</v>
      </c>
      <c r="C17" s="154" t="s">
        <v>59</v>
      </c>
      <c r="D17" s="155">
        <v>0</v>
      </c>
      <c r="E17" s="158">
        <v>0</v>
      </c>
      <c r="F17" s="155">
        <v>0</v>
      </c>
      <c r="G17" s="158">
        <v>0</v>
      </c>
      <c r="H17" s="155">
        <v>0</v>
      </c>
      <c r="I17" s="158">
        <v>0</v>
      </c>
      <c r="J17" s="155">
        <v>0</v>
      </c>
      <c r="K17" s="158">
        <v>0</v>
      </c>
      <c r="L17" s="155">
        <v>0</v>
      </c>
      <c r="M17" s="158">
        <v>0</v>
      </c>
      <c r="N17" s="155">
        <v>0</v>
      </c>
      <c r="O17" s="158">
        <v>0</v>
      </c>
      <c r="P17" s="155">
        <v>0</v>
      </c>
      <c r="Q17" s="158">
        <v>0</v>
      </c>
      <c r="R17" s="155">
        <v>0</v>
      </c>
      <c r="S17" s="158">
        <v>0</v>
      </c>
      <c r="T17" s="155">
        <v>0</v>
      </c>
      <c r="U17" s="157">
        <v>0</v>
      </c>
    </row>
    <row r="18" spans="1:21" x14ac:dyDescent="0.25">
      <c r="A18" s="149" t="s">
        <v>565</v>
      </c>
      <c r="B18" s="150" t="s">
        <v>1198</v>
      </c>
      <c r="C18" s="150" t="s">
        <v>59</v>
      </c>
      <c r="D18" s="151">
        <v>0</v>
      </c>
      <c r="E18" s="152">
        <v>0</v>
      </c>
      <c r="F18" s="151">
        <v>0</v>
      </c>
      <c r="G18" s="152">
        <v>0</v>
      </c>
      <c r="H18" s="151">
        <v>0</v>
      </c>
      <c r="I18" s="152">
        <v>0</v>
      </c>
      <c r="J18" s="151">
        <v>0</v>
      </c>
      <c r="K18" s="152">
        <v>0</v>
      </c>
      <c r="L18" s="151">
        <v>0</v>
      </c>
      <c r="M18" s="152">
        <v>0</v>
      </c>
      <c r="N18" s="151">
        <v>0</v>
      </c>
      <c r="O18" s="152">
        <v>0</v>
      </c>
      <c r="P18" s="151">
        <v>0</v>
      </c>
      <c r="Q18" s="152">
        <v>0</v>
      </c>
      <c r="R18" s="151">
        <v>0</v>
      </c>
      <c r="S18" s="152">
        <v>0</v>
      </c>
      <c r="T18" s="151">
        <v>0</v>
      </c>
      <c r="U18" s="153">
        <v>0</v>
      </c>
    </row>
    <row r="19" spans="1:21" x14ac:dyDescent="0.25">
      <c r="A19" s="21" t="s">
        <v>1199</v>
      </c>
      <c r="B19" s="154" t="s">
        <v>1200</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row>
    <row r="20" spans="1:21" x14ac:dyDescent="0.25">
      <c r="A20" s="149" t="s">
        <v>1117</v>
      </c>
      <c r="B20" s="150" t="s">
        <v>1210</v>
      </c>
      <c r="C20" s="150" t="s">
        <v>1211</v>
      </c>
      <c r="D20" s="151">
        <v>0</v>
      </c>
      <c r="E20" s="152">
        <v>0</v>
      </c>
      <c r="F20" s="151">
        <v>0</v>
      </c>
      <c r="G20" s="152">
        <v>119</v>
      </c>
      <c r="H20" s="151">
        <v>0</v>
      </c>
      <c r="I20" s="152">
        <v>0</v>
      </c>
      <c r="J20" s="151">
        <v>0</v>
      </c>
      <c r="K20" s="152">
        <v>0</v>
      </c>
      <c r="L20" s="151">
        <v>119.11103057861328</v>
      </c>
      <c r="M20" s="152">
        <v>119.11103057861328</v>
      </c>
      <c r="N20" s="151">
        <v>0</v>
      </c>
      <c r="O20" s="152">
        <v>0</v>
      </c>
      <c r="P20" s="151">
        <v>0</v>
      </c>
      <c r="Q20" s="152">
        <v>0</v>
      </c>
      <c r="R20" s="151">
        <v>0</v>
      </c>
      <c r="S20" s="152">
        <v>0</v>
      </c>
      <c r="T20" s="151">
        <v>0</v>
      </c>
      <c r="U20" s="153">
        <v>0</v>
      </c>
    </row>
    <row r="21" spans="1:21" x14ac:dyDescent="0.25">
      <c r="A21" s="21" t="s">
        <v>800</v>
      </c>
      <c r="B21" s="154" t="s">
        <v>403</v>
      </c>
      <c r="C21" s="154" t="s">
        <v>1212</v>
      </c>
      <c r="D21" s="155">
        <v>0</v>
      </c>
      <c r="E21" s="158">
        <v>0</v>
      </c>
      <c r="F21" s="155">
        <v>0</v>
      </c>
      <c r="G21" s="158">
        <v>33</v>
      </c>
      <c r="H21" s="155">
        <v>0</v>
      </c>
      <c r="I21" s="158">
        <v>33.225898742675781</v>
      </c>
      <c r="J21" s="155">
        <v>0</v>
      </c>
      <c r="K21" s="158">
        <v>33.225898742675781</v>
      </c>
      <c r="L21" s="155">
        <v>0</v>
      </c>
      <c r="M21" s="158">
        <v>33.225898742675781</v>
      </c>
      <c r="N21" s="155">
        <v>0</v>
      </c>
      <c r="O21" s="158">
        <v>0</v>
      </c>
      <c r="P21" s="155">
        <v>0</v>
      </c>
      <c r="Q21" s="158">
        <v>0</v>
      </c>
      <c r="R21" s="155">
        <v>0</v>
      </c>
      <c r="S21" s="158">
        <v>0</v>
      </c>
      <c r="T21" s="155">
        <v>0</v>
      </c>
      <c r="U21" s="157">
        <v>0</v>
      </c>
    </row>
    <row r="22" spans="1:21" x14ac:dyDescent="0.25">
      <c r="A22" s="149" t="s">
        <v>1194</v>
      </c>
      <c r="B22" s="150" t="s">
        <v>1218</v>
      </c>
      <c r="C22" s="150" t="s">
        <v>59</v>
      </c>
      <c r="D22" s="151">
        <v>0</v>
      </c>
      <c r="E22" s="152">
        <v>0</v>
      </c>
      <c r="F22" s="151">
        <v>0</v>
      </c>
      <c r="G22" s="152">
        <v>0</v>
      </c>
      <c r="H22" s="151">
        <v>0</v>
      </c>
      <c r="I22" s="152">
        <v>0</v>
      </c>
      <c r="J22" s="151">
        <v>0</v>
      </c>
      <c r="K22" s="152">
        <v>0</v>
      </c>
      <c r="L22" s="151">
        <v>0</v>
      </c>
      <c r="M22" s="152">
        <v>0</v>
      </c>
      <c r="N22" s="151">
        <v>0</v>
      </c>
      <c r="O22" s="152">
        <v>0</v>
      </c>
      <c r="P22" s="151">
        <v>0</v>
      </c>
      <c r="Q22" s="152">
        <v>0</v>
      </c>
      <c r="R22" s="151">
        <v>0</v>
      </c>
      <c r="S22" s="152">
        <v>0</v>
      </c>
      <c r="T22" s="151">
        <v>0</v>
      </c>
      <c r="U22" s="153">
        <v>0</v>
      </c>
    </row>
    <row r="23" spans="1:21" x14ac:dyDescent="0.25">
      <c r="A23" s="21" t="s">
        <v>1196</v>
      </c>
      <c r="B23" s="154" t="s">
        <v>1197</v>
      </c>
      <c r="C23" s="154" t="s">
        <v>59</v>
      </c>
      <c r="D23" s="155">
        <v>0</v>
      </c>
      <c r="E23" s="158">
        <v>0</v>
      </c>
      <c r="F23" s="155">
        <v>0</v>
      </c>
      <c r="G23" s="158">
        <v>0</v>
      </c>
      <c r="H23" s="155">
        <v>0</v>
      </c>
      <c r="I23" s="158">
        <v>0</v>
      </c>
      <c r="J23" s="155">
        <v>0</v>
      </c>
      <c r="K23" s="158">
        <v>0</v>
      </c>
      <c r="L23" s="155">
        <v>0</v>
      </c>
      <c r="M23" s="158">
        <v>0</v>
      </c>
      <c r="N23" s="155">
        <v>0</v>
      </c>
      <c r="O23" s="158">
        <v>0</v>
      </c>
      <c r="P23" s="155">
        <v>0</v>
      </c>
      <c r="Q23" s="158">
        <v>0</v>
      </c>
      <c r="R23" s="155">
        <v>0</v>
      </c>
      <c r="S23" s="158">
        <v>0</v>
      </c>
      <c r="T23" s="155">
        <v>0</v>
      </c>
      <c r="U23" s="157">
        <v>0</v>
      </c>
    </row>
    <row r="24" spans="1:21" x14ac:dyDescent="0.25">
      <c r="A24" s="149" t="s">
        <v>565</v>
      </c>
      <c r="B24" s="150" t="s">
        <v>1198</v>
      </c>
      <c r="C24" s="150" t="s">
        <v>59</v>
      </c>
      <c r="D24" s="151">
        <v>0</v>
      </c>
      <c r="E24" s="152">
        <v>0</v>
      </c>
      <c r="F24" s="151">
        <v>0</v>
      </c>
      <c r="G24" s="152">
        <v>0</v>
      </c>
      <c r="H24" s="151">
        <v>0</v>
      </c>
      <c r="I24" s="152">
        <v>0</v>
      </c>
      <c r="J24" s="151">
        <v>0</v>
      </c>
      <c r="K24" s="152">
        <v>0</v>
      </c>
      <c r="L24" s="151">
        <v>0</v>
      </c>
      <c r="M24" s="152">
        <v>0</v>
      </c>
      <c r="N24" s="151">
        <v>0</v>
      </c>
      <c r="O24" s="152">
        <v>0</v>
      </c>
      <c r="P24" s="151">
        <v>0</v>
      </c>
      <c r="Q24" s="152">
        <v>0</v>
      </c>
      <c r="R24" s="151">
        <v>0</v>
      </c>
      <c r="S24" s="152">
        <v>0</v>
      </c>
      <c r="T24" s="151">
        <v>0</v>
      </c>
      <c r="U24" s="153">
        <v>0</v>
      </c>
    </row>
    <row r="25" spans="1:21" x14ac:dyDescent="0.25">
      <c r="A25" s="21" t="s">
        <v>1199</v>
      </c>
      <c r="B25" s="154" t="s">
        <v>1200</v>
      </c>
      <c r="C25" s="154" t="s">
        <v>59</v>
      </c>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row>
    <row r="26" spans="1:21" x14ac:dyDescent="0.25">
      <c r="A26" s="149" t="s">
        <v>1194</v>
      </c>
      <c r="B26" s="150" t="s">
        <v>1195</v>
      </c>
      <c r="C26" s="150" t="s">
        <v>59</v>
      </c>
      <c r="D26" s="151">
        <v>0</v>
      </c>
      <c r="E26" s="152">
        <v>0</v>
      </c>
      <c r="F26" s="151">
        <v>0</v>
      </c>
      <c r="G26" s="152">
        <v>0</v>
      </c>
      <c r="H26" s="151">
        <v>0</v>
      </c>
      <c r="I26" s="152">
        <v>0</v>
      </c>
      <c r="J26" s="151">
        <v>0</v>
      </c>
      <c r="K26" s="152">
        <v>0</v>
      </c>
      <c r="L26" s="151">
        <v>0</v>
      </c>
      <c r="M26" s="152">
        <v>0</v>
      </c>
      <c r="N26" s="151">
        <v>0</v>
      </c>
      <c r="O26" s="152">
        <v>0</v>
      </c>
      <c r="P26" s="151">
        <v>0</v>
      </c>
      <c r="Q26" s="152">
        <v>0</v>
      </c>
      <c r="R26" s="151">
        <v>0</v>
      </c>
      <c r="S26" s="152">
        <v>0</v>
      </c>
      <c r="T26" s="151">
        <v>0</v>
      </c>
      <c r="U26" s="153">
        <v>0</v>
      </c>
    </row>
    <row r="27" spans="1:21" x14ac:dyDescent="0.25">
      <c r="A27" s="21" t="s">
        <v>1196</v>
      </c>
      <c r="B27" s="154" t="s">
        <v>1197</v>
      </c>
      <c r="C27" s="154" t="s">
        <v>59</v>
      </c>
      <c r="D27" s="155">
        <v>0</v>
      </c>
      <c r="E27" s="158">
        <v>0</v>
      </c>
      <c r="F27" s="155">
        <v>0</v>
      </c>
      <c r="G27" s="158">
        <v>0</v>
      </c>
      <c r="H27" s="155">
        <v>0</v>
      </c>
      <c r="I27" s="158">
        <v>0</v>
      </c>
      <c r="J27" s="155">
        <v>0</v>
      </c>
      <c r="K27" s="158">
        <v>0</v>
      </c>
      <c r="L27" s="155">
        <v>0</v>
      </c>
      <c r="M27" s="158">
        <v>0</v>
      </c>
      <c r="N27" s="155">
        <v>0</v>
      </c>
      <c r="O27" s="158">
        <v>0</v>
      </c>
      <c r="P27" s="155">
        <v>0</v>
      </c>
      <c r="Q27" s="158">
        <v>0</v>
      </c>
      <c r="R27" s="155">
        <v>0</v>
      </c>
      <c r="S27" s="158">
        <v>0</v>
      </c>
      <c r="T27" s="155">
        <v>0</v>
      </c>
      <c r="U27" s="157">
        <v>0</v>
      </c>
    </row>
    <row r="28" spans="1:21" x14ac:dyDescent="0.25">
      <c r="A28" s="149" t="s">
        <v>565</v>
      </c>
      <c r="B28" s="150" t="s">
        <v>1198</v>
      </c>
      <c r="C28" s="150" t="s">
        <v>59</v>
      </c>
      <c r="D28" s="151">
        <v>0</v>
      </c>
      <c r="E28" s="152">
        <v>0</v>
      </c>
      <c r="F28" s="151">
        <v>0</v>
      </c>
      <c r="G28" s="152">
        <v>0</v>
      </c>
      <c r="H28" s="151">
        <v>0</v>
      </c>
      <c r="I28" s="152">
        <v>0</v>
      </c>
      <c r="J28" s="151">
        <v>0</v>
      </c>
      <c r="K28" s="152">
        <v>0</v>
      </c>
      <c r="L28" s="151">
        <v>0</v>
      </c>
      <c r="M28" s="152">
        <v>0</v>
      </c>
      <c r="N28" s="151">
        <v>0</v>
      </c>
      <c r="O28" s="152">
        <v>0</v>
      </c>
      <c r="P28" s="151">
        <v>0</v>
      </c>
      <c r="Q28" s="152">
        <v>0</v>
      </c>
      <c r="R28" s="151">
        <v>0</v>
      </c>
      <c r="S28" s="152">
        <v>0</v>
      </c>
      <c r="T28" s="151">
        <v>0</v>
      </c>
      <c r="U28" s="153">
        <v>0</v>
      </c>
    </row>
    <row r="29" spans="1:21" x14ac:dyDescent="0.25">
      <c r="A29" s="21" t="s">
        <v>1199</v>
      </c>
      <c r="B29" s="154" t="s">
        <v>1200</v>
      </c>
      <c r="C29" s="154" t="s">
        <v>59</v>
      </c>
      <c r="D29" s="155">
        <v>0</v>
      </c>
      <c r="E29" s="158">
        <v>0</v>
      </c>
      <c r="F29" s="155">
        <v>0</v>
      </c>
      <c r="G29" s="158">
        <v>0</v>
      </c>
      <c r="H29" s="155">
        <v>0</v>
      </c>
      <c r="I29" s="158">
        <v>0</v>
      </c>
      <c r="J29" s="155">
        <v>0</v>
      </c>
      <c r="K29" s="158">
        <v>0</v>
      </c>
      <c r="L29" s="155">
        <v>0</v>
      </c>
      <c r="M29" s="158">
        <v>0</v>
      </c>
      <c r="N29" s="155">
        <v>0</v>
      </c>
      <c r="O29" s="158">
        <v>0</v>
      </c>
      <c r="P29" s="155">
        <v>0</v>
      </c>
      <c r="Q29" s="158">
        <v>0</v>
      </c>
      <c r="R29" s="155">
        <v>0</v>
      </c>
      <c r="S29" s="158">
        <v>0</v>
      </c>
      <c r="T29" s="155">
        <v>0</v>
      </c>
      <c r="U29" s="157">
        <v>0</v>
      </c>
    </row>
    <row r="30" spans="1:21" x14ac:dyDescent="0.25">
      <c r="A30" s="149" t="s">
        <v>1236</v>
      </c>
      <c r="B30" s="150" t="s">
        <v>1237</v>
      </c>
      <c r="C30" s="150" t="s">
        <v>1238</v>
      </c>
      <c r="D30" s="151">
        <v>0</v>
      </c>
      <c r="E30" s="152">
        <v>0</v>
      </c>
      <c r="F30" s="151">
        <v>0</v>
      </c>
      <c r="G30" s="152">
        <v>0</v>
      </c>
      <c r="H30" s="151">
        <v>0</v>
      </c>
      <c r="I30" s="152">
        <v>0</v>
      </c>
      <c r="J30" s="151">
        <v>0</v>
      </c>
      <c r="K30" s="152">
        <v>0</v>
      </c>
      <c r="L30" s="151">
        <v>0</v>
      </c>
      <c r="M30" s="152">
        <v>0</v>
      </c>
      <c r="N30" s="151">
        <v>0</v>
      </c>
      <c r="O30" s="152">
        <v>0</v>
      </c>
      <c r="P30" s="151">
        <v>0</v>
      </c>
      <c r="Q30" s="152">
        <v>0</v>
      </c>
      <c r="R30" s="151">
        <v>0</v>
      </c>
      <c r="S30" s="152">
        <v>0</v>
      </c>
      <c r="T30" s="151">
        <v>0</v>
      </c>
      <c r="U30" s="153">
        <v>0</v>
      </c>
    </row>
    <row r="31" spans="1:21" x14ac:dyDescent="0.25">
      <c r="A31" s="21" t="s">
        <v>1239</v>
      </c>
      <c r="B31" s="154" t="s">
        <v>1240</v>
      </c>
      <c r="C31" s="154" t="s">
        <v>1241</v>
      </c>
      <c r="D31" s="155">
        <v>0</v>
      </c>
      <c r="E31" s="158">
        <v>0</v>
      </c>
      <c r="F31" s="155">
        <v>0</v>
      </c>
      <c r="G31" s="158">
        <v>0</v>
      </c>
      <c r="H31" s="155">
        <v>0</v>
      </c>
      <c r="I31" s="158">
        <v>0</v>
      </c>
      <c r="J31" s="155">
        <v>0</v>
      </c>
      <c r="K31" s="158">
        <v>0</v>
      </c>
      <c r="L31" s="155">
        <v>0</v>
      </c>
      <c r="M31" s="158">
        <v>0</v>
      </c>
      <c r="N31" s="155">
        <v>0</v>
      </c>
      <c r="O31" s="158">
        <v>0</v>
      </c>
      <c r="P31" s="155">
        <v>0</v>
      </c>
      <c r="Q31" s="158">
        <v>0</v>
      </c>
      <c r="R31" s="155">
        <v>0</v>
      </c>
      <c r="S31" s="158">
        <v>0</v>
      </c>
      <c r="T31" s="155">
        <v>0</v>
      </c>
      <c r="U31" s="157">
        <v>0</v>
      </c>
    </row>
    <row r="32" spans="1:21" x14ac:dyDescent="0.25">
      <c r="A32" s="149" t="s">
        <v>1194</v>
      </c>
      <c r="B32" s="150" t="s">
        <v>1201</v>
      </c>
      <c r="C32" s="150" t="s">
        <v>59</v>
      </c>
      <c r="D32" s="151">
        <v>0</v>
      </c>
      <c r="E32" s="152">
        <v>0</v>
      </c>
      <c r="F32" s="151">
        <v>0</v>
      </c>
      <c r="G32" s="152">
        <v>0</v>
      </c>
      <c r="H32" s="151">
        <v>0</v>
      </c>
      <c r="I32" s="152">
        <v>0</v>
      </c>
      <c r="J32" s="151">
        <v>0</v>
      </c>
      <c r="K32" s="152">
        <v>0</v>
      </c>
      <c r="L32" s="151">
        <v>0</v>
      </c>
      <c r="M32" s="152">
        <v>0</v>
      </c>
      <c r="N32" s="151">
        <v>0</v>
      </c>
      <c r="O32" s="152">
        <v>0</v>
      </c>
      <c r="P32" s="151">
        <v>0</v>
      </c>
      <c r="Q32" s="152">
        <v>0</v>
      </c>
      <c r="R32" s="151">
        <v>0</v>
      </c>
      <c r="S32" s="152">
        <v>0</v>
      </c>
      <c r="T32" s="151">
        <v>0</v>
      </c>
      <c r="U32" s="153">
        <v>0</v>
      </c>
    </row>
    <row r="33" spans="1:21" x14ac:dyDescent="0.25">
      <c r="A33" s="21" t="s">
        <v>1196</v>
      </c>
      <c r="B33" s="154" t="s">
        <v>1197</v>
      </c>
      <c r="C33" s="154" t="s">
        <v>59</v>
      </c>
      <c r="D33" s="155">
        <v>0</v>
      </c>
      <c r="E33" s="158">
        <v>0</v>
      </c>
      <c r="F33" s="155">
        <v>0</v>
      </c>
      <c r="G33" s="158">
        <v>0</v>
      </c>
      <c r="H33" s="155">
        <v>0</v>
      </c>
      <c r="I33" s="158">
        <v>0</v>
      </c>
      <c r="J33" s="155">
        <v>0</v>
      </c>
      <c r="K33" s="158">
        <v>0</v>
      </c>
      <c r="L33" s="155">
        <v>0</v>
      </c>
      <c r="M33" s="158">
        <v>0</v>
      </c>
      <c r="N33" s="155">
        <v>0</v>
      </c>
      <c r="O33" s="158">
        <v>0</v>
      </c>
      <c r="P33" s="155">
        <v>0</v>
      </c>
      <c r="Q33" s="158">
        <v>0</v>
      </c>
      <c r="R33" s="155">
        <v>0</v>
      </c>
      <c r="S33" s="158">
        <v>0</v>
      </c>
      <c r="T33" s="155">
        <v>0</v>
      </c>
      <c r="U33" s="157">
        <v>0</v>
      </c>
    </row>
    <row r="34" spans="1:21" x14ac:dyDescent="0.25">
      <c r="A34" s="149" t="s">
        <v>565</v>
      </c>
      <c r="B34" s="150" t="s">
        <v>1198</v>
      </c>
      <c r="C34" s="150" t="s">
        <v>59</v>
      </c>
      <c r="D34" s="151">
        <v>0</v>
      </c>
      <c r="E34" s="152">
        <v>0</v>
      </c>
      <c r="F34" s="151">
        <v>0</v>
      </c>
      <c r="G34" s="152">
        <v>0</v>
      </c>
      <c r="H34" s="151">
        <v>0</v>
      </c>
      <c r="I34" s="152">
        <v>0</v>
      </c>
      <c r="J34" s="151">
        <v>0</v>
      </c>
      <c r="K34" s="152">
        <v>0</v>
      </c>
      <c r="L34" s="151">
        <v>0</v>
      </c>
      <c r="M34" s="152">
        <v>0</v>
      </c>
      <c r="N34" s="151">
        <v>0</v>
      </c>
      <c r="O34" s="152">
        <v>0</v>
      </c>
      <c r="P34" s="151">
        <v>0</v>
      </c>
      <c r="Q34" s="152">
        <v>0</v>
      </c>
      <c r="R34" s="151">
        <v>0</v>
      </c>
      <c r="S34" s="152">
        <v>0</v>
      </c>
      <c r="T34" s="151">
        <v>0</v>
      </c>
      <c r="U34" s="153">
        <v>0</v>
      </c>
    </row>
    <row r="35" spans="1:21" x14ac:dyDescent="0.25">
      <c r="A35" s="21" t="s">
        <v>1199</v>
      </c>
      <c r="B35" s="154" t="s">
        <v>1200</v>
      </c>
      <c r="C35" s="154" t="s">
        <v>59</v>
      </c>
      <c r="D35" s="155">
        <v>0</v>
      </c>
      <c r="E35" s="158">
        <v>0</v>
      </c>
      <c r="F35" s="155">
        <v>0</v>
      </c>
      <c r="G35" s="158">
        <v>0</v>
      </c>
      <c r="H35" s="155">
        <v>0</v>
      </c>
      <c r="I35" s="158">
        <v>0</v>
      </c>
      <c r="J35" s="155">
        <v>0</v>
      </c>
      <c r="K35" s="158">
        <v>0</v>
      </c>
      <c r="L35" s="155">
        <v>0</v>
      </c>
      <c r="M35" s="158">
        <v>0</v>
      </c>
      <c r="N35" s="155">
        <v>0</v>
      </c>
      <c r="O35" s="158">
        <v>0</v>
      </c>
      <c r="P35" s="155">
        <v>0</v>
      </c>
      <c r="Q35" s="158">
        <v>0</v>
      </c>
      <c r="R35" s="155">
        <v>0</v>
      </c>
      <c r="S35" s="158">
        <v>0</v>
      </c>
      <c r="T35" s="155">
        <v>0</v>
      </c>
      <c r="U35" s="157">
        <v>0</v>
      </c>
    </row>
    <row r="36" spans="1:21" x14ac:dyDescent="0.25">
      <c r="A36" s="149" t="s">
        <v>1194</v>
      </c>
      <c r="B36" s="150" t="s">
        <v>1245</v>
      </c>
      <c r="C36" s="150" t="s">
        <v>59</v>
      </c>
      <c r="D36" s="151">
        <v>0</v>
      </c>
      <c r="E36" s="152">
        <v>0</v>
      </c>
      <c r="F36" s="151">
        <v>0</v>
      </c>
      <c r="G36" s="152">
        <v>0</v>
      </c>
      <c r="H36" s="151">
        <v>0</v>
      </c>
      <c r="I36" s="152">
        <v>0</v>
      </c>
      <c r="J36" s="151">
        <v>0</v>
      </c>
      <c r="K36" s="152">
        <v>0</v>
      </c>
      <c r="L36" s="151">
        <v>0</v>
      </c>
      <c r="M36" s="152">
        <v>0</v>
      </c>
      <c r="N36" s="151">
        <v>0</v>
      </c>
      <c r="O36" s="152">
        <v>0</v>
      </c>
      <c r="P36" s="151">
        <v>0</v>
      </c>
      <c r="Q36" s="152">
        <v>0</v>
      </c>
      <c r="R36" s="151">
        <v>0</v>
      </c>
      <c r="S36" s="152">
        <v>0</v>
      </c>
      <c r="T36" s="151">
        <v>0</v>
      </c>
      <c r="U36" s="153">
        <v>0</v>
      </c>
    </row>
    <row r="37" spans="1:21" x14ac:dyDescent="0.25">
      <c r="A37" s="21" t="s">
        <v>1196</v>
      </c>
      <c r="B37" s="154" t="s">
        <v>1197</v>
      </c>
      <c r="C37" s="154" t="s">
        <v>59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row>
    <row r="38" spans="1:21" x14ac:dyDescent="0.25">
      <c r="A38" s="149" t="s">
        <v>565</v>
      </c>
      <c r="B38" s="150" t="s">
        <v>1198</v>
      </c>
      <c r="C38" s="150" t="s">
        <v>59</v>
      </c>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row>
    <row r="39" spans="1:21" x14ac:dyDescent="0.25">
      <c r="A39" s="21" t="s">
        <v>1199</v>
      </c>
      <c r="B39" s="154" t="s">
        <v>1200</v>
      </c>
      <c r="C39" s="154" t="s">
        <v>59</v>
      </c>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row>
    <row r="40" spans="1:21" x14ac:dyDescent="0.25">
      <c r="A40" s="149" t="s">
        <v>1194</v>
      </c>
      <c r="B40" s="150" t="s">
        <v>1209</v>
      </c>
      <c r="C40" s="150" t="s">
        <v>59</v>
      </c>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row>
    <row r="41" spans="1:21" x14ac:dyDescent="0.25">
      <c r="A41" s="21" t="s">
        <v>1196</v>
      </c>
      <c r="B41" s="154" t="s">
        <v>1197</v>
      </c>
      <c r="C41" s="154" t="s">
        <v>59</v>
      </c>
      <c r="D41" s="155">
        <v>0</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row>
    <row r="42" spans="1:21" x14ac:dyDescent="0.25">
      <c r="A42" s="149" t="s">
        <v>565</v>
      </c>
      <c r="B42" s="150" t="s">
        <v>1198</v>
      </c>
      <c r="C42" s="150" t="s">
        <v>59</v>
      </c>
      <c r="D42" s="151">
        <v>0</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row>
    <row r="43" spans="1:21" x14ac:dyDescent="0.25">
      <c r="A43" s="21" t="s">
        <v>1199</v>
      </c>
      <c r="B43" s="154" t="s">
        <v>1200</v>
      </c>
      <c r="C43" s="154" t="s">
        <v>59</v>
      </c>
      <c r="D43" s="155">
        <v>0</v>
      </c>
      <c r="E43" s="158">
        <v>0</v>
      </c>
      <c r="F43" s="155">
        <v>0</v>
      </c>
      <c r="G43" s="158">
        <v>0</v>
      </c>
      <c r="H43" s="155">
        <v>0</v>
      </c>
      <c r="I43" s="158">
        <v>0</v>
      </c>
      <c r="J43" s="155">
        <v>0</v>
      </c>
      <c r="K43" s="158">
        <v>0</v>
      </c>
      <c r="L43" s="155">
        <v>0</v>
      </c>
      <c r="M43" s="158">
        <v>0</v>
      </c>
      <c r="N43" s="155">
        <v>0</v>
      </c>
      <c r="O43" s="158">
        <v>0</v>
      </c>
      <c r="P43" s="155">
        <v>0</v>
      </c>
      <c r="Q43" s="158">
        <v>0</v>
      </c>
      <c r="R43" s="155">
        <v>0</v>
      </c>
      <c r="S43" s="158">
        <v>0</v>
      </c>
      <c r="T43" s="155">
        <v>0</v>
      </c>
      <c r="U43" s="157">
        <v>0</v>
      </c>
    </row>
    <row r="44" spans="1:21" x14ac:dyDescent="0.25">
      <c r="A44" s="149" t="s">
        <v>1194</v>
      </c>
      <c r="B44" s="150" t="s">
        <v>1218</v>
      </c>
      <c r="C44" s="150" t="s">
        <v>59</v>
      </c>
      <c r="D44" s="151">
        <v>0</v>
      </c>
      <c r="E44" s="152">
        <v>0</v>
      </c>
      <c r="F44" s="151">
        <v>0</v>
      </c>
      <c r="G44" s="152">
        <v>0</v>
      </c>
      <c r="H44" s="151">
        <v>0</v>
      </c>
      <c r="I44" s="152">
        <v>0</v>
      </c>
      <c r="J44" s="151">
        <v>0</v>
      </c>
      <c r="K44" s="152">
        <v>0</v>
      </c>
      <c r="L44" s="151">
        <v>0</v>
      </c>
      <c r="M44" s="152">
        <v>0</v>
      </c>
      <c r="N44" s="151">
        <v>0</v>
      </c>
      <c r="O44" s="152">
        <v>0</v>
      </c>
      <c r="P44" s="151">
        <v>0</v>
      </c>
      <c r="Q44" s="152">
        <v>0</v>
      </c>
      <c r="R44" s="151">
        <v>0</v>
      </c>
      <c r="S44" s="152">
        <v>0</v>
      </c>
      <c r="T44" s="151">
        <v>0</v>
      </c>
      <c r="U44" s="153">
        <v>0</v>
      </c>
    </row>
    <row r="45" spans="1:21" x14ac:dyDescent="0.25">
      <c r="A45" s="21" t="s">
        <v>1196</v>
      </c>
      <c r="B45" s="154" t="s">
        <v>1197</v>
      </c>
      <c r="C45" s="154" t="s">
        <v>59</v>
      </c>
      <c r="D45" s="155">
        <v>0</v>
      </c>
      <c r="E45" s="158">
        <v>0</v>
      </c>
      <c r="F45" s="155">
        <v>0</v>
      </c>
      <c r="G45" s="158">
        <v>0</v>
      </c>
      <c r="H45" s="155">
        <v>0</v>
      </c>
      <c r="I45" s="158">
        <v>0</v>
      </c>
      <c r="J45" s="155">
        <v>0</v>
      </c>
      <c r="K45" s="158">
        <v>0</v>
      </c>
      <c r="L45" s="155">
        <v>0</v>
      </c>
      <c r="M45" s="158">
        <v>0</v>
      </c>
      <c r="N45" s="155">
        <v>0</v>
      </c>
      <c r="O45" s="158">
        <v>0</v>
      </c>
      <c r="P45" s="155">
        <v>0</v>
      </c>
      <c r="Q45" s="158">
        <v>0</v>
      </c>
      <c r="R45" s="155">
        <v>0</v>
      </c>
      <c r="S45" s="158">
        <v>0</v>
      </c>
      <c r="T45" s="155">
        <v>0</v>
      </c>
      <c r="U45" s="157">
        <v>0</v>
      </c>
    </row>
    <row r="46" spans="1:21" x14ac:dyDescent="0.25">
      <c r="A46" s="149" t="s">
        <v>565</v>
      </c>
      <c r="B46" s="150" t="s">
        <v>1198</v>
      </c>
      <c r="C46" s="150" t="s">
        <v>59</v>
      </c>
      <c r="D46" s="151">
        <v>0</v>
      </c>
      <c r="E46" s="152">
        <v>0</v>
      </c>
      <c r="F46" s="151">
        <v>0</v>
      </c>
      <c r="G46" s="152">
        <v>0</v>
      </c>
      <c r="H46" s="151">
        <v>0</v>
      </c>
      <c r="I46" s="152">
        <v>0</v>
      </c>
      <c r="J46" s="151">
        <v>0</v>
      </c>
      <c r="K46" s="152">
        <v>0</v>
      </c>
      <c r="L46" s="151">
        <v>0</v>
      </c>
      <c r="M46" s="152">
        <v>0</v>
      </c>
      <c r="N46" s="151">
        <v>0</v>
      </c>
      <c r="O46" s="152">
        <v>0</v>
      </c>
      <c r="P46" s="151">
        <v>0</v>
      </c>
      <c r="Q46" s="152">
        <v>0</v>
      </c>
      <c r="R46" s="151">
        <v>0</v>
      </c>
      <c r="S46" s="152">
        <v>0</v>
      </c>
      <c r="T46" s="151">
        <v>0</v>
      </c>
      <c r="U46" s="153">
        <v>0</v>
      </c>
    </row>
    <row r="47" spans="1:21" x14ac:dyDescent="0.25">
      <c r="A47" s="21" t="s">
        <v>1199</v>
      </c>
      <c r="B47" s="154" t="s">
        <v>1200</v>
      </c>
      <c r="C47" s="154" t="s">
        <v>59</v>
      </c>
      <c r="D47" s="155">
        <v>0</v>
      </c>
      <c r="E47" s="158">
        <v>0</v>
      </c>
      <c r="F47" s="155">
        <v>0</v>
      </c>
      <c r="G47" s="158">
        <v>0</v>
      </c>
      <c r="H47" s="155">
        <v>0</v>
      </c>
      <c r="I47" s="158">
        <v>0</v>
      </c>
      <c r="J47" s="155">
        <v>0</v>
      </c>
      <c r="K47" s="158">
        <v>0</v>
      </c>
      <c r="L47" s="155">
        <v>0</v>
      </c>
      <c r="M47" s="158">
        <v>0</v>
      </c>
      <c r="N47" s="155">
        <v>0</v>
      </c>
      <c r="O47" s="158">
        <v>0</v>
      </c>
      <c r="P47" s="155">
        <v>0</v>
      </c>
      <c r="Q47" s="158">
        <v>0</v>
      </c>
      <c r="R47" s="155">
        <v>0</v>
      </c>
      <c r="S47" s="158">
        <v>0</v>
      </c>
      <c r="T47" s="155">
        <v>0</v>
      </c>
      <c r="U47" s="157">
        <v>0</v>
      </c>
    </row>
    <row r="48" spans="1:21" x14ac:dyDescent="0.25">
      <c r="A48" s="149" t="s">
        <v>1263</v>
      </c>
      <c r="B48" s="150" t="s">
        <v>1264</v>
      </c>
      <c r="C48" s="150" t="s">
        <v>1265</v>
      </c>
      <c r="D48" s="151">
        <v>0</v>
      </c>
      <c r="E48" s="152">
        <v>0</v>
      </c>
      <c r="F48" s="151">
        <v>0</v>
      </c>
      <c r="G48" s="152">
        <v>0</v>
      </c>
      <c r="H48" s="151">
        <v>0</v>
      </c>
      <c r="I48" s="152">
        <v>0</v>
      </c>
      <c r="J48" s="151">
        <v>0</v>
      </c>
      <c r="K48" s="152">
        <v>0</v>
      </c>
      <c r="L48" s="151">
        <v>0</v>
      </c>
      <c r="M48" s="152">
        <v>0</v>
      </c>
      <c r="N48" s="151">
        <v>0</v>
      </c>
      <c r="O48" s="152">
        <v>0</v>
      </c>
      <c r="P48" s="151">
        <v>0</v>
      </c>
      <c r="Q48" s="152">
        <v>0</v>
      </c>
      <c r="R48" s="151">
        <v>0</v>
      </c>
      <c r="S48" s="152">
        <v>0</v>
      </c>
      <c r="T48" s="151">
        <v>0</v>
      </c>
      <c r="U48" s="153">
        <v>0</v>
      </c>
    </row>
    <row r="49" spans="1:21" x14ac:dyDescent="0.25">
      <c r="A49" s="21" t="s">
        <v>1266</v>
      </c>
      <c r="B49" s="154" t="s">
        <v>1267</v>
      </c>
      <c r="C49" s="154" t="s">
        <v>1268</v>
      </c>
      <c r="D49" s="155">
        <v>0</v>
      </c>
      <c r="E49" s="158">
        <v>0</v>
      </c>
      <c r="F49" s="155">
        <v>0</v>
      </c>
      <c r="G49" s="158">
        <v>0</v>
      </c>
      <c r="H49" s="155">
        <v>0</v>
      </c>
      <c r="I49" s="158">
        <v>0</v>
      </c>
      <c r="J49" s="155">
        <v>0</v>
      </c>
      <c r="K49" s="158">
        <v>0</v>
      </c>
      <c r="L49" s="155">
        <v>0</v>
      </c>
      <c r="M49" s="158">
        <v>0</v>
      </c>
      <c r="N49" s="155">
        <v>0</v>
      </c>
      <c r="O49" s="158">
        <v>0</v>
      </c>
      <c r="P49" s="155">
        <v>0</v>
      </c>
      <c r="Q49" s="158">
        <v>0</v>
      </c>
      <c r="R49" s="155">
        <v>0</v>
      </c>
      <c r="S49" s="158">
        <v>0</v>
      </c>
      <c r="T49" s="155">
        <v>0</v>
      </c>
      <c r="U49" s="157">
        <v>0</v>
      </c>
    </row>
    <row r="50" spans="1:21" x14ac:dyDescent="0.25">
      <c r="A50" s="149" t="s">
        <v>1269</v>
      </c>
      <c r="B50" s="150" t="s">
        <v>1270</v>
      </c>
      <c r="C50" s="150" t="s">
        <v>1271</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row>
    <row r="51" spans="1:21" x14ac:dyDescent="0.25">
      <c r="A51" s="21" t="s">
        <v>1272</v>
      </c>
      <c r="B51" s="154" t="s">
        <v>1273</v>
      </c>
      <c r="C51" s="154" t="s">
        <v>1274</v>
      </c>
      <c r="D51" s="155">
        <v>0</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row>
    <row r="52" spans="1:21" x14ac:dyDescent="0.25">
      <c r="A52" s="149" t="s">
        <v>1275</v>
      </c>
      <c r="B52" s="150" t="s">
        <v>1276</v>
      </c>
      <c r="C52" s="150" t="s">
        <v>1277</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row>
    <row r="53" spans="1:21" x14ac:dyDescent="0.25">
      <c r="A53" s="21" t="s">
        <v>1278</v>
      </c>
      <c r="B53" s="154" t="s">
        <v>1279</v>
      </c>
      <c r="C53" s="154" t="s">
        <v>1280</v>
      </c>
      <c r="D53" s="155">
        <v>0</v>
      </c>
      <c r="E53" s="158">
        <v>0</v>
      </c>
      <c r="F53" s="155">
        <v>0</v>
      </c>
      <c r="G53" s="158">
        <v>0</v>
      </c>
      <c r="H53" s="155">
        <v>0</v>
      </c>
      <c r="I53" s="158">
        <v>0</v>
      </c>
      <c r="J53" s="155">
        <v>0</v>
      </c>
      <c r="K53" s="158">
        <v>0</v>
      </c>
      <c r="L53" s="155">
        <v>0</v>
      </c>
      <c r="M53" s="158">
        <v>0</v>
      </c>
      <c r="N53" s="155">
        <v>0</v>
      </c>
      <c r="O53" s="158">
        <v>0</v>
      </c>
      <c r="P53" s="155">
        <v>0</v>
      </c>
      <c r="Q53" s="158">
        <v>0</v>
      </c>
      <c r="R53" s="155">
        <v>0</v>
      </c>
      <c r="S53" s="158">
        <v>0</v>
      </c>
      <c r="T53" s="155">
        <v>0</v>
      </c>
      <c r="U53" s="157">
        <v>0</v>
      </c>
    </row>
    <row r="54" spans="1:21" x14ac:dyDescent="0.25">
      <c r="A54" s="149" t="s">
        <v>1281</v>
      </c>
      <c r="B54" s="150" t="s">
        <v>1282</v>
      </c>
      <c r="C54" s="150" t="s">
        <v>1283</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row>
    <row r="55" spans="1:21" x14ac:dyDescent="0.25">
      <c r="A55" s="21" t="s">
        <v>1284</v>
      </c>
      <c r="B55" s="154" t="s">
        <v>1285</v>
      </c>
      <c r="C55" s="154" t="s">
        <v>1286</v>
      </c>
      <c r="D55" s="155">
        <v>0</v>
      </c>
      <c r="E55" s="158">
        <v>0</v>
      </c>
      <c r="F55" s="155">
        <v>0</v>
      </c>
      <c r="G55" s="158">
        <v>0</v>
      </c>
      <c r="H55" s="155">
        <v>0</v>
      </c>
      <c r="I55" s="158">
        <v>0</v>
      </c>
      <c r="J55" s="155">
        <v>0</v>
      </c>
      <c r="K55" s="158">
        <v>0</v>
      </c>
      <c r="L55" s="155">
        <v>0</v>
      </c>
      <c r="M55" s="158">
        <v>0</v>
      </c>
      <c r="N55" s="155">
        <v>0</v>
      </c>
      <c r="O55" s="158">
        <v>0</v>
      </c>
      <c r="P55" s="155">
        <v>0</v>
      </c>
      <c r="Q55" s="158">
        <v>0</v>
      </c>
      <c r="R55" s="155">
        <v>0</v>
      </c>
      <c r="S55" s="158">
        <v>0</v>
      </c>
      <c r="T55" s="155">
        <v>0</v>
      </c>
      <c r="U55" s="157">
        <v>0</v>
      </c>
    </row>
    <row r="56" spans="1:21" x14ac:dyDescent="0.25">
      <c r="A56" s="149" t="s">
        <v>1194</v>
      </c>
      <c r="B56" s="150" t="s">
        <v>1287</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row>
    <row r="57" spans="1:21" x14ac:dyDescent="0.25">
      <c r="A57" s="21" t="s">
        <v>1288</v>
      </c>
      <c r="B57" s="154" t="s">
        <v>1289</v>
      </c>
      <c r="C57" s="154" t="s">
        <v>1290</v>
      </c>
      <c r="D57" s="155">
        <v>0</v>
      </c>
      <c r="E57" s="158">
        <v>0</v>
      </c>
      <c r="F57" s="155">
        <v>0</v>
      </c>
      <c r="G57" s="158">
        <v>0</v>
      </c>
      <c r="H57" s="155">
        <v>0</v>
      </c>
      <c r="I57" s="158">
        <v>0</v>
      </c>
      <c r="J57" s="155">
        <v>0</v>
      </c>
      <c r="K57" s="158">
        <v>0</v>
      </c>
      <c r="L57" s="155">
        <v>0</v>
      </c>
      <c r="M57" s="158">
        <v>0</v>
      </c>
      <c r="N57" s="155">
        <v>0</v>
      </c>
      <c r="O57" s="158">
        <v>0</v>
      </c>
      <c r="P57" s="155">
        <v>0</v>
      </c>
      <c r="Q57" s="158">
        <v>0</v>
      </c>
      <c r="R57" s="155">
        <v>0</v>
      </c>
      <c r="S57" s="158">
        <v>0</v>
      </c>
      <c r="T57" s="155">
        <v>0</v>
      </c>
      <c r="U57" s="157">
        <v>0</v>
      </c>
    </row>
    <row r="58" spans="1:21" x14ac:dyDescent="0.25">
      <c r="A58" s="149" t="s">
        <v>1291</v>
      </c>
      <c r="B58" s="150" t="s">
        <v>1292</v>
      </c>
      <c r="C58" s="150" t="s">
        <v>1293</v>
      </c>
      <c r="D58" s="151">
        <v>0</v>
      </c>
      <c r="E58" s="152">
        <v>0</v>
      </c>
      <c r="F58" s="151">
        <v>0</v>
      </c>
      <c r="G58" s="152">
        <v>0</v>
      </c>
      <c r="H58" s="151">
        <v>0</v>
      </c>
      <c r="I58" s="152">
        <v>12.704649925231934</v>
      </c>
      <c r="J58" s="151">
        <v>0</v>
      </c>
      <c r="K58" s="152">
        <v>12.704649925231934</v>
      </c>
      <c r="L58" s="151">
        <v>0</v>
      </c>
      <c r="M58" s="152">
        <v>12.704649925231934</v>
      </c>
      <c r="N58" s="151">
        <v>0</v>
      </c>
      <c r="O58" s="152">
        <v>0</v>
      </c>
      <c r="P58" s="151">
        <v>0</v>
      </c>
      <c r="Q58" s="152">
        <v>0</v>
      </c>
      <c r="R58" s="151">
        <v>0</v>
      </c>
      <c r="S58" s="152">
        <v>0</v>
      </c>
      <c r="T58" s="151">
        <v>0</v>
      </c>
      <c r="U58" s="153">
        <v>0</v>
      </c>
    </row>
    <row r="59" spans="1:21" x14ac:dyDescent="0.25">
      <c r="A59" s="21" t="s">
        <v>1196</v>
      </c>
      <c r="B59" s="154" t="s">
        <v>1197</v>
      </c>
      <c r="C59" s="154" t="s">
        <v>59</v>
      </c>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row>
    <row r="60" spans="1:21" x14ac:dyDescent="0.25">
      <c r="A60" s="149" t="s">
        <v>1294</v>
      </c>
      <c r="B60" s="150" t="s">
        <v>1295</v>
      </c>
      <c r="C60" s="150" t="s">
        <v>1296</v>
      </c>
      <c r="D60" s="151">
        <v>0</v>
      </c>
      <c r="E60" s="152">
        <v>0</v>
      </c>
      <c r="F60" s="151">
        <v>0</v>
      </c>
      <c r="G60" s="152">
        <v>0</v>
      </c>
      <c r="H60" s="151">
        <v>0</v>
      </c>
      <c r="I60" s="152">
        <v>0</v>
      </c>
      <c r="J60" s="151">
        <v>0</v>
      </c>
      <c r="K60" s="152">
        <v>0</v>
      </c>
      <c r="L60" s="151">
        <v>0</v>
      </c>
      <c r="M60" s="152">
        <v>0</v>
      </c>
      <c r="N60" s="151">
        <v>0</v>
      </c>
      <c r="O60" s="152">
        <v>0</v>
      </c>
      <c r="P60" s="151">
        <v>0</v>
      </c>
      <c r="Q60" s="152">
        <v>0</v>
      </c>
      <c r="R60" s="151">
        <v>0</v>
      </c>
      <c r="S60" s="152">
        <v>0</v>
      </c>
      <c r="T60" s="151">
        <v>0</v>
      </c>
      <c r="U60" s="153">
        <v>0</v>
      </c>
    </row>
    <row r="61" spans="1:21" x14ac:dyDescent="0.25">
      <c r="A61" s="21" t="s">
        <v>565</v>
      </c>
      <c r="B61" s="154" t="s">
        <v>1198</v>
      </c>
      <c r="C61" s="154" t="s">
        <v>59</v>
      </c>
      <c r="D61" s="155">
        <v>0</v>
      </c>
      <c r="E61" s="158">
        <v>0</v>
      </c>
      <c r="F61" s="155">
        <v>0</v>
      </c>
      <c r="G61" s="158">
        <v>0</v>
      </c>
      <c r="H61" s="155">
        <v>0</v>
      </c>
      <c r="I61" s="158">
        <v>0</v>
      </c>
      <c r="J61" s="155">
        <v>0</v>
      </c>
      <c r="K61" s="158">
        <v>0</v>
      </c>
      <c r="L61" s="155">
        <v>0</v>
      </c>
      <c r="M61" s="158">
        <v>0</v>
      </c>
      <c r="N61" s="155">
        <v>0</v>
      </c>
      <c r="O61" s="158">
        <v>0</v>
      </c>
      <c r="P61" s="155">
        <v>0</v>
      </c>
      <c r="Q61" s="158">
        <v>0</v>
      </c>
      <c r="R61" s="155">
        <v>0</v>
      </c>
      <c r="S61" s="158">
        <v>0</v>
      </c>
      <c r="T61" s="155">
        <v>0</v>
      </c>
      <c r="U61" s="157">
        <v>0</v>
      </c>
    </row>
    <row r="62" spans="1:21" x14ac:dyDescent="0.25">
      <c r="A62" s="149" t="s">
        <v>1199</v>
      </c>
      <c r="B62" s="150" t="s">
        <v>1200</v>
      </c>
      <c r="C62" s="150" t="s">
        <v>59</v>
      </c>
      <c r="D62" s="151">
        <v>0</v>
      </c>
      <c r="E62" s="152">
        <v>0</v>
      </c>
      <c r="F62" s="151">
        <v>0</v>
      </c>
      <c r="G62" s="152">
        <v>0</v>
      </c>
      <c r="H62" s="151">
        <v>0</v>
      </c>
      <c r="I62" s="152">
        <v>0</v>
      </c>
      <c r="J62" s="151">
        <v>0</v>
      </c>
      <c r="K62" s="152">
        <v>0</v>
      </c>
      <c r="L62" s="151">
        <v>0</v>
      </c>
      <c r="M62" s="152">
        <v>0</v>
      </c>
      <c r="N62" s="151">
        <v>0</v>
      </c>
      <c r="O62" s="152">
        <v>0</v>
      </c>
      <c r="P62" s="151">
        <v>0</v>
      </c>
      <c r="Q62" s="152">
        <v>0</v>
      </c>
      <c r="R62" s="151">
        <v>0</v>
      </c>
      <c r="S62" s="152">
        <v>0</v>
      </c>
      <c r="T62" s="151">
        <v>0</v>
      </c>
      <c r="U62" s="153">
        <v>0</v>
      </c>
    </row>
    <row r="63" spans="1:21" x14ac:dyDescent="0.25">
      <c r="A63" s="21" t="s">
        <v>1194</v>
      </c>
      <c r="B63" s="154" t="s">
        <v>1195</v>
      </c>
      <c r="C63" s="154" t="s">
        <v>59</v>
      </c>
      <c r="D63" s="155">
        <v>0</v>
      </c>
      <c r="E63" s="158">
        <v>0</v>
      </c>
      <c r="F63" s="155">
        <v>0</v>
      </c>
      <c r="G63" s="158">
        <v>0</v>
      </c>
      <c r="H63" s="155">
        <v>0</v>
      </c>
      <c r="I63" s="158">
        <v>0</v>
      </c>
      <c r="J63" s="155">
        <v>0</v>
      </c>
      <c r="K63" s="158">
        <v>0</v>
      </c>
      <c r="L63" s="155">
        <v>0</v>
      </c>
      <c r="M63" s="158">
        <v>0</v>
      </c>
      <c r="N63" s="155">
        <v>0</v>
      </c>
      <c r="O63" s="158">
        <v>0</v>
      </c>
      <c r="P63" s="155">
        <v>0</v>
      </c>
      <c r="Q63" s="158">
        <v>0</v>
      </c>
      <c r="R63" s="155">
        <v>0</v>
      </c>
      <c r="S63" s="158">
        <v>0</v>
      </c>
      <c r="T63" s="155">
        <v>0</v>
      </c>
      <c r="U63" s="157">
        <v>0</v>
      </c>
    </row>
    <row r="64" spans="1:21" x14ac:dyDescent="0.25">
      <c r="A64" s="149" t="s">
        <v>1297</v>
      </c>
      <c r="B64" s="150" t="s">
        <v>1298</v>
      </c>
      <c r="C64" s="150" t="s">
        <v>1299</v>
      </c>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row>
    <row r="65" spans="1:21" x14ac:dyDescent="0.25">
      <c r="A65" s="21" t="s">
        <v>1157</v>
      </c>
      <c r="B65" s="154" t="s">
        <v>1300</v>
      </c>
      <c r="C65" s="154" t="s">
        <v>1158</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row>
    <row r="66" spans="1:21" x14ac:dyDescent="0.25">
      <c r="A66" s="149" t="s">
        <v>1196</v>
      </c>
      <c r="B66" s="150" t="s">
        <v>1197</v>
      </c>
      <c r="C66" s="150" t="s">
        <v>59</v>
      </c>
      <c r="D66" s="151">
        <v>0</v>
      </c>
      <c r="E66" s="152">
        <v>0</v>
      </c>
      <c r="F66" s="151">
        <v>0</v>
      </c>
      <c r="G66" s="152">
        <v>0</v>
      </c>
      <c r="H66" s="151">
        <v>0</v>
      </c>
      <c r="I66" s="152">
        <v>0</v>
      </c>
      <c r="J66" s="151">
        <v>0</v>
      </c>
      <c r="K66" s="152">
        <v>0</v>
      </c>
      <c r="L66" s="151">
        <v>0</v>
      </c>
      <c r="M66" s="152">
        <v>0</v>
      </c>
      <c r="N66" s="151">
        <v>0</v>
      </c>
      <c r="O66" s="152">
        <v>0</v>
      </c>
      <c r="P66" s="151">
        <v>0</v>
      </c>
      <c r="Q66" s="152">
        <v>0</v>
      </c>
      <c r="R66" s="151">
        <v>0</v>
      </c>
      <c r="S66" s="152">
        <v>0</v>
      </c>
      <c r="T66" s="151">
        <v>0</v>
      </c>
      <c r="U66" s="153">
        <v>0</v>
      </c>
    </row>
    <row r="67" spans="1:21" x14ac:dyDescent="0.25">
      <c r="A67" s="21" t="s">
        <v>1303</v>
      </c>
      <c r="B67" s="154" t="s">
        <v>1304</v>
      </c>
      <c r="C67" s="154" t="s">
        <v>1305</v>
      </c>
      <c r="D67" s="155">
        <v>0</v>
      </c>
      <c r="E67" s="158">
        <v>0</v>
      </c>
      <c r="F67" s="155">
        <v>0</v>
      </c>
      <c r="G67" s="158">
        <v>0</v>
      </c>
      <c r="H67" s="155">
        <v>0</v>
      </c>
      <c r="I67" s="158">
        <v>0</v>
      </c>
      <c r="J67" s="155">
        <v>0</v>
      </c>
      <c r="K67" s="158">
        <v>0</v>
      </c>
      <c r="L67" s="155">
        <v>0</v>
      </c>
      <c r="M67" s="158">
        <v>0</v>
      </c>
      <c r="N67" s="155">
        <v>0</v>
      </c>
      <c r="O67" s="158">
        <v>0</v>
      </c>
      <c r="P67" s="155">
        <v>0</v>
      </c>
      <c r="Q67" s="158">
        <v>0</v>
      </c>
      <c r="R67" s="155">
        <v>0</v>
      </c>
      <c r="S67" s="158">
        <v>0</v>
      </c>
      <c r="T67" s="155">
        <v>0</v>
      </c>
      <c r="U67" s="157">
        <v>0</v>
      </c>
    </row>
    <row r="68" spans="1:21" x14ac:dyDescent="0.25">
      <c r="A68" s="149" t="s">
        <v>565</v>
      </c>
      <c r="B68" s="150" t="s">
        <v>1198</v>
      </c>
      <c r="C68" s="150" t="s">
        <v>59</v>
      </c>
      <c r="D68" s="151">
        <v>0</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row>
    <row r="69" spans="1:21" x14ac:dyDescent="0.25">
      <c r="A69" s="21" t="s">
        <v>1153</v>
      </c>
      <c r="B69" s="154" t="s">
        <v>472</v>
      </c>
      <c r="C69" s="154" t="s">
        <v>1306</v>
      </c>
      <c r="D69" s="155">
        <v>0</v>
      </c>
      <c r="E69" s="158">
        <v>0</v>
      </c>
      <c r="F69" s="155">
        <v>0</v>
      </c>
      <c r="G69" s="158">
        <v>250</v>
      </c>
      <c r="H69" s="155">
        <v>0</v>
      </c>
      <c r="I69" s="158">
        <v>0</v>
      </c>
      <c r="J69" s="155">
        <v>0</v>
      </c>
      <c r="K69" s="158">
        <v>0</v>
      </c>
      <c r="L69" s="155">
        <v>51.18402099609375</v>
      </c>
      <c r="M69" s="158">
        <v>51.18402099609375</v>
      </c>
      <c r="N69" s="155">
        <v>0</v>
      </c>
      <c r="O69" s="158">
        <v>0</v>
      </c>
      <c r="P69" s="155">
        <v>0</v>
      </c>
      <c r="Q69" s="158">
        <v>0</v>
      </c>
      <c r="R69" s="155">
        <v>0</v>
      </c>
      <c r="S69" s="158">
        <v>0</v>
      </c>
      <c r="T69" s="155">
        <v>0</v>
      </c>
      <c r="U69" s="157">
        <v>0</v>
      </c>
    </row>
    <row r="70" spans="1:21" x14ac:dyDescent="0.25">
      <c r="A70" s="149" t="s">
        <v>1199</v>
      </c>
      <c r="B70" s="150" t="s">
        <v>1200</v>
      </c>
      <c r="C70" s="150" t="s">
        <v>59</v>
      </c>
      <c r="D70" s="151">
        <v>0</v>
      </c>
      <c r="E70" s="152">
        <v>0</v>
      </c>
      <c r="F70" s="151">
        <v>0</v>
      </c>
      <c r="G70" s="152">
        <v>0</v>
      </c>
      <c r="H70" s="151">
        <v>0</v>
      </c>
      <c r="I70" s="152">
        <v>0</v>
      </c>
      <c r="J70" s="151">
        <v>0</v>
      </c>
      <c r="K70" s="152">
        <v>0</v>
      </c>
      <c r="L70" s="151">
        <v>0</v>
      </c>
      <c r="M70" s="152">
        <v>0</v>
      </c>
      <c r="N70" s="151">
        <v>0</v>
      </c>
      <c r="O70" s="152">
        <v>0</v>
      </c>
      <c r="P70" s="151">
        <v>0</v>
      </c>
      <c r="Q70" s="152">
        <v>0</v>
      </c>
      <c r="R70" s="151">
        <v>0</v>
      </c>
      <c r="S70" s="152">
        <v>0</v>
      </c>
      <c r="T70" s="151">
        <v>0</v>
      </c>
      <c r="U70" s="153">
        <v>0</v>
      </c>
    </row>
    <row r="71" spans="1:21" x14ac:dyDescent="0.25">
      <c r="A71" s="21" t="s">
        <v>1194</v>
      </c>
      <c r="B71" s="154" t="s">
        <v>1307</v>
      </c>
      <c r="C71" s="154" t="s">
        <v>59</v>
      </c>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row>
    <row r="72" spans="1:21" x14ac:dyDescent="0.25">
      <c r="A72" s="149" t="s">
        <v>1196</v>
      </c>
      <c r="B72" s="150" t="s">
        <v>1197</v>
      </c>
      <c r="C72" s="150" t="s">
        <v>59</v>
      </c>
      <c r="D72" s="151">
        <v>0</v>
      </c>
      <c r="E72" s="152">
        <v>0</v>
      </c>
      <c r="F72" s="151">
        <v>0</v>
      </c>
      <c r="G72" s="152">
        <v>0</v>
      </c>
      <c r="H72" s="151">
        <v>0</v>
      </c>
      <c r="I72" s="152">
        <v>0</v>
      </c>
      <c r="J72" s="151">
        <v>0</v>
      </c>
      <c r="K72" s="152">
        <v>0</v>
      </c>
      <c r="L72" s="151">
        <v>0</v>
      </c>
      <c r="M72" s="152">
        <v>0</v>
      </c>
      <c r="N72" s="151">
        <v>0</v>
      </c>
      <c r="O72" s="152">
        <v>0</v>
      </c>
      <c r="P72" s="151">
        <v>0</v>
      </c>
      <c r="Q72" s="152">
        <v>0</v>
      </c>
      <c r="R72" s="151">
        <v>0</v>
      </c>
      <c r="S72" s="152">
        <v>0</v>
      </c>
      <c r="T72" s="151">
        <v>0</v>
      </c>
      <c r="U72" s="153">
        <v>0</v>
      </c>
    </row>
    <row r="73" spans="1:21" x14ac:dyDescent="0.25">
      <c r="A73" s="21" t="s">
        <v>565</v>
      </c>
      <c r="B73" s="154" t="s">
        <v>1198</v>
      </c>
      <c r="C73" s="154" t="s">
        <v>59</v>
      </c>
      <c r="D73" s="155">
        <v>0</v>
      </c>
      <c r="E73" s="158">
        <v>0</v>
      </c>
      <c r="F73" s="155">
        <v>0</v>
      </c>
      <c r="G73" s="158">
        <v>0</v>
      </c>
      <c r="H73" s="155">
        <v>0</v>
      </c>
      <c r="I73" s="158">
        <v>0</v>
      </c>
      <c r="J73" s="155">
        <v>0</v>
      </c>
      <c r="K73" s="158">
        <v>0</v>
      </c>
      <c r="L73" s="155">
        <v>0</v>
      </c>
      <c r="M73" s="158">
        <v>0</v>
      </c>
      <c r="N73" s="155">
        <v>0</v>
      </c>
      <c r="O73" s="158">
        <v>0</v>
      </c>
      <c r="P73" s="155">
        <v>0</v>
      </c>
      <c r="Q73" s="158">
        <v>0</v>
      </c>
      <c r="R73" s="155">
        <v>0</v>
      </c>
      <c r="S73" s="158">
        <v>0</v>
      </c>
      <c r="T73" s="155">
        <v>0</v>
      </c>
      <c r="U73" s="157">
        <v>0</v>
      </c>
    </row>
    <row r="74" spans="1:21" x14ac:dyDescent="0.25">
      <c r="A74" s="149" t="s">
        <v>1199</v>
      </c>
      <c r="B74" s="150" t="s">
        <v>1200</v>
      </c>
      <c r="C74" s="150" t="s">
        <v>59</v>
      </c>
      <c r="D74" s="151">
        <v>0</v>
      </c>
      <c r="E74" s="152">
        <v>0</v>
      </c>
      <c r="F74" s="151">
        <v>0</v>
      </c>
      <c r="G74" s="152">
        <v>0</v>
      </c>
      <c r="H74" s="151">
        <v>0</v>
      </c>
      <c r="I74" s="152">
        <v>0</v>
      </c>
      <c r="J74" s="151">
        <v>0</v>
      </c>
      <c r="K74" s="152">
        <v>0</v>
      </c>
      <c r="L74" s="151">
        <v>0</v>
      </c>
      <c r="M74" s="152">
        <v>0</v>
      </c>
      <c r="N74" s="151">
        <v>0</v>
      </c>
      <c r="O74" s="152">
        <v>0</v>
      </c>
      <c r="P74" s="151">
        <v>0</v>
      </c>
      <c r="Q74" s="152">
        <v>0</v>
      </c>
      <c r="R74" s="151">
        <v>0</v>
      </c>
      <c r="S74" s="152">
        <v>0</v>
      </c>
      <c r="T74" s="151">
        <v>0</v>
      </c>
      <c r="U74" s="153">
        <v>0</v>
      </c>
    </row>
    <row r="75" spans="1:21" x14ac:dyDescent="0.25">
      <c r="A75" s="21" t="s">
        <v>1308</v>
      </c>
      <c r="B75" s="154" t="s">
        <v>1309</v>
      </c>
      <c r="C75" s="154" t="s">
        <v>1310</v>
      </c>
      <c r="D75" s="155">
        <v>0</v>
      </c>
      <c r="E75" s="158">
        <v>0</v>
      </c>
      <c r="F75" s="155">
        <v>0</v>
      </c>
      <c r="G75" s="158">
        <v>0</v>
      </c>
      <c r="H75" s="155">
        <v>0</v>
      </c>
      <c r="I75" s="158">
        <v>0</v>
      </c>
      <c r="J75" s="155">
        <v>0</v>
      </c>
      <c r="K75" s="158">
        <v>0</v>
      </c>
      <c r="L75" s="155">
        <v>0</v>
      </c>
      <c r="M75" s="158">
        <v>0</v>
      </c>
      <c r="N75" s="155">
        <v>0</v>
      </c>
      <c r="O75" s="158">
        <v>0</v>
      </c>
      <c r="P75" s="155">
        <v>0</v>
      </c>
      <c r="Q75" s="158">
        <v>0</v>
      </c>
      <c r="R75" s="155">
        <v>0</v>
      </c>
      <c r="S75" s="158">
        <v>0</v>
      </c>
      <c r="T75" s="155">
        <v>0</v>
      </c>
      <c r="U75" s="157">
        <v>0</v>
      </c>
    </row>
    <row r="76" spans="1:21" x14ac:dyDescent="0.25">
      <c r="A76" s="149" t="s">
        <v>1194</v>
      </c>
      <c r="B76" s="150" t="s">
        <v>1315</v>
      </c>
      <c r="C76" s="150" t="s">
        <v>59</v>
      </c>
      <c r="D76" s="151">
        <v>0</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row>
    <row r="77" spans="1:21" x14ac:dyDescent="0.25">
      <c r="A77" s="21" t="s">
        <v>1196</v>
      </c>
      <c r="B77" s="154" t="s">
        <v>1197</v>
      </c>
      <c r="C77" s="154" t="s">
        <v>59</v>
      </c>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row>
    <row r="78" spans="1:21" x14ac:dyDescent="0.25">
      <c r="A78" s="149" t="s">
        <v>565</v>
      </c>
      <c r="B78" s="150" t="s">
        <v>1316</v>
      </c>
      <c r="C78" s="150" t="s">
        <v>59</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row>
    <row r="79" spans="1:21" x14ac:dyDescent="0.25">
      <c r="A79" s="21" t="s">
        <v>1199</v>
      </c>
      <c r="B79" s="154" t="s">
        <v>1200</v>
      </c>
      <c r="C79" s="154" t="s">
        <v>59</v>
      </c>
      <c r="D79" s="155">
        <v>0</v>
      </c>
      <c r="E79" s="158">
        <v>0</v>
      </c>
      <c r="F79" s="155">
        <v>0</v>
      </c>
      <c r="G79" s="158">
        <v>0</v>
      </c>
      <c r="H79" s="155">
        <v>0</v>
      </c>
      <c r="I79" s="158">
        <v>0</v>
      </c>
      <c r="J79" s="155">
        <v>0</v>
      </c>
      <c r="K79" s="158">
        <v>0</v>
      </c>
      <c r="L79" s="155">
        <v>0</v>
      </c>
      <c r="M79" s="158">
        <v>0</v>
      </c>
      <c r="N79" s="155">
        <v>0</v>
      </c>
      <c r="O79" s="158">
        <v>0</v>
      </c>
      <c r="P79" s="155">
        <v>0</v>
      </c>
      <c r="Q79" s="158">
        <v>0</v>
      </c>
      <c r="R79" s="155">
        <v>0</v>
      </c>
      <c r="S79" s="158">
        <v>0</v>
      </c>
      <c r="T79" s="155">
        <v>0</v>
      </c>
      <c r="U79" s="157">
        <v>0</v>
      </c>
    </row>
    <row r="80" spans="1:21" x14ac:dyDescent="0.25">
      <c r="A80" s="149" t="s">
        <v>1317</v>
      </c>
      <c r="B80" s="150" t="s">
        <v>1318</v>
      </c>
      <c r="C80" s="150" t="s">
        <v>1319</v>
      </c>
      <c r="D80" s="151">
        <v>0</v>
      </c>
      <c r="E80" s="152">
        <v>0</v>
      </c>
      <c r="F80" s="151">
        <v>0</v>
      </c>
      <c r="G80" s="152">
        <v>0</v>
      </c>
      <c r="H80" s="151">
        <v>0</v>
      </c>
      <c r="I80" s="152">
        <v>0</v>
      </c>
      <c r="J80" s="151">
        <v>0</v>
      </c>
      <c r="K80" s="152">
        <v>0</v>
      </c>
      <c r="L80" s="151">
        <v>0</v>
      </c>
      <c r="M80" s="152">
        <v>0</v>
      </c>
      <c r="N80" s="151">
        <v>0</v>
      </c>
      <c r="O80" s="152">
        <v>0</v>
      </c>
      <c r="P80" s="151">
        <v>0</v>
      </c>
      <c r="Q80" s="152">
        <v>0</v>
      </c>
      <c r="R80" s="151">
        <v>0</v>
      </c>
      <c r="S80" s="152">
        <v>0</v>
      </c>
      <c r="T80" s="151">
        <v>0</v>
      </c>
      <c r="U80" s="153">
        <v>0</v>
      </c>
    </row>
    <row r="81" spans="1:21" x14ac:dyDescent="0.25">
      <c r="A81" s="21" t="s">
        <v>711</v>
      </c>
      <c r="B81" s="154" t="s">
        <v>1320</v>
      </c>
      <c r="C81" s="154" t="s">
        <v>1321</v>
      </c>
      <c r="D81" s="155">
        <v>0</v>
      </c>
      <c r="E81" s="158">
        <v>0</v>
      </c>
      <c r="F81" s="155">
        <v>0</v>
      </c>
      <c r="G81" s="158">
        <v>0</v>
      </c>
      <c r="H81" s="155">
        <v>0</v>
      </c>
      <c r="I81" s="158">
        <v>0</v>
      </c>
      <c r="J81" s="155">
        <v>0</v>
      </c>
      <c r="K81" s="158">
        <v>0</v>
      </c>
      <c r="L81" s="155">
        <v>0</v>
      </c>
      <c r="M81" s="158">
        <v>0</v>
      </c>
      <c r="N81" s="155">
        <v>0</v>
      </c>
      <c r="O81" s="158">
        <v>0</v>
      </c>
      <c r="P81" s="155">
        <v>0</v>
      </c>
      <c r="Q81" s="158">
        <v>0</v>
      </c>
      <c r="R81" s="155">
        <v>0</v>
      </c>
      <c r="S81" s="158">
        <v>0</v>
      </c>
      <c r="T81" s="155">
        <v>0</v>
      </c>
      <c r="U81" s="157">
        <v>0</v>
      </c>
    </row>
    <row r="82" spans="1:21" x14ac:dyDescent="0.25">
      <c r="A82" s="149" t="s">
        <v>1194</v>
      </c>
      <c r="B82" s="150" t="s">
        <v>1322</v>
      </c>
      <c r="C82" s="150" t="s">
        <v>59</v>
      </c>
      <c r="D82" s="151">
        <v>0</v>
      </c>
      <c r="E82" s="152">
        <v>0</v>
      </c>
      <c r="F82" s="151">
        <v>0</v>
      </c>
      <c r="G82" s="152">
        <v>0</v>
      </c>
      <c r="H82" s="151">
        <v>0</v>
      </c>
      <c r="I82" s="152">
        <v>0</v>
      </c>
      <c r="J82" s="151">
        <v>0</v>
      </c>
      <c r="K82" s="152">
        <v>0</v>
      </c>
      <c r="L82" s="151">
        <v>0</v>
      </c>
      <c r="M82" s="152">
        <v>0</v>
      </c>
      <c r="N82" s="151">
        <v>0</v>
      </c>
      <c r="O82" s="152">
        <v>0</v>
      </c>
      <c r="P82" s="151">
        <v>0</v>
      </c>
      <c r="Q82" s="152">
        <v>0</v>
      </c>
      <c r="R82" s="151">
        <v>0</v>
      </c>
      <c r="S82" s="152">
        <v>0</v>
      </c>
      <c r="T82" s="151">
        <v>0</v>
      </c>
      <c r="U82" s="153">
        <v>0</v>
      </c>
    </row>
    <row r="83" spans="1:21" x14ac:dyDescent="0.25">
      <c r="A83" s="21" t="s">
        <v>1196</v>
      </c>
      <c r="B83" s="154" t="s">
        <v>1197</v>
      </c>
      <c r="C83" s="154" t="s">
        <v>59</v>
      </c>
      <c r="D83" s="155">
        <v>0</v>
      </c>
      <c r="E83" s="158">
        <v>0</v>
      </c>
      <c r="F83" s="155">
        <v>0</v>
      </c>
      <c r="G83" s="158">
        <v>0</v>
      </c>
      <c r="H83" s="155">
        <v>0</v>
      </c>
      <c r="I83" s="158">
        <v>0</v>
      </c>
      <c r="J83" s="155">
        <v>0</v>
      </c>
      <c r="K83" s="158">
        <v>0</v>
      </c>
      <c r="L83" s="155">
        <v>0</v>
      </c>
      <c r="M83" s="158">
        <v>0</v>
      </c>
      <c r="N83" s="155">
        <v>0</v>
      </c>
      <c r="O83" s="158">
        <v>0</v>
      </c>
      <c r="P83" s="155">
        <v>0</v>
      </c>
      <c r="Q83" s="158">
        <v>0</v>
      </c>
      <c r="R83" s="155">
        <v>0</v>
      </c>
      <c r="S83" s="158">
        <v>0</v>
      </c>
      <c r="T83" s="155">
        <v>0</v>
      </c>
      <c r="U83" s="157">
        <v>0</v>
      </c>
    </row>
    <row r="84" spans="1:21" x14ac:dyDescent="0.25">
      <c r="A84" s="149" t="s">
        <v>565</v>
      </c>
      <c r="B84" s="150" t="s">
        <v>1323</v>
      </c>
      <c r="C84" s="150" t="s">
        <v>59</v>
      </c>
      <c r="D84" s="151">
        <v>0</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row>
    <row r="85" spans="1:21" x14ac:dyDescent="0.25">
      <c r="A85" s="21" t="s">
        <v>1199</v>
      </c>
      <c r="B85" s="154" t="s">
        <v>1200</v>
      </c>
      <c r="C85" s="154" t="s">
        <v>59</v>
      </c>
      <c r="D85" s="155">
        <v>0</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row>
    <row r="86" spans="1:21" x14ac:dyDescent="0.25">
      <c r="A86" s="149" t="s">
        <v>1136</v>
      </c>
      <c r="B86" s="150" t="s">
        <v>1210</v>
      </c>
      <c r="C86" s="150" t="s">
        <v>1324</v>
      </c>
      <c r="D86" s="151">
        <v>0</v>
      </c>
      <c r="E86" s="152">
        <v>0</v>
      </c>
      <c r="F86" s="151">
        <v>0</v>
      </c>
      <c r="G86" s="152">
        <v>479</v>
      </c>
      <c r="H86" s="151">
        <v>0</v>
      </c>
      <c r="I86" s="152">
        <v>0</v>
      </c>
      <c r="J86" s="151">
        <v>0</v>
      </c>
      <c r="K86" s="152">
        <v>0</v>
      </c>
      <c r="L86" s="151">
        <v>479.32675170898437</v>
      </c>
      <c r="M86" s="152">
        <v>479.32675170898437</v>
      </c>
      <c r="N86" s="151">
        <v>0</v>
      </c>
      <c r="O86" s="152">
        <v>0</v>
      </c>
      <c r="P86" s="151">
        <v>0</v>
      </c>
      <c r="Q86" s="152">
        <v>0</v>
      </c>
      <c r="R86" s="151">
        <v>0</v>
      </c>
      <c r="S86" s="152">
        <v>0</v>
      </c>
      <c r="T86" s="151">
        <v>0</v>
      </c>
      <c r="U86" s="153">
        <v>0</v>
      </c>
    </row>
    <row r="87" spans="1:21" x14ac:dyDescent="0.25">
      <c r="A87" s="21" t="s">
        <v>1177</v>
      </c>
      <c r="B87" s="154" t="s">
        <v>1179</v>
      </c>
      <c r="C87" s="154" t="s">
        <v>1178</v>
      </c>
      <c r="D87" s="155">
        <v>0</v>
      </c>
      <c r="E87" s="158">
        <v>0</v>
      </c>
      <c r="F87" s="155">
        <v>0</v>
      </c>
      <c r="G87" s="158">
        <v>14</v>
      </c>
      <c r="H87" s="155">
        <v>0</v>
      </c>
      <c r="I87" s="158">
        <v>0</v>
      </c>
      <c r="J87" s="155">
        <v>0</v>
      </c>
      <c r="K87" s="158">
        <v>0</v>
      </c>
      <c r="L87" s="155">
        <v>0</v>
      </c>
      <c r="M87" s="158">
        <v>0</v>
      </c>
      <c r="N87" s="155">
        <v>0</v>
      </c>
      <c r="O87" s="158">
        <v>0</v>
      </c>
      <c r="P87" s="155">
        <v>0</v>
      </c>
      <c r="Q87" s="158">
        <v>0</v>
      </c>
      <c r="R87" s="155">
        <v>0</v>
      </c>
      <c r="S87" s="158">
        <v>0</v>
      </c>
      <c r="T87" s="155">
        <v>0</v>
      </c>
      <c r="U87" s="157">
        <v>0</v>
      </c>
    </row>
    <row r="88" spans="1:21" x14ac:dyDescent="0.25">
      <c r="A88" s="149" t="s">
        <v>1185</v>
      </c>
      <c r="B88" s="150" t="s">
        <v>1187</v>
      </c>
      <c r="C88" s="150" t="s">
        <v>1186</v>
      </c>
      <c r="D88" s="151">
        <v>0</v>
      </c>
      <c r="E88" s="152">
        <v>0</v>
      </c>
      <c r="F88" s="151">
        <v>0</v>
      </c>
      <c r="G88" s="152">
        <v>10</v>
      </c>
      <c r="H88" s="151">
        <v>0</v>
      </c>
      <c r="I88" s="152">
        <v>0</v>
      </c>
      <c r="J88" s="151">
        <v>0</v>
      </c>
      <c r="K88" s="152">
        <v>0</v>
      </c>
      <c r="L88" s="151">
        <v>0</v>
      </c>
      <c r="M88" s="152">
        <v>0</v>
      </c>
      <c r="N88" s="151">
        <v>0</v>
      </c>
      <c r="O88" s="152">
        <v>0</v>
      </c>
      <c r="P88" s="151">
        <v>0</v>
      </c>
      <c r="Q88" s="152">
        <v>0</v>
      </c>
      <c r="R88" s="151">
        <v>0</v>
      </c>
      <c r="S88" s="152">
        <v>0</v>
      </c>
      <c r="T88" s="151">
        <v>0</v>
      </c>
      <c r="U88" s="153">
        <v>0</v>
      </c>
    </row>
    <row r="89" spans="1:21" x14ac:dyDescent="0.25">
      <c r="A89" s="21" t="s">
        <v>1181</v>
      </c>
      <c r="B89" s="154" t="s">
        <v>1183</v>
      </c>
      <c r="C89" s="154" t="s">
        <v>1182</v>
      </c>
      <c r="D89" s="155">
        <v>0</v>
      </c>
      <c r="E89" s="158">
        <v>0</v>
      </c>
      <c r="F89" s="155">
        <v>0</v>
      </c>
      <c r="G89" s="158">
        <v>11</v>
      </c>
      <c r="H89" s="155">
        <v>0</v>
      </c>
      <c r="I89" s="158">
        <v>0</v>
      </c>
      <c r="J89" s="155">
        <v>0</v>
      </c>
      <c r="K89" s="158">
        <v>0</v>
      </c>
      <c r="L89" s="155">
        <v>0</v>
      </c>
      <c r="M89" s="158">
        <v>0</v>
      </c>
      <c r="N89" s="155">
        <v>0</v>
      </c>
      <c r="O89" s="158">
        <v>0</v>
      </c>
      <c r="P89" s="155">
        <v>0</v>
      </c>
      <c r="Q89" s="158">
        <v>0</v>
      </c>
      <c r="R89" s="155">
        <v>0</v>
      </c>
      <c r="S89" s="158">
        <v>0</v>
      </c>
      <c r="T89" s="155">
        <v>0</v>
      </c>
      <c r="U89" s="157">
        <v>0</v>
      </c>
    </row>
    <row r="90" spans="1:21" x14ac:dyDescent="0.25">
      <c r="A90" s="149" t="s">
        <v>758</v>
      </c>
      <c r="B90" s="150" t="s">
        <v>1325</v>
      </c>
      <c r="C90" s="150" t="s">
        <v>1326</v>
      </c>
      <c r="D90" s="151">
        <v>0</v>
      </c>
      <c r="E90" s="152">
        <v>0</v>
      </c>
      <c r="F90" s="151">
        <v>0</v>
      </c>
      <c r="G90" s="152">
        <v>29</v>
      </c>
      <c r="H90" s="151">
        <v>0</v>
      </c>
      <c r="I90" s="152">
        <v>28.96575927734375</v>
      </c>
      <c r="J90" s="151">
        <v>0</v>
      </c>
      <c r="K90" s="152">
        <v>28.96575927734375</v>
      </c>
      <c r="L90" s="151">
        <v>0</v>
      </c>
      <c r="M90" s="152">
        <v>28.96575927734375</v>
      </c>
      <c r="N90" s="151">
        <v>0</v>
      </c>
      <c r="O90" s="152">
        <v>0</v>
      </c>
      <c r="P90" s="151">
        <v>0</v>
      </c>
      <c r="Q90" s="152">
        <v>0</v>
      </c>
      <c r="R90" s="151">
        <v>0</v>
      </c>
      <c r="S90" s="152">
        <v>0</v>
      </c>
      <c r="T90" s="151">
        <v>0</v>
      </c>
      <c r="U90" s="153">
        <v>0</v>
      </c>
    </row>
    <row r="91" spans="1:21" x14ac:dyDescent="0.25">
      <c r="A91" s="21" t="s">
        <v>1327</v>
      </c>
      <c r="B91" s="154" t="s">
        <v>1328</v>
      </c>
      <c r="C91" s="154" t="s">
        <v>1329</v>
      </c>
      <c r="D91" s="155">
        <v>0</v>
      </c>
      <c r="E91" s="158">
        <v>0</v>
      </c>
      <c r="F91" s="155">
        <v>0</v>
      </c>
      <c r="G91" s="158">
        <v>0</v>
      </c>
      <c r="H91" s="155">
        <v>0</v>
      </c>
      <c r="I91" s="158">
        <v>0</v>
      </c>
      <c r="J91" s="155">
        <v>0</v>
      </c>
      <c r="K91" s="158">
        <v>0</v>
      </c>
      <c r="L91" s="155">
        <v>0</v>
      </c>
      <c r="M91" s="158">
        <v>0</v>
      </c>
      <c r="N91" s="155">
        <v>0</v>
      </c>
      <c r="O91" s="158">
        <v>0</v>
      </c>
      <c r="P91" s="155">
        <v>0</v>
      </c>
      <c r="Q91" s="158">
        <v>0</v>
      </c>
      <c r="R91" s="155">
        <v>0</v>
      </c>
      <c r="S91" s="158">
        <v>0</v>
      </c>
      <c r="T91" s="155">
        <v>0</v>
      </c>
      <c r="U91" s="157">
        <v>0</v>
      </c>
    </row>
    <row r="92" spans="1:21" x14ac:dyDescent="0.25">
      <c r="A92" s="149" t="s">
        <v>757</v>
      </c>
      <c r="B92" s="150" t="s">
        <v>341</v>
      </c>
      <c r="C92" s="150" t="s">
        <v>1330</v>
      </c>
      <c r="D92" s="151">
        <v>0</v>
      </c>
      <c r="E92" s="152">
        <v>0</v>
      </c>
      <c r="F92" s="151">
        <v>0</v>
      </c>
      <c r="G92" s="152">
        <v>20</v>
      </c>
      <c r="H92" s="151">
        <v>0</v>
      </c>
      <c r="I92" s="152">
        <v>20.24778938293457</v>
      </c>
      <c r="J92" s="151">
        <v>0</v>
      </c>
      <c r="K92" s="152">
        <v>20.24778938293457</v>
      </c>
      <c r="L92" s="151">
        <v>0</v>
      </c>
      <c r="M92" s="152">
        <v>20.24778938293457</v>
      </c>
      <c r="N92" s="151">
        <v>0</v>
      </c>
      <c r="O92" s="152">
        <v>0</v>
      </c>
      <c r="P92" s="151">
        <v>0</v>
      </c>
      <c r="Q92" s="152">
        <v>0</v>
      </c>
      <c r="R92" s="151">
        <v>0</v>
      </c>
      <c r="S92" s="152">
        <v>0</v>
      </c>
      <c r="T92" s="151">
        <v>0</v>
      </c>
      <c r="U92" s="153">
        <v>0</v>
      </c>
    </row>
    <row r="93" spans="1:21" x14ac:dyDescent="0.25">
      <c r="A93" s="21" t="s">
        <v>755</v>
      </c>
      <c r="B93" s="154" t="s">
        <v>1331</v>
      </c>
      <c r="C93" s="154" t="s">
        <v>1332</v>
      </c>
      <c r="D93" s="155">
        <v>0</v>
      </c>
      <c r="E93" s="158">
        <v>0</v>
      </c>
      <c r="F93" s="155">
        <v>0</v>
      </c>
      <c r="G93" s="158">
        <v>506</v>
      </c>
      <c r="H93" s="155">
        <v>0</v>
      </c>
      <c r="I93" s="158">
        <v>67.5806884765625</v>
      </c>
      <c r="J93" s="155">
        <v>0</v>
      </c>
      <c r="K93" s="158">
        <v>67.5806884765625</v>
      </c>
      <c r="L93" s="155">
        <v>370.58047485351563</v>
      </c>
      <c r="M93" s="158">
        <v>438.16116333007812</v>
      </c>
      <c r="N93" s="155">
        <v>0</v>
      </c>
      <c r="O93" s="158">
        <v>0</v>
      </c>
      <c r="P93" s="155">
        <v>0</v>
      </c>
      <c r="Q93" s="158">
        <v>0</v>
      </c>
      <c r="R93" s="155">
        <v>0</v>
      </c>
      <c r="S93" s="158">
        <v>0</v>
      </c>
      <c r="T93" s="155">
        <v>0</v>
      </c>
      <c r="U93" s="157">
        <v>0</v>
      </c>
    </row>
    <row r="94" spans="1:21" x14ac:dyDescent="0.25">
      <c r="A94" s="149" t="s">
        <v>1333</v>
      </c>
      <c r="B94" s="150" t="s">
        <v>1334</v>
      </c>
      <c r="C94" s="150" t="s">
        <v>1335</v>
      </c>
      <c r="D94" s="151">
        <v>0</v>
      </c>
      <c r="E94" s="152">
        <v>0</v>
      </c>
      <c r="F94" s="151">
        <v>0</v>
      </c>
      <c r="G94" s="152">
        <v>0</v>
      </c>
      <c r="H94" s="151">
        <v>0</v>
      </c>
      <c r="I94" s="152">
        <v>0</v>
      </c>
      <c r="J94" s="151">
        <v>0</v>
      </c>
      <c r="K94" s="152">
        <v>0</v>
      </c>
      <c r="L94" s="151">
        <v>0</v>
      </c>
      <c r="M94" s="152">
        <v>0</v>
      </c>
      <c r="N94" s="151">
        <v>0</v>
      </c>
      <c r="O94" s="152">
        <v>0</v>
      </c>
      <c r="P94" s="151">
        <v>0</v>
      </c>
      <c r="Q94" s="152">
        <v>0</v>
      </c>
      <c r="R94" s="151">
        <v>0</v>
      </c>
      <c r="S94" s="152">
        <v>0</v>
      </c>
      <c r="T94" s="151">
        <v>0</v>
      </c>
      <c r="U94" s="153">
        <v>0</v>
      </c>
    </row>
    <row r="95" spans="1:21" x14ac:dyDescent="0.25">
      <c r="A95" s="21" t="s">
        <v>1336</v>
      </c>
      <c r="B95" s="154" t="s">
        <v>823</v>
      </c>
      <c r="C95" s="154" t="s">
        <v>1337</v>
      </c>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row>
    <row r="96" spans="1:21" x14ac:dyDescent="0.25">
      <c r="A96" s="149" t="s">
        <v>1189</v>
      </c>
      <c r="B96" s="150" t="s">
        <v>1338</v>
      </c>
      <c r="C96" s="150" t="s">
        <v>1190</v>
      </c>
      <c r="D96" s="151">
        <v>0</v>
      </c>
      <c r="E96" s="152">
        <v>0</v>
      </c>
      <c r="F96" s="151">
        <v>0</v>
      </c>
      <c r="G96" s="152">
        <v>0</v>
      </c>
      <c r="H96" s="151">
        <v>0</v>
      </c>
      <c r="I96" s="152">
        <v>0</v>
      </c>
      <c r="J96" s="151">
        <v>0</v>
      </c>
      <c r="K96" s="152">
        <v>0</v>
      </c>
      <c r="L96" s="151">
        <v>0</v>
      </c>
      <c r="M96" s="152">
        <v>0</v>
      </c>
      <c r="N96" s="151">
        <v>0</v>
      </c>
      <c r="O96" s="152">
        <v>0</v>
      </c>
      <c r="P96" s="151">
        <v>0</v>
      </c>
      <c r="Q96" s="152">
        <v>0</v>
      </c>
      <c r="R96" s="151">
        <v>0</v>
      </c>
      <c r="S96" s="152">
        <v>0</v>
      </c>
      <c r="T96" s="151">
        <v>0</v>
      </c>
      <c r="U96" s="153">
        <v>0</v>
      </c>
    </row>
    <row r="97" spans="1:21" x14ac:dyDescent="0.25">
      <c r="A97" s="21" t="s">
        <v>1339</v>
      </c>
      <c r="B97" s="154" t="s">
        <v>1003</v>
      </c>
      <c r="C97" s="154" t="s">
        <v>1340</v>
      </c>
      <c r="D97" s="155">
        <v>0</v>
      </c>
      <c r="E97" s="158">
        <v>0</v>
      </c>
      <c r="F97" s="155">
        <v>0</v>
      </c>
      <c r="G97" s="158">
        <v>0</v>
      </c>
      <c r="H97" s="155">
        <v>0</v>
      </c>
      <c r="I97" s="158">
        <v>0</v>
      </c>
      <c r="J97" s="155">
        <v>0</v>
      </c>
      <c r="K97" s="158">
        <v>0</v>
      </c>
      <c r="L97" s="155">
        <v>0</v>
      </c>
      <c r="M97" s="158">
        <v>0</v>
      </c>
      <c r="N97" s="155">
        <v>0</v>
      </c>
      <c r="O97" s="158">
        <v>0</v>
      </c>
      <c r="P97" s="155">
        <v>0</v>
      </c>
      <c r="Q97" s="158">
        <v>0</v>
      </c>
      <c r="R97" s="155">
        <v>0</v>
      </c>
      <c r="S97" s="158">
        <v>0</v>
      </c>
      <c r="T97" s="155">
        <v>0</v>
      </c>
      <c r="U97" s="157">
        <v>0</v>
      </c>
    </row>
    <row r="98" spans="1:21" x14ac:dyDescent="0.25">
      <c r="A98" s="149" t="s">
        <v>564</v>
      </c>
      <c r="B98" s="150" t="s">
        <v>1341</v>
      </c>
      <c r="C98" s="150" t="s">
        <v>1342</v>
      </c>
      <c r="D98" s="151">
        <v>0</v>
      </c>
      <c r="E98" s="152">
        <v>0</v>
      </c>
      <c r="F98" s="151">
        <v>0</v>
      </c>
      <c r="G98" s="152">
        <v>34</v>
      </c>
      <c r="H98" s="151">
        <v>0</v>
      </c>
      <c r="I98" s="152">
        <v>33.591888427734375</v>
      </c>
      <c r="J98" s="151">
        <v>0</v>
      </c>
      <c r="K98" s="152">
        <v>33.591888427734375</v>
      </c>
      <c r="L98" s="151">
        <v>0</v>
      </c>
      <c r="M98" s="152">
        <v>33.591888427734375</v>
      </c>
      <c r="N98" s="151">
        <v>0</v>
      </c>
      <c r="O98" s="152">
        <v>0</v>
      </c>
      <c r="P98" s="151">
        <v>0</v>
      </c>
      <c r="Q98" s="152">
        <v>0</v>
      </c>
      <c r="R98" s="151">
        <v>0</v>
      </c>
      <c r="S98" s="152">
        <v>0</v>
      </c>
      <c r="T98" s="151">
        <v>0</v>
      </c>
      <c r="U98" s="153">
        <v>0</v>
      </c>
    </row>
    <row r="99" spans="1:21" x14ac:dyDescent="0.25">
      <c r="A99" s="21" t="s">
        <v>1343</v>
      </c>
      <c r="B99" s="154" t="s">
        <v>1344</v>
      </c>
      <c r="C99" s="154" t="s">
        <v>1345</v>
      </c>
      <c r="D99" s="155">
        <v>0</v>
      </c>
      <c r="E99" s="158">
        <v>0</v>
      </c>
      <c r="F99" s="155">
        <v>0</v>
      </c>
      <c r="G99" s="158">
        <v>0</v>
      </c>
      <c r="H99" s="155">
        <v>0</v>
      </c>
      <c r="I99" s="158">
        <v>0</v>
      </c>
      <c r="J99" s="155">
        <v>0</v>
      </c>
      <c r="K99" s="158">
        <v>0</v>
      </c>
      <c r="L99" s="155">
        <v>0</v>
      </c>
      <c r="M99" s="158">
        <v>0</v>
      </c>
      <c r="N99" s="155">
        <v>0</v>
      </c>
      <c r="O99" s="158">
        <v>0</v>
      </c>
      <c r="P99" s="155">
        <v>0</v>
      </c>
      <c r="Q99" s="158">
        <v>0</v>
      </c>
      <c r="R99" s="155">
        <v>0</v>
      </c>
      <c r="S99" s="158">
        <v>0</v>
      </c>
      <c r="T99" s="155">
        <v>0</v>
      </c>
      <c r="U99" s="157">
        <v>0</v>
      </c>
    </row>
    <row r="100" spans="1:21" x14ac:dyDescent="0.25">
      <c r="A100" s="149" t="s">
        <v>1167</v>
      </c>
      <c r="B100" s="150" t="s">
        <v>1346</v>
      </c>
      <c r="C100" s="150" t="s">
        <v>1168</v>
      </c>
      <c r="D100" s="151">
        <v>0</v>
      </c>
      <c r="E100" s="152">
        <v>0</v>
      </c>
      <c r="F100" s="151">
        <v>0</v>
      </c>
      <c r="G100" s="152">
        <v>1606</v>
      </c>
      <c r="H100" s="151">
        <v>0</v>
      </c>
      <c r="I100" s="152">
        <v>0</v>
      </c>
      <c r="J100" s="151">
        <v>0</v>
      </c>
      <c r="K100" s="152">
        <v>0</v>
      </c>
      <c r="L100" s="151">
        <v>1236.459716796875</v>
      </c>
      <c r="M100" s="152">
        <v>1236.459716796875</v>
      </c>
      <c r="N100" s="151">
        <v>0</v>
      </c>
      <c r="O100" s="152">
        <v>0</v>
      </c>
      <c r="P100" s="151">
        <v>0</v>
      </c>
      <c r="Q100" s="152">
        <v>0</v>
      </c>
      <c r="R100" s="151">
        <v>0</v>
      </c>
      <c r="S100" s="152">
        <v>0</v>
      </c>
      <c r="T100" s="151">
        <v>0</v>
      </c>
      <c r="U100" s="153">
        <v>0</v>
      </c>
    </row>
    <row r="101" spans="1:21" x14ac:dyDescent="0.25">
      <c r="A101" s="21" t="s">
        <v>1347</v>
      </c>
      <c r="B101" s="154" t="s">
        <v>1348</v>
      </c>
      <c r="C101" s="154" t="s">
        <v>1349</v>
      </c>
      <c r="D101" s="155">
        <v>0</v>
      </c>
      <c r="E101" s="158">
        <v>0</v>
      </c>
      <c r="F101" s="155">
        <v>0</v>
      </c>
      <c r="G101" s="158">
        <v>0</v>
      </c>
      <c r="H101" s="155">
        <v>0</v>
      </c>
      <c r="I101" s="158">
        <v>-0.51274001598358154</v>
      </c>
      <c r="J101" s="155">
        <v>0</v>
      </c>
      <c r="K101" s="158">
        <v>-0.51274001598358154</v>
      </c>
      <c r="L101" s="155">
        <v>0</v>
      </c>
      <c r="M101" s="158">
        <v>-0.51274001598358154</v>
      </c>
      <c r="N101" s="155">
        <v>0</v>
      </c>
      <c r="O101" s="158">
        <v>0</v>
      </c>
      <c r="P101" s="155">
        <v>0</v>
      </c>
      <c r="Q101" s="158">
        <v>0</v>
      </c>
      <c r="R101" s="155">
        <v>0</v>
      </c>
      <c r="S101" s="158">
        <v>0</v>
      </c>
      <c r="T101" s="155">
        <v>0</v>
      </c>
      <c r="U101" s="157">
        <v>0</v>
      </c>
    </row>
    <row r="102" spans="1:21" x14ac:dyDescent="0.25">
      <c r="A102" s="149" t="s">
        <v>1350</v>
      </c>
      <c r="B102" s="150" t="s">
        <v>1351</v>
      </c>
      <c r="C102" s="150" t="s">
        <v>1352</v>
      </c>
      <c r="D102" s="151">
        <v>0</v>
      </c>
      <c r="E102" s="152">
        <v>0</v>
      </c>
      <c r="F102" s="151">
        <v>0</v>
      </c>
      <c r="G102" s="152">
        <v>0</v>
      </c>
      <c r="H102" s="151">
        <v>0</v>
      </c>
      <c r="I102" s="152">
        <v>0</v>
      </c>
      <c r="J102" s="151">
        <v>0</v>
      </c>
      <c r="K102" s="152">
        <v>0</v>
      </c>
      <c r="L102" s="151">
        <v>0</v>
      </c>
      <c r="M102" s="152">
        <v>0</v>
      </c>
      <c r="N102" s="151">
        <v>0</v>
      </c>
      <c r="O102" s="152">
        <v>0</v>
      </c>
      <c r="P102" s="151">
        <v>0</v>
      </c>
      <c r="Q102" s="152">
        <v>0</v>
      </c>
      <c r="R102" s="151">
        <v>0</v>
      </c>
      <c r="S102" s="152">
        <v>0</v>
      </c>
      <c r="T102" s="151">
        <v>0</v>
      </c>
      <c r="U102" s="153">
        <v>0</v>
      </c>
    </row>
    <row r="103" spans="1:21" x14ac:dyDescent="0.25">
      <c r="A103" s="21" t="s">
        <v>759</v>
      </c>
      <c r="B103" s="154" t="s">
        <v>347</v>
      </c>
      <c r="C103" s="154" t="s">
        <v>1353</v>
      </c>
      <c r="D103" s="155">
        <v>0</v>
      </c>
      <c r="E103" s="158">
        <v>0</v>
      </c>
      <c r="F103" s="155">
        <v>0</v>
      </c>
      <c r="G103" s="158">
        <v>59</v>
      </c>
      <c r="H103" s="155">
        <v>0</v>
      </c>
      <c r="I103" s="158">
        <v>58.640060424804688</v>
      </c>
      <c r="J103" s="155">
        <v>0</v>
      </c>
      <c r="K103" s="158">
        <v>58.640060424804688</v>
      </c>
      <c r="L103" s="155">
        <v>0</v>
      </c>
      <c r="M103" s="158">
        <v>58.640060424804688</v>
      </c>
      <c r="N103" s="155">
        <v>0</v>
      </c>
      <c r="O103" s="158">
        <v>0</v>
      </c>
      <c r="P103" s="155">
        <v>0</v>
      </c>
      <c r="Q103" s="158">
        <v>0</v>
      </c>
      <c r="R103" s="155">
        <v>0</v>
      </c>
      <c r="S103" s="158">
        <v>0</v>
      </c>
      <c r="T103" s="155">
        <v>0</v>
      </c>
      <c r="U103" s="157">
        <v>0</v>
      </c>
    </row>
    <row r="104" spans="1:21" x14ac:dyDescent="0.25">
      <c r="A104" s="149" t="s">
        <v>1354</v>
      </c>
      <c r="B104" s="150" t="s">
        <v>1355</v>
      </c>
      <c r="C104" s="150" t="s">
        <v>1356</v>
      </c>
      <c r="D104" s="151">
        <v>0</v>
      </c>
      <c r="E104" s="152">
        <v>0</v>
      </c>
      <c r="F104" s="151">
        <v>0</v>
      </c>
      <c r="G104" s="152">
        <v>0</v>
      </c>
      <c r="H104" s="151">
        <v>0</v>
      </c>
      <c r="I104" s="152">
        <v>0</v>
      </c>
      <c r="J104" s="151">
        <v>0</v>
      </c>
      <c r="K104" s="152">
        <v>0</v>
      </c>
      <c r="L104" s="151">
        <v>0</v>
      </c>
      <c r="M104" s="152">
        <v>0</v>
      </c>
      <c r="N104" s="151">
        <v>0</v>
      </c>
      <c r="O104" s="152">
        <v>0</v>
      </c>
      <c r="P104" s="151">
        <v>0</v>
      </c>
      <c r="Q104" s="152">
        <v>0</v>
      </c>
      <c r="R104" s="151">
        <v>0</v>
      </c>
      <c r="S104" s="152">
        <v>0</v>
      </c>
      <c r="T104" s="151">
        <v>0</v>
      </c>
      <c r="U104" s="153">
        <v>0</v>
      </c>
    </row>
    <row r="105" spans="1:21" x14ac:dyDescent="0.25">
      <c r="A105" s="21" t="s">
        <v>1357</v>
      </c>
      <c r="B105" s="154" t="s">
        <v>1358</v>
      </c>
      <c r="C105" s="154" t="s">
        <v>1359</v>
      </c>
      <c r="D105" s="155">
        <v>0</v>
      </c>
      <c r="E105" s="158">
        <v>0</v>
      </c>
      <c r="F105" s="155">
        <v>0</v>
      </c>
      <c r="G105" s="158">
        <v>0</v>
      </c>
      <c r="H105" s="155">
        <v>0</v>
      </c>
      <c r="I105" s="158">
        <v>0</v>
      </c>
      <c r="J105" s="155">
        <v>0</v>
      </c>
      <c r="K105" s="158">
        <v>0</v>
      </c>
      <c r="L105" s="155">
        <v>0</v>
      </c>
      <c r="M105" s="158">
        <v>0</v>
      </c>
      <c r="N105" s="155">
        <v>0</v>
      </c>
      <c r="O105" s="158">
        <v>0</v>
      </c>
      <c r="P105" s="155">
        <v>0</v>
      </c>
      <c r="Q105" s="158">
        <v>0</v>
      </c>
      <c r="R105" s="155">
        <v>0</v>
      </c>
      <c r="S105" s="158">
        <v>0</v>
      </c>
      <c r="T105" s="155">
        <v>0</v>
      </c>
      <c r="U105" s="157">
        <v>0</v>
      </c>
    </row>
    <row r="106" spans="1:21" x14ac:dyDescent="0.25">
      <c r="A106" s="149" t="s">
        <v>752</v>
      </c>
      <c r="B106" s="150" t="s">
        <v>329</v>
      </c>
      <c r="C106" s="150" t="s">
        <v>1360</v>
      </c>
      <c r="D106" s="151">
        <v>0</v>
      </c>
      <c r="E106" s="152">
        <v>0</v>
      </c>
      <c r="F106" s="151">
        <v>0</v>
      </c>
      <c r="G106" s="152">
        <v>846</v>
      </c>
      <c r="H106" s="151">
        <v>0</v>
      </c>
      <c r="I106" s="152">
        <v>812</v>
      </c>
      <c r="J106" s="151">
        <v>0</v>
      </c>
      <c r="K106" s="152">
        <v>812</v>
      </c>
      <c r="L106" s="151">
        <v>0</v>
      </c>
      <c r="M106" s="152">
        <v>812</v>
      </c>
      <c r="N106" s="151">
        <v>0</v>
      </c>
      <c r="O106" s="152">
        <v>0</v>
      </c>
      <c r="P106" s="151">
        <v>0</v>
      </c>
      <c r="Q106" s="152">
        <v>0</v>
      </c>
      <c r="R106" s="151">
        <v>0</v>
      </c>
      <c r="S106" s="152">
        <v>0</v>
      </c>
      <c r="T106" s="151">
        <v>0</v>
      </c>
      <c r="U106" s="153">
        <v>0</v>
      </c>
    </row>
    <row r="107" spans="1:21" x14ac:dyDescent="0.25">
      <c r="A107" s="21" t="s">
        <v>763</v>
      </c>
      <c r="B107" s="154" t="s">
        <v>1361</v>
      </c>
      <c r="C107" s="154" t="s">
        <v>1362</v>
      </c>
      <c r="D107" s="155">
        <v>0</v>
      </c>
      <c r="E107" s="158">
        <v>0</v>
      </c>
      <c r="F107" s="155">
        <v>0</v>
      </c>
      <c r="G107" s="158">
        <v>0</v>
      </c>
      <c r="H107" s="155">
        <v>0</v>
      </c>
      <c r="I107" s="158">
        <v>0</v>
      </c>
      <c r="J107" s="155">
        <v>0</v>
      </c>
      <c r="K107" s="158">
        <v>0</v>
      </c>
      <c r="L107" s="155">
        <v>0</v>
      </c>
      <c r="M107" s="158">
        <v>0</v>
      </c>
      <c r="N107" s="155">
        <v>0</v>
      </c>
      <c r="O107" s="158">
        <v>0</v>
      </c>
      <c r="P107" s="155">
        <v>0</v>
      </c>
      <c r="Q107" s="158">
        <v>0</v>
      </c>
      <c r="R107" s="155">
        <v>0</v>
      </c>
      <c r="S107" s="158">
        <v>0</v>
      </c>
      <c r="T107" s="155">
        <v>0</v>
      </c>
      <c r="U107" s="157">
        <v>0</v>
      </c>
    </row>
    <row r="108" spans="1:21" x14ac:dyDescent="0.25">
      <c r="A108" s="149" t="s">
        <v>563</v>
      </c>
      <c r="B108" s="150" t="s">
        <v>1363</v>
      </c>
      <c r="C108" s="150" t="s">
        <v>1364</v>
      </c>
      <c r="D108" s="151">
        <v>0</v>
      </c>
      <c r="E108" s="152">
        <v>0</v>
      </c>
      <c r="F108" s="151">
        <v>0</v>
      </c>
      <c r="G108" s="152">
        <v>70</v>
      </c>
      <c r="H108" s="151">
        <v>0</v>
      </c>
      <c r="I108" s="152">
        <v>0</v>
      </c>
      <c r="J108" s="151">
        <v>0</v>
      </c>
      <c r="K108" s="152">
        <v>0</v>
      </c>
      <c r="L108" s="151">
        <v>0</v>
      </c>
      <c r="M108" s="152">
        <v>0</v>
      </c>
      <c r="N108" s="151">
        <v>0</v>
      </c>
      <c r="O108" s="152">
        <v>0</v>
      </c>
      <c r="P108" s="151">
        <v>0</v>
      </c>
      <c r="Q108" s="152">
        <v>0</v>
      </c>
      <c r="R108" s="151">
        <v>0</v>
      </c>
      <c r="S108" s="152">
        <v>0</v>
      </c>
      <c r="T108" s="151">
        <v>0</v>
      </c>
      <c r="U108" s="153">
        <v>0</v>
      </c>
    </row>
    <row r="109" spans="1:21" x14ac:dyDescent="0.25">
      <c r="A109" s="21" t="s">
        <v>767</v>
      </c>
      <c r="B109" s="154" t="s">
        <v>768</v>
      </c>
      <c r="C109" s="154" t="s">
        <v>1365</v>
      </c>
      <c r="D109" s="155">
        <v>0</v>
      </c>
      <c r="E109" s="158">
        <v>0</v>
      </c>
      <c r="F109" s="155">
        <v>0</v>
      </c>
      <c r="G109" s="158">
        <v>0</v>
      </c>
      <c r="H109" s="155">
        <v>0</v>
      </c>
      <c r="I109" s="158">
        <v>0</v>
      </c>
      <c r="J109" s="155">
        <v>0</v>
      </c>
      <c r="K109" s="158">
        <v>0</v>
      </c>
      <c r="L109" s="155">
        <v>0</v>
      </c>
      <c r="M109" s="158">
        <v>0</v>
      </c>
      <c r="N109" s="155">
        <v>0</v>
      </c>
      <c r="O109" s="158">
        <v>0</v>
      </c>
      <c r="P109" s="155">
        <v>0</v>
      </c>
      <c r="Q109" s="158">
        <v>0</v>
      </c>
      <c r="R109" s="155">
        <v>0</v>
      </c>
      <c r="S109" s="158">
        <v>0</v>
      </c>
      <c r="T109" s="155">
        <v>0</v>
      </c>
      <c r="U109" s="157">
        <v>0</v>
      </c>
    </row>
    <row r="110" spans="1:21" x14ac:dyDescent="0.25">
      <c r="A110" s="149" t="s">
        <v>754</v>
      </c>
      <c r="B110" s="150" t="s">
        <v>1366</v>
      </c>
      <c r="C110" s="150" t="s">
        <v>1367</v>
      </c>
      <c r="D110" s="151">
        <v>0</v>
      </c>
      <c r="E110" s="152">
        <v>0</v>
      </c>
      <c r="F110" s="151">
        <v>0</v>
      </c>
      <c r="G110" s="152">
        <v>0</v>
      </c>
      <c r="H110" s="151">
        <v>0</v>
      </c>
      <c r="I110" s="152">
        <v>0</v>
      </c>
      <c r="J110" s="151">
        <v>0</v>
      </c>
      <c r="K110" s="152">
        <v>0</v>
      </c>
      <c r="L110" s="151">
        <v>0</v>
      </c>
      <c r="M110" s="152">
        <v>0</v>
      </c>
      <c r="N110" s="151">
        <v>0</v>
      </c>
      <c r="O110" s="152">
        <v>0</v>
      </c>
      <c r="P110" s="151">
        <v>0</v>
      </c>
      <c r="Q110" s="152">
        <v>0</v>
      </c>
      <c r="R110" s="151">
        <v>0</v>
      </c>
      <c r="S110" s="152">
        <v>0</v>
      </c>
      <c r="T110" s="151">
        <v>0</v>
      </c>
      <c r="U110" s="153">
        <v>0</v>
      </c>
    </row>
    <row r="111" spans="1:21" x14ac:dyDescent="0.25">
      <c r="A111" s="21" t="s">
        <v>1368</v>
      </c>
      <c r="B111" s="154" t="s">
        <v>1369</v>
      </c>
      <c r="C111" s="154" t="s">
        <v>1370</v>
      </c>
      <c r="D111" s="155">
        <v>0</v>
      </c>
      <c r="E111" s="158">
        <v>0</v>
      </c>
      <c r="F111" s="155">
        <v>0</v>
      </c>
      <c r="G111" s="158">
        <v>23</v>
      </c>
      <c r="H111" s="155">
        <v>0</v>
      </c>
      <c r="I111" s="158">
        <v>22.68235969543457</v>
      </c>
      <c r="J111" s="155">
        <v>0</v>
      </c>
      <c r="K111" s="158">
        <v>22.68235969543457</v>
      </c>
      <c r="L111" s="155">
        <v>0</v>
      </c>
      <c r="M111" s="158">
        <v>22.68235969543457</v>
      </c>
      <c r="N111" s="155">
        <v>0</v>
      </c>
      <c r="O111" s="158">
        <v>0</v>
      </c>
      <c r="P111" s="155">
        <v>0</v>
      </c>
      <c r="Q111" s="158">
        <v>0</v>
      </c>
      <c r="R111" s="155">
        <v>0</v>
      </c>
      <c r="S111" s="158">
        <v>0</v>
      </c>
      <c r="T111" s="155">
        <v>0</v>
      </c>
      <c r="U111" s="157">
        <v>0</v>
      </c>
    </row>
    <row r="112" spans="1:21" x14ac:dyDescent="0.25">
      <c r="A112" s="149" t="s">
        <v>753</v>
      </c>
      <c r="B112" s="150" t="s">
        <v>1371</v>
      </c>
      <c r="C112" s="150" t="s">
        <v>1372</v>
      </c>
      <c r="D112" s="151">
        <v>0</v>
      </c>
      <c r="E112" s="152">
        <v>0</v>
      </c>
      <c r="F112" s="151">
        <v>0</v>
      </c>
      <c r="G112" s="152">
        <v>0</v>
      </c>
      <c r="H112" s="151">
        <v>0</v>
      </c>
      <c r="I112" s="152">
        <v>0</v>
      </c>
      <c r="J112" s="151">
        <v>0</v>
      </c>
      <c r="K112" s="152">
        <v>0</v>
      </c>
      <c r="L112" s="151">
        <v>0</v>
      </c>
      <c r="M112" s="152">
        <v>0</v>
      </c>
      <c r="N112" s="151">
        <v>0</v>
      </c>
      <c r="O112" s="152">
        <v>0</v>
      </c>
      <c r="P112" s="151">
        <v>0</v>
      </c>
      <c r="Q112" s="152">
        <v>0</v>
      </c>
      <c r="R112" s="151">
        <v>0</v>
      </c>
      <c r="S112" s="152">
        <v>0</v>
      </c>
      <c r="T112" s="151">
        <v>0</v>
      </c>
      <c r="U112" s="153">
        <v>0</v>
      </c>
    </row>
    <row r="113" spans="1:21" x14ac:dyDescent="0.25">
      <c r="A113" s="21" t="s">
        <v>566</v>
      </c>
      <c r="B113" s="154" t="s">
        <v>1373</v>
      </c>
      <c r="C113" s="154" t="s">
        <v>1374</v>
      </c>
      <c r="D113" s="155">
        <v>0</v>
      </c>
      <c r="E113" s="158">
        <v>0</v>
      </c>
      <c r="F113" s="155">
        <v>0</v>
      </c>
      <c r="G113" s="158">
        <v>0</v>
      </c>
      <c r="H113" s="155">
        <v>0</v>
      </c>
      <c r="I113" s="158">
        <v>0</v>
      </c>
      <c r="J113" s="155">
        <v>0</v>
      </c>
      <c r="K113" s="158">
        <v>0</v>
      </c>
      <c r="L113" s="155">
        <v>0</v>
      </c>
      <c r="M113" s="158">
        <v>0</v>
      </c>
      <c r="N113" s="155">
        <v>0</v>
      </c>
      <c r="O113" s="158">
        <v>0</v>
      </c>
      <c r="P113" s="155">
        <v>0</v>
      </c>
      <c r="Q113" s="158">
        <v>0</v>
      </c>
      <c r="R113" s="155">
        <v>0</v>
      </c>
      <c r="S113" s="158">
        <v>0</v>
      </c>
      <c r="T113" s="155">
        <v>0</v>
      </c>
      <c r="U113" s="157">
        <v>0</v>
      </c>
    </row>
    <row r="114" spans="1:21" x14ac:dyDescent="0.25">
      <c r="A114" s="149" t="s">
        <v>568</v>
      </c>
      <c r="B114" s="150" t="s">
        <v>567</v>
      </c>
      <c r="C114" s="150" t="s">
        <v>1375</v>
      </c>
      <c r="D114" s="151">
        <v>0</v>
      </c>
      <c r="E114" s="152">
        <v>0</v>
      </c>
      <c r="F114" s="151">
        <v>0</v>
      </c>
      <c r="G114" s="152">
        <v>0</v>
      </c>
      <c r="H114" s="151">
        <v>0</v>
      </c>
      <c r="I114" s="152">
        <v>0</v>
      </c>
      <c r="J114" s="151">
        <v>0</v>
      </c>
      <c r="K114" s="152">
        <v>0</v>
      </c>
      <c r="L114" s="151">
        <v>0</v>
      </c>
      <c r="M114" s="152">
        <v>0</v>
      </c>
      <c r="N114" s="151">
        <v>0</v>
      </c>
      <c r="O114" s="152">
        <v>0</v>
      </c>
      <c r="P114" s="151">
        <v>0</v>
      </c>
      <c r="Q114" s="152">
        <v>0</v>
      </c>
      <c r="R114" s="151">
        <v>0</v>
      </c>
      <c r="S114" s="152">
        <v>0</v>
      </c>
      <c r="T114" s="151">
        <v>0</v>
      </c>
      <c r="U114" s="153">
        <v>0</v>
      </c>
    </row>
    <row r="115" spans="1:21" x14ac:dyDescent="0.25">
      <c r="A115" s="21" t="s">
        <v>1010</v>
      </c>
      <c r="B115" s="154" t="s">
        <v>1011</v>
      </c>
      <c r="C115" s="154" t="s">
        <v>1380</v>
      </c>
      <c r="D115" s="155">
        <v>0</v>
      </c>
      <c r="E115" s="158">
        <v>0</v>
      </c>
      <c r="F115" s="155">
        <v>0</v>
      </c>
      <c r="G115" s="158">
        <v>600</v>
      </c>
      <c r="H115" s="155">
        <v>0</v>
      </c>
      <c r="I115" s="158">
        <v>599.97772216796875</v>
      </c>
      <c r="J115" s="155">
        <v>0</v>
      </c>
      <c r="K115" s="158">
        <v>599.97772216796875</v>
      </c>
      <c r="L115" s="155">
        <v>0</v>
      </c>
      <c r="M115" s="158">
        <v>599.97772216796875</v>
      </c>
      <c r="N115" s="155">
        <v>0</v>
      </c>
      <c r="O115" s="158">
        <v>0</v>
      </c>
      <c r="P115" s="155">
        <v>0</v>
      </c>
      <c r="Q115" s="158">
        <v>0</v>
      </c>
      <c r="R115" s="155">
        <v>0</v>
      </c>
      <c r="S115" s="158">
        <v>0</v>
      </c>
      <c r="T115" s="155">
        <v>0</v>
      </c>
      <c r="U115" s="157">
        <v>0</v>
      </c>
    </row>
    <row r="116" spans="1:21" x14ac:dyDescent="0.25">
      <c r="A116" s="149" t="s">
        <v>1163</v>
      </c>
      <c r="B116" s="150" t="s">
        <v>335</v>
      </c>
      <c r="C116" s="150" t="s">
        <v>1381</v>
      </c>
      <c r="D116" s="151">
        <v>0</v>
      </c>
      <c r="E116" s="152">
        <v>0</v>
      </c>
      <c r="F116" s="151">
        <v>0</v>
      </c>
      <c r="G116" s="152">
        <v>0</v>
      </c>
      <c r="H116" s="151">
        <v>0</v>
      </c>
      <c r="I116" s="152">
        <v>0</v>
      </c>
      <c r="J116" s="151">
        <v>0</v>
      </c>
      <c r="K116" s="152">
        <v>0</v>
      </c>
      <c r="L116" s="151">
        <v>0</v>
      </c>
      <c r="M116" s="152">
        <v>0</v>
      </c>
      <c r="N116" s="151">
        <v>0</v>
      </c>
      <c r="O116" s="152">
        <v>0</v>
      </c>
      <c r="P116" s="151">
        <v>0</v>
      </c>
      <c r="Q116" s="152">
        <v>0</v>
      </c>
      <c r="R116" s="151">
        <v>0</v>
      </c>
      <c r="S116" s="152">
        <v>0</v>
      </c>
      <c r="T116" s="151">
        <v>0</v>
      </c>
      <c r="U116" s="153">
        <v>0</v>
      </c>
    </row>
    <row r="117" spans="1:21" x14ac:dyDescent="0.25">
      <c r="A117" s="21" t="s">
        <v>1144</v>
      </c>
      <c r="B117" s="154" t="s">
        <v>1382</v>
      </c>
      <c r="C117" s="154" t="s">
        <v>1383</v>
      </c>
      <c r="D117" s="155">
        <v>0</v>
      </c>
      <c r="E117" s="158">
        <v>0</v>
      </c>
      <c r="F117" s="155">
        <v>0</v>
      </c>
      <c r="G117" s="158">
        <v>0</v>
      </c>
      <c r="H117" s="155">
        <v>0</v>
      </c>
      <c r="I117" s="158">
        <v>0</v>
      </c>
      <c r="J117" s="155">
        <v>0</v>
      </c>
      <c r="K117" s="158">
        <v>0</v>
      </c>
      <c r="L117" s="155">
        <v>0</v>
      </c>
      <c r="M117" s="158">
        <v>0</v>
      </c>
      <c r="N117" s="155">
        <v>0</v>
      </c>
      <c r="O117" s="158">
        <v>0</v>
      </c>
      <c r="P117" s="155">
        <v>0</v>
      </c>
      <c r="Q117" s="158">
        <v>0</v>
      </c>
      <c r="R117" s="155">
        <v>0</v>
      </c>
      <c r="S117" s="158">
        <v>0</v>
      </c>
      <c r="T117" s="155">
        <v>0</v>
      </c>
      <c r="U117" s="157">
        <v>0</v>
      </c>
    </row>
    <row r="118" spans="1:21" x14ac:dyDescent="0.25">
      <c r="A118" s="149" t="s">
        <v>1049</v>
      </c>
      <c r="B118" s="150" t="s">
        <v>1338</v>
      </c>
      <c r="C118" s="150" t="s">
        <v>1384</v>
      </c>
      <c r="D118" s="151">
        <v>0</v>
      </c>
      <c r="E118" s="152">
        <v>0</v>
      </c>
      <c r="F118" s="151">
        <v>0</v>
      </c>
      <c r="G118" s="152">
        <v>0</v>
      </c>
      <c r="H118" s="151">
        <v>0</v>
      </c>
      <c r="I118" s="152">
        <v>0</v>
      </c>
      <c r="J118" s="151">
        <v>0</v>
      </c>
      <c r="K118" s="152">
        <v>0</v>
      </c>
      <c r="L118" s="151">
        <v>0</v>
      </c>
      <c r="M118" s="152">
        <v>0</v>
      </c>
      <c r="N118" s="151">
        <v>0</v>
      </c>
      <c r="O118" s="152">
        <v>0</v>
      </c>
      <c r="P118" s="151">
        <v>0</v>
      </c>
      <c r="Q118" s="152">
        <v>0</v>
      </c>
      <c r="R118" s="151">
        <v>0</v>
      </c>
      <c r="S118" s="152">
        <v>0</v>
      </c>
      <c r="T118" s="151">
        <v>0</v>
      </c>
      <c r="U118" s="153">
        <v>0</v>
      </c>
    </row>
    <row r="119" spans="1:21" x14ac:dyDescent="0.25">
      <c r="A119" s="21" t="s">
        <v>1051</v>
      </c>
      <c r="B119" s="154" t="s">
        <v>1024</v>
      </c>
      <c r="C119" s="154" t="s">
        <v>1385</v>
      </c>
      <c r="D119" s="155">
        <v>0</v>
      </c>
      <c r="E119" s="158">
        <v>0</v>
      </c>
      <c r="F119" s="155">
        <v>0</v>
      </c>
      <c r="G119" s="158">
        <v>0</v>
      </c>
      <c r="H119" s="155">
        <v>0</v>
      </c>
      <c r="I119" s="158">
        <v>0</v>
      </c>
      <c r="J119" s="155">
        <v>0</v>
      </c>
      <c r="K119" s="158">
        <v>0</v>
      </c>
      <c r="L119" s="155">
        <v>0</v>
      </c>
      <c r="M119" s="158">
        <v>0</v>
      </c>
      <c r="N119" s="155">
        <v>0</v>
      </c>
      <c r="O119" s="158">
        <v>0</v>
      </c>
      <c r="P119" s="155">
        <v>0</v>
      </c>
      <c r="Q119" s="158">
        <v>0</v>
      </c>
      <c r="R119" s="155">
        <v>0</v>
      </c>
      <c r="S119" s="158">
        <v>0</v>
      </c>
      <c r="T119" s="155">
        <v>0</v>
      </c>
      <c r="U119" s="157">
        <v>0</v>
      </c>
    </row>
    <row r="120" spans="1:21" x14ac:dyDescent="0.25">
      <c r="A120" s="149" t="s">
        <v>1140</v>
      </c>
      <c r="B120" s="150" t="s">
        <v>1386</v>
      </c>
      <c r="C120" s="150" t="s">
        <v>1387</v>
      </c>
      <c r="D120" s="151">
        <v>0</v>
      </c>
      <c r="E120" s="152">
        <v>0</v>
      </c>
      <c r="F120" s="151">
        <v>0</v>
      </c>
      <c r="G120" s="152">
        <v>259</v>
      </c>
      <c r="H120" s="151">
        <v>0</v>
      </c>
      <c r="I120" s="152">
        <v>0</v>
      </c>
      <c r="J120" s="151">
        <v>0</v>
      </c>
      <c r="K120" s="152">
        <v>0</v>
      </c>
      <c r="L120" s="151">
        <v>0</v>
      </c>
      <c r="M120" s="152">
        <v>0</v>
      </c>
      <c r="N120" s="151">
        <v>0</v>
      </c>
      <c r="O120" s="152">
        <v>0</v>
      </c>
      <c r="P120" s="151">
        <v>0</v>
      </c>
      <c r="Q120" s="152">
        <v>0</v>
      </c>
      <c r="R120" s="151">
        <v>0</v>
      </c>
      <c r="S120" s="152">
        <v>0</v>
      </c>
      <c r="T120" s="151">
        <v>0</v>
      </c>
      <c r="U120" s="153">
        <v>0</v>
      </c>
    </row>
    <row r="121" spans="1:21" x14ac:dyDescent="0.25">
      <c r="A121" s="21" t="s">
        <v>1147</v>
      </c>
      <c r="B121" s="154" t="s">
        <v>1023</v>
      </c>
      <c r="C121" s="154" t="s">
        <v>1388</v>
      </c>
      <c r="D121" s="155">
        <v>0</v>
      </c>
      <c r="E121" s="158">
        <v>0</v>
      </c>
      <c r="F121" s="155">
        <v>0</v>
      </c>
      <c r="G121" s="158">
        <v>0</v>
      </c>
      <c r="H121" s="155">
        <v>0</v>
      </c>
      <c r="I121" s="158">
        <v>0</v>
      </c>
      <c r="J121" s="155">
        <v>0</v>
      </c>
      <c r="K121" s="158">
        <v>0</v>
      </c>
      <c r="L121" s="155">
        <v>0</v>
      </c>
      <c r="M121" s="158">
        <v>0</v>
      </c>
      <c r="N121" s="155">
        <v>0</v>
      </c>
      <c r="O121" s="158">
        <v>0</v>
      </c>
      <c r="P121" s="155">
        <v>0</v>
      </c>
      <c r="Q121" s="158">
        <v>0</v>
      </c>
      <c r="R121" s="155">
        <v>0</v>
      </c>
      <c r="S121" s="158">
        <v>0</v>
      </c>
      <c r="T121" s="155">
        <v>0</v>
      </c>
      <c r="U121" s="157">
        <v>0</v>
      </c>
    </row>
    <row r="122" spans="1:21" x14ac:dyDescent="0.25">
      <c r="A122" s="149" t="s">
        <v>1050</v>
      </c>
      <c r="B122" s="150" t="s">
        <v>1022</v>
      </c>
      <c r="C122" s="150" t="s">
        <v>1389</v>
      </c>
      <c r="D122" s="151">
        <v>0</v>
      </c>
      <c r="E122" s="152">
        <v>0</v>
      </c>
      <c r="F122" s="151">
        <v>0</v>
      </c>
      <c r="G122" s="152">
        <v>0</v>
      </c>
      <c r="H122" s="151">
        <v>0</v>
      </c>
      <c r="I122" s="152">
        <v>0</v>
      </c>
      <c r="J122" s="151">
        <v>0</v>
      </c>
      <c r="K122" s="152">
        <v>0</v>
      </c>
      <c r="L122" s="151">
        <v>0</v>
      </c>
      <c r="M122" s="152">
        <v>0</v>
      </c>
      <c r="N122" s="151">
        <v>0</v>
      </c>
      <c r="O122" s="152">
        <v>0</v>
      </c>
      <c r="P122" s="151">
        <v>0</v>
      </c>
      <c r="Q122" s="152">
        <v>0</v>
      </c>
      <c r="R122" s="151">
        <v>0</v>
      </c>
      <c r="S122" s="152">
        <v>0</v>
      </c>
      <c r="T122" s="151">
        <v>0</v>
      </c>
      <c r="U122" s="153">
        <v>0</v>
      </c>
    </row>
    <row r="123" spans="1:21" x14ac:dyDescent="0.25">
      <c r="A123" s="21" t="s">
        <v>1143</v>
      </c>
      <c r="B123" s="154" t="s">
        <v>1390</v>
      </c>
      <c r="C123" s="154" t="s">
        <v>1391</v>
      </c>
      <c r="D123" s="155">
        <v>0</v>
      </c>
      <c r="E123" s="158">
        <v>0</v>
      </c>
      <c r="F123" s="155">
        <v>0</v>
      </c>
      <c r="G123" s="158">
        <v>871</v>
      </c>
      <c r="H123" s="155">
        <v>0</v>
      </c>
      <c r="I123" s="158">
        <v>0</v>
      </c>
      <c r="J123" s="155">
        <v>0</v>
      </c>
      <c r="K123" s="158">
        <v>0</v>
      </c>
      <c r="L123" s="155">
        <v>384.39999389648437</v>
      </c>
      <c r="M123" s="158">
        <v>384.39999389648437</v>
      </c>
      <c r="N123" s="155">
        <v>0</v>
      </c>
      <c r="O123" s="158">
        <v>0</v>
      </c>
      <c r="P123" s="155">
        <v>0</v>
      </c>
      <c r="Q123" s="158">
        <v>0</v>
      </c>
      <c r="R123" s="155">
        <v>0</v>
      </c>
      <c r="S123" s="158">
        <v>0</v>
      </c>
      <c r="T123" s="155">
        <v>0</v>
      </c>
      <c r="U123" s="157">
        <v>0</v>
      </c>
    </row>
    <row r="124" spans="1:21" x14ac:dyDescent="0.25">
      <c r="A124" s="149" t="s">
        <v>1194</v>
      </c>
      <c r="B124" s="150" t="s">
        <v>1392</v>
      </c>
      <c r="C124" s="150" t="s">
        <v>59</v>
      </c>
      <c r="D124" s="151">
        <v>0</v>
      </c>
      <c r="E124" s="152">
        <v>0</v>
      </c>
      <c r="F124" s="151">
        <v>0</v>
      </c>
      <c r="G124" s="152">
        <v>0</v>
      </c>
      <c r="H124" s="151">
        <v>0</v>
      </c>
      <c r="I124" s="152">
        <v>0</v>
      </c>
      <c r="J124" s="151">
        <v>0</v>
      </c>
      <c r="K124" s="152">
        <v>0</v>
      </c>
      <c r="L124" s="151">
        <v>0</v>
      </c>
      <c r="M124" s="152">
        <v>0</v>
      </c>
      <c r="N124" s="151">
        <v>0</v>
      </c>
      <c r="O124" s="152">
        <v>0</v>
      </c>
      <c r="P124" s="151">
        <v>0</v>
      </c>
      <c r="Q124" s="152">
        <v>0</v>
      </c>
      <c r="R124" s="151">
        <v>0</v>
      </c>
      <c r="S124" s="152">
        <v>0</v>
      </c>
      <c r="T124" s="151">
        <v>0</v>
      </c>
      <c r="U124" s="153">
        <v>0</v>
      </c>
    </row>
    <row r="125" spans="1:21" x14ac:dyDescent="0.25">
      <c r="A125" s="21" t="s">
        <v>1196</v>
      </c>
      <c r="B125" s="154" t="s">
        <v>1197</v>
      </c>
      <c r="C125" s="154" t="s">
        <v>59</v>
      </c>
      <c r="D125" s="155">
        <v>0</v>
      </c>
      <c r="E125" s="158">
        <v>0</v>
      </c>
      <c r="F125" s="155">
        <v>0</v>
      </c>
      <c r="G125" s="158">
        <v>0</v>
      </c>
      <c r="H125" s="155">
        <v>0</v>
      </c>
      <c r="I125" s="158">
        <v>0</v>
      </c>
      <c r="J125" s="155">
        <v>0</v>
      </c>
      <c r="K125" s="158">
        <v>0</v>
      </c>
      <c r="L125" s="155">
        <v>0</v>
      </c>
      <c r="M125" s="158">
        <v>0</v>
      </c>
      <c r="N125" s="155">
        <v>0</v>
      </c>
      <c r="O125" s="158">
        <v>0</v>
      </c>
      <c r="P125" s="155">
        <v>0</v>
      </c>
      <c r="Q125" s="158">
        <v>0</v>
      </c>
      <c r="R125" s="155">
        <v>0</v>
      </c>
      <c r="S125" s="158">
        <v>0</v>
      </c>
      <c r="T125" s="155">
        <v>0</v>
      </c>
      <c r="U125" s="157">
        <v>0</v>
      </c>
    </row>
    <row r="126" spans="1:21" x14ac:dyDescent="0.25">
      <c r="A126" s="149" t="s">
        <v>1393</v>
      </c>
      <c r="B126" s="150" t="s">
        <v>1394</v>
      </c>
      <c r="C126" s="150" t="s">
        <v>1395</v>
      </c>
      <c r="D126" s="151">
        <v>0</v>
      </c>
      <c r="E126" s="152">
        <v>0</v>
      </c>
      <c r="F126" s="151">
        <v>0</v>
      </c>
      <c r="G126" s="152">
        <v>0</v>
      </c>
      <c r="H126" s="151">
        <v>0</v>
      </c>
      <c r="I126" s="152">
        <v>0</v>
      </c>
      <c r="J126" s="151">
        <v>0</v>
      </c>
      <c r="K126" s="152">
        <v>0</v>
      </c>
      <c r="L126" s="151">
        <v>0</v>
      </c>
      <c r="M126" s="152">
        <v>0</v>
      </c>
      <c r="N126" s="151">
        <v>0</v>
      </c>
      <c r="O126" s="152">
        <v>0</v>
      </c>
      <c r="P126" s="151">
        <v>0</v>
      </c>
      <c r="Q126" s="152">
        <v>0</v>
      </c>
      <c r="R126" s="151">
        <v>0</v>
      </c>
      <c r="S126" s="152">
        <v>0</v>
      </c>
      <c r="T126" s="151">
        <v>0</v>
      </c>
      <c r="U126" s="153">
        <v>0</v>
      </c>
    </row>
    <row r="127" spans="1:21" x14ac:dyDescent="0.25">
      <c r="A127" s="21" t="s">
        <v>565</v>
      </c>
      <c r="B127" s="154" t="s">
        <v>1198</v>
      </c>
      <c r="C127" s="154" t="s">
        <v>59</v>
      </c>
      <c r="D127" s="155">
        <v>0</v>
      </c>
      <c r="E127" s="158">
        <v>0</v>
      </c>
      <c r="F127" s="155">
        <v>0</v>
      </c>
      <c r="G127" s="158">
        <v>0</v>
      </c>
      <c r="H127" s="155">
        <v>0</v>
      </c>
      <c r="I127" s="158">
        <v>0</v>
      </c>
      <c r="J127" s="155">
        <v>0</v>
      </c>
      <c r="K127" s="158">
        <v>0</v>
      </c>
      <c r="L127" s="155">
        <v>0</v>
      </c>
      <c r="M127" s="158">
        <v>0</v>
      </c>
      <c r="N127" s="155">
        <v>0</v>
      </c>
      <c r="O127" s="158">
        <v>0</v>
      </c>
      <c r="P127" s="155">
        <v>0</v>
      </c>
      <c r="Q127" s="158">
        <v>0</v>
      </c>
      <c r="R127" s="155">
        <v>0</v>
      </c>
      <c r="S127" s="158">
        <v>0</v>
      </c>
      <c r="T127" s="155">
        <v>0</v>
      </c>
      <c r="U127" s="157">
        <v>0</v>
      </c>
    </row>
    <row r="128" spans="1:21" x14ac:dyDescent="0.25">
      <c r="A128" s="149" t="s">
        <v>1199</v>
      </c>
      <c r="B128" s="150" t="s">
        <v>1200</v>
      </c>
      <c r="C128" s="150" t="s">
        <v>59</v>
      </c>
      <c r="D128" s="151">
        <v>0</v>
      </c>
      <c r="E128" s="152">
        <v>0</v>
      </c>
      <c r="F128" s="151">
        <v>0</v>
      </c>
      <c r="G128" s="152">
        <v>0</v>
      </c>
      <c r="H128" s="151">
        <v>0</v>
      </c>
      <c r="I128" s="152">
        <v>0</v>
      </c>
      <c r="J128" s="151">
        <v>0</v>
      </c>
      <c r="K128" s="152">
        <v>0</v>
      </c>
      <c r="L128" s="151">
        <v>0</v>
      </c>
      <c r="M128" s="152">
        <v>0</v>
      </c>
      <c r="N128" s="151">
        <v>0</v>
      </c>
      <c r="O128" s="152">
        <v>0</v>
      </c>
      <c r="P128" s="151">
        <v>0</v>
      </c>
      <c r="Q128" s="152">
        <v>0</v>
      </c>
      <c r="R128" s="151">
        <v>0</v>
      </c>
      <c r="S128" s="152">
        <v>0</v>
      </c>
      <c r="T128" s="151">
        <v>0</v>
      </c>
      <c r="U128" s="153">
        <v>0</v>
      </c>
    </row>
    <row r="129" spans="1:21" x14ac:dyDescent="0.25">
      <c r="A129" s="21" t="s">
        <v>1194</v>
      </c>
      <c r="B129" s="154" t="s">
        <v>1315</v>
      </c>
      <c r="C129" s="154" t="s">
        <v>59</v>
      </c>
      <c r="D129" s="155">
        <v>0</v>
      </c>
      <c r="E129" s="158">
        <v>0</v>
      </c>
      <c r="F129" s="155">
        <v>0</v>
      </c>
      <c r="G129" s="158">
        <v>0</v>
      </c>
      <c r="H129" s="155">
        <v>0</v>
      </c>
      <c r="I129" s="158">
        <v>0</v>
      </c>
      <c r="J129" s="155">
        <v>0</v>
      </c>
      <c r="K129" s="158">
        <v>0</v>
      </c>
      <c r="L129" s="155">
        <v>0</v>
      </c>
      <c r="M129" s="158">
        <v>0</v>
      </c>
      <c r="N129" s="155">
        <v>0</v>
      </c>
      <c r="O129" s="158">
        <v>0</v>
      </c>
      <c r="P129" s="155">
        <v>0</v>
      </c>
      <c r="Q129" s="158">
        <v>0</v>
      </c>
      <c r="R129" s="155">
        <v>0</v>
      </c>
      <c r="S129" s="158">
        <v>0</v>
      </c>
      <c r="T129" s="155">
        <v>0</v>
      </c>
      <c r="U129" s="157">
        <v>0</v>
      </c>
    </row>
    <row r="130" spans="1:21" x14ac:dyDescent="0.25">
      <c r="A130" s="149" t="s">
        <v>1196</v>
      </c>
      <c r="B130" s="150" t="s">
        <v>1197</v>
      </c>
      <c r="C130" s="150" t="s">
        <v>59</v>
      </c>
      <c r="D130" s="151">
        <v>0</v>
      </c>
      <c r="E130" s="152">
        <v>0</v>
      </c>
      <c r="F130" s="151">
        <v>0</v>
      </c>
      <c r="G130" s="152">
        <v>0</v>
      </c>
      <c r="H130" s="151">
        <v>0</v>
      </c>
      <c r="I130" s="152">
        <v>0</v>
      </c>
      <c r="J130" s="151">
        <v>0</v>
      </c>
      <c r="K130" s="152">
        <v>0</v>
      </c>
      <c r="L130" s="151">
        <v>0</v>
      </c>
      <c r="M130" s="152">
        <v>0</v>
      </c>
      <c r="N130" s="151">
        <v>0</v>
      </c>
      <c r="O130" s="152">
        <v>0</v>
      </c>
      <c r="P130" s="151">
        <v>0</v>
      </c>
      <c r="Q130" s="152">
        <v>0</v>
      </c>
      <c r="R130" s="151">
        <v>0</v>
      </c>
      <c r="S130" s="152">
        <v>0</v>
      </c>
      <c r="T130" s="151">
        <v>0</v>
      </c>
      <c r="U130" s="153">
        <v>0</v>
      </c>
    </row>
    <row r="131" spans="1:21" x14ac:dyDescent="0.25">
      <c r="A131" s="21" t="s">
        <v>565</v>
      </c>
      <c r="B131" s="154" t="s">
        <v>1396</v>
      </c>
      <c r="C131" s="154" t="s">
        <v>59</v>
      </c>
      <c r="D131" s="155">
        <v>0</v>
      </c>
      <c r="E131" s="158">
        <v>0</v>
      </c>
      <c r="F131" s="155">
        <v>0</v>
      </c>
      <c r="G131" s="158">
        <v>0</v>
      </c>
      <c r="H131" s="155">
        <v>0</v>
      </c>
      <c r="I131" s="158">
        <v>0</v>
      </c>
      <c r="J131" s="155">
        <v>0</v>
      </c>
      <c r="K131" s="158">
        <v>0</v>
      </c>
      <c r="L131" s="155">
        <v>0</v>
      </c>
      <c r="M131" s="158">
        <v>0</v>
      </c>
      <c r="N131" s="155">
        <v>0</v>
      </c>
      <c r="O131" s="158">
        <v>0</v>
      </c>
      <c r="P131" s="155">
        <v>0</v>
      </c>
      <c r="Q131" s="158">
        <v>0</v>
      </c>
      <c r="R131" s="155">
        <v>0</v>
      </c>
      <c r="S131" s="158">
        <v>0</v>
      </c>
      <c r="T131" s="155">
        <v>0</v>
      </c>
      <c r="U131" s="157">
        <v>0</v>
      </c>
    </row>
    <row r="132" spans="1:21" x14ac:dyDescent="0.25">
      <c r="A132" s="149" t="s">
        <v>1199</v>
      </c>
      <c r="B132" s="150" t="s">
        <v>1200</v>
      </c>
      <c r="C132" s="150" t="s">
        <v>59</v>
      </c>
      <c r="D132" s="151">
        <v>0</v>
      </c>
      <c r="E132" s="152">
        <v>0</v>
      </c>
      <c r="F132" s="151">
        <v>0</v>
      </c>
      <c r="G132" s="152">
        <v>0</v>
      </c>
      <c r="H132" s="151">
        <v>0</v>
      </c>
      <c r="I132" s="152">
        <v>0</v>
      </c>
      <c r="J132" s="151">
        <v>0</v>
      </c>
      <c r="K132" s="152">
        <v>0</v>
      </c>
      <c r="L132" s="151">
        <v>0</v>
      </c>
      <c r="M132" s="152">
        <v>0</v>
      </c>
      <c r="N132" s="151">
        <v>0</v>
      </c>
      <c r="O132" s="152">
        <v>0</v>
      </c>
      <c r="P132" s="151">
        <v>0</v>
      </c>
      <c r="Q132" s="152">
        <v>0</v>
      </c>
      <c r="R132" s="151">
        <v>0</v>
      </c>
      <c r="S132" s="152">
        <v>0</v>
      </c>
      <c r="T132" s="151">
        <v>0</v>
      </c>
      <c r="U132" s="153">
        <v>0</v>
      </c>
    </row>
    <row r="133" spans="1:21" x14ac:dyDescent="0.25">
      <c r="A133" s="21" t="s">
        <v>1194</v>
      </c>
      <c r="B133" s="154" t="s">
        <v>1400</v>
      </c>
      <c r="C133" s="154" t="s">
        <v>59</v>
      </c>
      <c r="D133" s="155">
        <v>0</v>
      </c>
      <c r="E133" s="158">
        <v>0</v>
      </c>
      <c r="F133" s="155">
        <v>0</v>
      </c>
      <c r="G133" s="158">
        <v>0</v>
      </c>
      <c r="H133" s="155">
        <v>0</v>
      </c>
      <c r="I133" s="158">
        <v>0</v>
      </c>
      <c r="J133" s="155">
        <v>0</v>
      </c>
      <c r="K133" s="158">
        <v>0</v>
      </c>
      <c r="L133" s="155">
        <v>0</v>
      </c>
      <c r="M133" s="158">
        <v>0</v>
      </c>
      <c r="N133" s="155">
        <v>0</v>
      </c>
      <c r="O133" s="158">
        <v>0</v>
      </c>
      <c r="P133" s="155">
        <v>0</v>
      </c>
      <c r="Q133" s="158">
        <v>0</v>
      </c>
      <c r="R133" s="155">
        <v>0</v>
      </c>
      <c r="S133" s="158">
        <v>0</v>
      </c>
      <c r="T133" s="155">
        <v>0</v>
      </c>
      <c r="U133" s="157">
        <v>0</v>
      </c>
    </row>
    <row r="134" spans="1:21" x14ac:dyDescent="0.25">
      <c r="A134" s="149" t="s">
        <v>1196</v>
      </c>
      <c r="B134" s="150" t="s">
        <v>1197</v>
      </c>
      <c r="C134" s="150" t="s">
        <v>59</v>
      </c>
      <c r="D134" s="151">
        <v>0</v>
      </c>
      <c r="E134" s="152">
        <v>0</v>
      </c>
      <c r="F134" s="151">
        <v>0</v>
      </c>
      <c r="G134" s="152">
        <v>0</v>
      </c>
      <c r="H134" s="151">
        <v>0</v>
      </c>
      <c r="I134" s="152">
        <v>0</v>
      </c>
      <c r="J134" s="151">
        <v>0</v>
      </c>
      <c r="K134" s="152">
        <v>0</v>
      </c>
      <c r="L134" s="151">
        <v>0</v>
      </c>
      <c r="M134" s="152">
        <v>0</v>
      </c>
      <c r="N134" s="151">
        <v>0</v>
      </c>
      <c r="O134" s="152">
        <v>0</v>
      </c>
      <c r="P134" s="151">
        <v>0</v>
      </c>
      <c r="Q134" s="152">
        <v>0</v>
      </c>
      <c r="R134" s="151">
        <v>0</v>
      </c>
      <c r="S134" s="152">
        <v>0</v>
      </c>
      <c r="T134" s="151">
        <v>0</v>
      </c>
      <c r="U134" s="153">
        <v>0</v>
      </c>
    </row>
    <row r="135" spans="1:21" x14ac:dyDescent="0.25">
      <c r="A135" s="21" t="s">
        <v>565</v>
      </c>
      <c r="B135" s="154" t="s">
        <v>1401</v>
      </c>
      <c r="C135" s="154" t="s">
        <v>59</v>
      </c>
      <c r="D135" s="155">
        <v>0</v>
      </c>
      <c r="E135" s="158">
        <v>0</v>
      </c>
      <c r="F135" s="155">
        <v>0</v>
      </c>
      <c r="G135" s="158">
        <v>0</v>
      </c>
      <c r="H135" s="155">
        <v>0</v>
      </c>
      <c r="I135" s="158">
        <v>0</v>
      </c>
      <c r="J135" s="155">
        <v>0</v>
      </c>
      <c r="K135" s="158">
        <v>0</v>
      </c>
      <c r="L135" s="155">
        <v>0</v>
      </c>
      <c r="M135" s="158">
        <v>0</v>
      </c>
      <c r="N135" s="155">
        <v>0</v>
      </c>
      <c r="O135" s="158">
        <v>0</v>
      </c>
      <c r="P135" s="155">
        <v>0</v>
      </c>
      <c r="Q135" s="158">
        <v>0</v>
      </c>
      <c r="R135" s="155">
        <v>0</v>
      </c>
      <c r="S135" s="158">
        <v>0</v>
      </c>
      <c r="T135" s="155">
        <v>0</v>
      </c>
      <c r="U135" s="157">
        <v>0</v>
      </c>
    </row>
    <row r="136" spans="1:21" x14ac:dyDescent="0.25">
      <c r="A136" s="149" t="s">
        <v>1199</v>
      </c>
      <c r="B136" s="150" t="s">
        <v>1200</v>
      </c>
      <c r="C136" s="150" t="s">
        <v>59</v>
      </c>
      <c r="D136" s="151">
        <v>0</v>
      </c>
      <c r="E136" s="152">
        <v>0</v>
      </c>
      <c r="F136" s="151">
        <v>0</v>
      </c>
      <c r="G136" s="152">
        <v>0</v>
      </c>
      <c r="H136" s="151">
        <v>0</v>
      </c>
      <c r="I136" s="152">
        <v>0</v>
      </c>
      <c r="J136" s="151">
        <v>0</v>
      </c>
      <c r="K136" s="152">
        <v>0</v>
      </c>
      <c r="L136" s="151">
        <v>0</v>
      </c>
      <c r="M136" s="152">
        <v>0</v>
      </c>
      <c r="N136" s="151">
        <v>0</v>
      </c>
      <c r="O136" s="152">
        <v>0</v>
      </c>
      <c r="P136" s="151">
        <v>0</v>
      </c>
      <c r="Q136" s="152">
        <v>0</v>
      </c>
      <c r="R136" s="151">
        <v>0</v>
      </c>
      <c r="S136" s="152">
        <v>0</v>
      </c>
      <c r="T136" s="151">
        <v>0</v>
      </c>
      <c r="U136" s="153">
        <v>0</v>
      </c>
    </row>
    <row r="137" spans="1:21" x14ac:dyDescent="0.25">
      <c r="A137" s="21" t="s">
        <v>1402</v>
      </c>
      <c r="B137" s="154" t="s">
        <v>1403</v>
      </c>
      <c r="C137" s="154" t="s">
        <v>1404</v>
      </c>
      <c r="D137" s="155">
        <v>0</v>
      </c>
      <c r="E137" s="158">
        <v>0</v>
      </c>
      <c r="F137" s="155">
        <v>0</v>
      </c>
      <c r="G137" s="158">
        <v>0</v>
      </c>
      <c r="H137" s="155">
        <v>0</v>
      </c>
      <c r="I137" s="158">
        <v>0</v>
      </c>
      <c r="J137" s="155">
        <v>0</v>
      </c>
      <c r="K137" s="158">
        <v>0</v>
      </c>
      <c r="L137" s="155">
        <v>0</v>
      </c>
      <c r="M137" s="158">
        <v>0</v>
      </c>
      <c r="N137" s="155">
        <v>0</v>
      </c>
      <c r="O137" s="158">
        <v>0</v>
      </c>
      <c r="P137" s="155">
        <v>0</v>
      </c>
      <c r="Q137" s="158">
        <v>0</v>
      </c>
      <c r="R137" s="155">
        <v>0</v>
      </c>
      <c r="S137" s="158">
        <v>0</v>
      </c>
      <c r="T137" s="155">
        <v>0</v>
      </c>
      <c r="U137" s="157">
        <v>0</v>
      </c>
    </row>
    <row r="138" spans="1:21" x14ac:dyDescent="0.25">
      <c r="A138" s="149" t="s">
        <v>801</v>
      </c>
      <c r="B138" s="150" t="s">
        <v>1405</v>
      </c>
      <c r="C138" s="150" t="s">
        <v>1406</v>
      </c>
      <c r="D138" s="151">
        <v>0</v>
      </c>
      <c r="E138" s="152">
        <v>0</v>
      </c>
      <c r="F138" s="151">
        <v>0</v>
      </c>
      <c r="G138" s="152">
        <v>0</v>
      </c>
      <c r="H138" s="151">
        <v>0</v>
      </c>
      <c r="I138" s="152">
        <v>-660.04498291015625</v>
      </c>
      <c r="J138" s="151">
        <v>0</v>
      </c>
      <c r="K138" s="152">
        <v>-660.04498291015625</v>
      </c>
      <c r="L138" s="151">
        <v>0</v>
      </c>
      <c r="M138" s="152">
        <v>-660.04498291015625</v>
      </c>
      <c r="N138" s="151">
        <v>0</v>
      </c>
      <c r="O138" s="152">
        <v>0</v>
      </c>
      <c r="P138" s="151">
        <v>0</v>
      </c>
      <c r="Q138" s="152">
        <v>0</v>
      </c>
      <c r="R138" s="151">
        <v>0</v>
      </c>
      <c r="S138" s="152">
        <v>0</v>
      </c>
      <c r="T138" s="151">
        <v>0</v>
      </c>
      <c r="U138" s="153">
        <v>0</v>
      </c>
    </row>
    <row r="139" spans="1:21" s="360" customFormat="1" ht="18.75" x14ac:dyDescent="0.3">
      <c r="D139" s="360">
        <f t="shared" ref="D139:U139" si="0">SUBTOTAL(9,D4:D138)</f>
        <v>0</v>
      </c>
      <c r="E139" s="360">
        <f t="shared" si="0"/>
        <v>0</v>
      </c>
      <c r="F139" s="360">
        <f t="shared" si="0"/>
        <v>0</v>
      </c>
      <c r="G139" s="360">
        <f t="shared" si="0"/>
        <v>5839</v>
      </c>
      <c r="H139" s="360">
        <f t="shared" si="0"/>
        <v>0</v>
      </c>
      <c r="I139" s="359">
        <f t="shared" si="0"/>
        <v>1029.0590935945511</v>
      </c>
      <c r="J139" s="360">
        <f t="shared" si="0"/>
        <v>0</v>
      </c>
      <c r="K139" s="360">
        <f t="shared" si="0"/>
        <v>1029.0590935945511</v>
      </c>
      <c r="L139" s="360">
        <f t="shared" si="0"/>
        <v>2641.0619888305664</v>
      </c>
      <c r="M139" s="360">
        <f t="shared" si="0"/>
        <v>3670.1210824251175</v>
      </c>
      <c r="N139" s="360">
        <f t="shared" si="0"/>
        <v>0</v>
      </c>
      <c r="O139" s="360">
        <f t="shared" si="0"/>
        <v>0</v>
      </c>
      <c r="P139" s="360">
        <f t="shared" si="0"/>
        <v>0</v>
      </c>
      <c r="Q139" s="360">
        <f t="shared" si="0"/>
        <v>0</v>
      </c>
      <c r="R139" s="360">
        <f t="shared" si="0"/>
        <v>0</v>
      </c>
      <c r="S139" s="360">
        <f t="shared" si="0"/>
        <v>0</v>
      </c>
      <c r="T139" s="360">
        <f t="shared" si="0"/>
        <v>0</v>
      </c>
      <c r="U139" s="360">
        <f t="shared" si="0"/>
        <v>0</v>
      </c>
    </row>
  </sheetData>
  <autoFilter ref="A2:V138"/>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7"/>
  <sheetViews>
    <sheetView showGridLines="0" topLeftCell="C1" workbookViewId="0">
      <pane ySplit="3" topLeftCell="A102" activePane="bottomLeft" state="frozen"/>
      <selection pane="bottomLeft" activeCell="G133" sqref="G133"/>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1"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1" ht="15" customHeight="1" x14ac:dyDescent="0.25">
      <c r="A2" s="527" t="s">
        <v>1409</v>
      </c>
      <c r="B2" s="527" t="s">
        <v>1410</v>
      </c>
      <c r="C2" s="527" t="s">
        <v>1411</v>
      </c>
      <c r="D2" s="529" t="s">
        <v>1412</v>
      </c>
      <c r="E2" s="365" t="s">
        <v>1413</v>
      </c>
      <c r="F2" s="160"/>
      <c r="G2" s="161"/>
      <c r="H2" s="160"/>
      <c r="I2" s="162" t="s">
        <v>1414</v>
      </c>
      <c r="J2" s="163">
        <f>[1]Capa!$K$3</f>
        <v>43251</v>
      </c>
      <c r="K2" s="162"/>
      <c r="L2" s="162"/>
      <c r="M2" s="164"/>
      <c r="N2" s="165"/>
      <c r="O2" s="162"/>
      <c r="P2" s="162" t="s">
        <v>1415</v>
      </c>
      <c r="Q2" s="162"/>
      <c r="R2" s="162"/>
      <c r="S2" s="162"/>
      <c r="T2" s="162"/>
      <c r="U2" s="166"/>
    </row>
    <row r="3" spans="1:21"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1"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row>
    <row r="5" spans="1:21"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row>
    <row r="6" spans="1:21" x14ac:dyDescent="0.25">
      <c r="A6" s="149" t="s">
        <v>565</v>
      </c>
      <c r="B6" s="150" t="s">
        <v>1198</v>
      </c>
      <c r="C6" s="150" t="s">
        <v>59</v>
      </c>
      <c r="D6" s="151">
        <v>0</v>
      </c>
      <c r="E6" s="152">
        <v>0</v>
      </c>
      <c r="F6" s="151">
        <v>0</v>
      </c>
      <c r="G6" s="152">
        <v>0</v>
      </c>
      <c r="H6" s="151">
        <v>0</v>
      </c>
      <c r="I6" s="152">
        <v>0</v>
      </c>
      <c r="J6" s="151">
        <v>0</v>
      </c>
      <c r="K6" s="152">
        <v>0</v>
      </c>
      <c r="L6" s="151">
        <v>0</v>
      </c>
      <c r="M6" s="152">
        <v>0</v>
      </c>
      <c r="N6" s="151">
        <v>0</v>
      </c>
      <c r="O6" s="152">
        <v>0</v>
      </c>
      <c r="P6" s="151">
        <v>0</v>
      </c>
      <c r="Q6" s="152">
        <v>0</v>
      </c>
      <c r="R6" s="151">
        <v>0</v>
      </c>
      <c r="S6" s="152">
        <v>0</v>
      </c>
      <c r="T6" s="151">
        <v>0</v>
      </c>
      <c r="U6" s="153">
        <v>0</v>
      </c>
    </row>
    <row r="7" spans="1:21" x14ac:dyDescent="0.25">
      <c r="A7" s="21" t="s">
        <v>1199</v>
      </c>
      <c r="B7" s="154" t="s">
        <v>1200</v>
      </c>
      <c r="C7" s="154" t="s">
        <v>59</v>
      </c>
      <c r="D7" s="155">
        <v>0</v>
      </c>
      <c r="E7" s="158">
        <v>0</v>
      </c>
      <c r="F7" s="155">
        <v>0</v>
      </c>
      <c r="G7" s="158">
        <v>0</v>
      </c>
      <c r="H7" s="155">
        <v>0</v>
      </c>
      <c r="I7" s="158">
        <v>0</v>
      </c>
      <c r="J7" s="155">
        <v>0</v>
      </c>
      <c r="K7" s="158">
        <v>0</v>
      </c>
      <c r="L7" s="155">
        <v>0</v>
      </c>
      <c r="M7" s="158">
        <v>0</v>
      </c>
      <c r="N7" s="155">
        <v>0</v>
      </c>
      <c r="O7" s="158">
        <v>0</v>
      </c>
      <c r="P7" s="155">
        <v>0</v>
      </c>
      <c r="Q7" s="158">
        <v>0</v>
      </c>
      <c r="R7" s="155">
        <v>0</v>
      </c>
      <c r="S7" s="158">
        <v>0</v>
      </c>
      <c r="T7" s="155">
        <v>0</v>
      </c>
      <c r="U7" s="157">
        <v>0</v>
      </c>
    </row>
    <row r="8" spans="1:21" x14ac:dyDescent="0.25">
      <c r="A8" s="149" t="s">
        <v>1194</v>
      </c>
      <c r="B8" s="150" t="s">
        <v>1201</v>
      </c>
      <c r="C8" s="150" t="s">
        <v>59</v>
      </c>
      <c r="D8" s="151">
        <v>0</v>
      </c>
      <c r="E8" s="152">
        <v>0</v>
      </c>
      <c r="F8" s="151">
        <v>0</v>
      </c>
      <c r="G8" s="152">
        <v>0</v>
      </c>
      <c r="H8" s="151">
        <v>0</v>
      </c>
      <c r="I8" s="152">
        <v>0</v>
      </c>
      <c r="J8" s="151">
        <v>0</v>
      </c>
      <c r="K8" s="152">
        <v>0</v>
      </c>
      <c r="L8" s="151">
        <v>0</v>
      </c>
      <c r="M8" s="152">
        <v>0</v>
      </c>
      <c r="N8" s="151">
        <v>0</v>
      </c>
      <c r="O8" s="152">
        <v>0</v>
      </c>
      <c r="P8" s="151">
        <v>0</v>
      </c>
      <c r="Q8" s="152">
        <v>0</v>
      </c>
      <c r="R8" s="151">
        <v>0</v>
      </c>
      <c r="S8" s="152">
        <v>0</v>
      </c>
      <c r="T8" s="151">
        <v>0</v>
      </c>
      <c r="U8" s="153">
        <v>0</v>
      </c>
    </row>
    <row r="9" spans="1:21" x14ac:dyDescent="0.25">
      <c r="A9" s="21" t="s">
        <v>1196</v>
      </c>
      <c r="B9" s="154" t="s">
        <v>1197</v>
      </c>
      <c r="C9" s="154" t="s">
        <v>59</v>
      </c>
      <c r="D9" s="155">
        <v>0</v>
      </c>
      <c r="E9" s="158">
        <v>0</v>
      </c>
      <c r="F9" s="155">
        <v>0</v>
      </c>
      <c r="G9" s="158">
        <v>0</v>
      </c>
      <c r="H9" s="155">
        <v>0</v>
      </c>
      <c r="I9" s="158">
        <v>0</v>
      </c>
      <c r="J9" s="155">
        <v>0</v>
      </c>
      <c r="K9" s="158">
        <v>0</v>
      </c>
      <c r="L9" s="155">
        <v>0</v>
      </c>
      <c r="M9" s="158">
        <v>0</v>
      </c>
      <c r="N9" s="155">
        <v>0</v>
      </c>
      <c r="O9" s="158">
        <v>0</v>
      </c>
      <c r="P9" s="155">
        <v>0</v>
      </c>
      <c r="Q9" s="158">
        <v>0</v>
      </c>
      <c r="R9" s="155">
        <v>0</v>
      </c>
      <c r="S9" s="158">
        <v>0</v>
      </c>
      <c r="T9" s="155">
        <v>0</v>
      </c>
      <c r="U9" s="157">
        <v>0</v>
      </c>
    </row>
    <row r="10" spans="1:21" x14ac:dyDescent="0.25">
      <c r="A10" s="149" t="s">
        <v>565</v>
      </c>
      <c r="B10" s="150" t="s">
        <v>1198</v>
      </c>
      <c r="C10" s="150" t="s">
        <v>59</v>
      </c>
      <c r="D10" s="151">
        <v>0</v>
      </c>
      <c r="E10" s="152">
        <v>0</v>
      </c>
      <c r="F10" s="151">
        <v>0</v>
      </c>
      <c r="G10" s="152">
        <v>0</v>
      </c>
      <c r="H10" s="151">
        <v>0</v>
      </c>
      <c r="I10" s="152">
        <v>0</v>
      </c>
      <c r="J10" s="151">
        <v>0</v>
      </c>
      <c r="K10" s="152">
        <v>0</v>
      </c>
      <c r="L10" s="151">
        <v>0</v>
      </c>
      <c r="M10" s="152">
        <v>0</v>
      </c>
      <c r="N10" s="151">
        <v>0</v>
      </c>
      <c r="O10" s="152">
        <v>0</v>
      </c>
      <c r="P10" s="151">
        <v>0</v>
      </c>
      <c r="Q10" s="152">
        <v>0</v>
      </c>
      <c r="R10" s="151">
        <v>0</v>
      </c>
      <c r="S10" s="152">
        <v>0</v>
      </c>
      <c r="T10" s="151">
        <v>0</v>
      </c>
      <c r="U10" s="153">
        <v>0</v>
      </c>
    </row>
    <row r="11" spans="1:21" x14ac:dyDescent="0.25">
      <c r="A11" s="21" t="s">
        <v>1199</v>
      </c>
      <c r="B11" s="154" t="s">
        <v>1200</v>
      </c>
      <c r="C11" s="154" t="s">
        <v>59</v>
      </c>
      <c r="D11" s="155">
        <v>0</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row>
    <row r="12" spans="1:21" x14ac:dyDescent="0.25">
      <c r="A12" s="149" t="s">
        <v>1194</v>
      </c>
      <c r="B12" s="150" t="s">
        <v>1205</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row>
    <row r="13" spans="1:21" x14ac:dyDescent="0.25">
      <c r="A13" s="21" t="s">
        <v>1196</v>
      </c>
      <c r="B13" s="154" t="s">
        <v>1197</v>
      </c>
      <c r="C13" s="154" t="s">
        <v>59</v>
      </c>
      <c r="D13" s="155">
        <v>0</v>
      </c>
      <c r="E13" s="158">
        <v>0</v>
      </c>
      <c r="F13" s="155">
        <v>0</v>
      </c>
      <c r="G13" s="158">
        <v>0</v>
      </c>
      <c r="H13" s="155">
        <v>0</v>
      </c>
      <c r="I13" s="158">
        <v>0</v>
      </c>
      <c r="J13" s="155">
        <v>0</v>
      </c>
      <c r="K13" s="158">
        <v>0</v>
      </c>
      <c r="L13" s="155">
        <v>0</v>
      </c>
      <c r="M13" s="158">
        <v>0</v>
      </c>
      <c r="N13" s="155">
        <v>0</v>
      </c>
      <c r="O13" s="158">
        <v>0</v>
      </c>
      <c r="P13" s="155">
        <v>0</v>
      </c>
      <c r="Q13" s="158">
        <v>0</v>
      </c>
      <c r="R13" s="155">
        <v>0</v>
      </c>
      <c r="S13" s="158">
        <v>0</v>
      </c>
      <c r="T13" s="155">
        <v>0</v>
      </c>
      <c r="U13" s="157">
        <v>0</v>
      </c>
    </row>
    <row r="14" spans="1:21" x14ac:dyDescent="0.25">
      <c r="A14" s="149" t="s">
        <v>565</v>
      </c>
      <c r="B14" s="150" t="s">
        <v>1198</v>
      </c>
      <c r="C14" s="150" t="s">
        <v>59</v>
      </c>
      <c r="D14" s="151">
        <v>0</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row>
    <row r="15" spans="1:21" x14ac:dyDescent="0.25">
      <c r="A15" s="21" t="s">
        <v>1199</v>
      </c>
      <c r="B15" s="154" t="s">
        <v>1200</v>
      </c>
      <c r="C15" s="154" t="s">
        <v>59</v>
      </c>
      <c r="D15" s="155">
        <v>0</v>
      </c>
      <c r="E15" s="158">
        <v>0</v>
      </c>
      <c r="F15" s="155">
        <v>0</v>
      </c>
      <c r="G15" s="158">
        <v>0</v>
      </c>
      <c r="H15" s="155">
        <v>0</v>
      </c>
      <c r="I15" s="158">
        <v>0</v>
      </c>
      <c r="J15" s="155">
        <v>0</v>
      </c>
      <c r="K15" s="158">
        <v>0</v>
      </c>
      <c r="L15" s="155">
        <v>0</v>
      </c>
      <c r="M15" s="158">
        <v>0</v>
      </c>
      <c r="N15" s="155">
        <v>0</v>
      </c>
      <c r="O15" s="158">
        <v>0</v>
      </c>
      <c r="P15" s="155">
        <v>0</v>
      </c>
      <c r="Q15" s="158">
        <v>0</v>
      </c>
      <c r="R15" s="155">
        <v>0</v>
      </c>
      <c r="S15" s="158">
        <v>0</v>
      </c>
      <c r="T15" s="155">
        <v>0</v>
      </c>
      <c r="U15" s="157">
        <v>0</v>
      </c>
    </row>
    <row r="16" spans="1:21" x14ac:dyDescent="0.25">
      <c r="A16" s="149" t="s">
        <v>1194</v>
      </c>
      <c r="B16" s="150" t="s">
        <v>1209</v>
      </c>
      <c r="C16" s="150" t="s">
        <v>59</v>
      </c>
      <c r="D16" s="151">
        <v>0</v>
      </c>
      <c r="E16" s="152">
        <v>0</v>
      </c>
      <c r="F16" s="151">
        <v>0</v>
      </c>
      <c r="G16" s="152">
        <v>0</v>
      </c>
      <c r="H16" s="151">
        <v>0</v>
      </c>
      <c r="I16" s="152">
        <v>0</v>
      </c>
      <c r="J16" s="151">
        <v>0</v>
      </c>
      <c r="K16" s="152">
        <v>0</v>
      </c>
      <c r="L16" s="151">
        <v>0</v>
      </c>
      <c r="M16" s="152">
        <v>0</v>
      </c>
      <c r="N16" s="151">
        <v>0</v>
      </c>
      <c r="O16" s="152">
        <v>0</v>
      </c>
      <c r="P16" s="151">
        <v>0</v>
      </c>
      <c r="Q16" s="152">
        <v>0</v>
      </c>
      <c r="R16" s="151">
        <v>0</v>
      </c>
      <c r="S16" s="152">
        <v>0</v>
      </c>
      <c r="T16" s="151">
        <v>0</v>
      </c>
      <c r="U16" s="153">
        <v>0</v>
      </c>
    </row>
    <row r="17" spans="1:21" x14ac:dyDescent="0.25">
      <c r="A17" s="21" t="s">
        <v>1196</v>
      </c>
      <c r="B17" s="154" t="s">
        <v>1197</v>
      </c>
      <c r="C17" s="154" t="s">
        <v>59</v>
      </c>
      <c r="D17" s="155">
        <v>0</v>
      </c>
      <c r="E17" s="158">
        <v>0</v>
      </c>
      <c r="F17" s="155">
        <v>0</v>
      </c>
      <c r="G17" s="158">
        <v>0</v>
      </c>
      <c r="H17" s="155">
        <v>0</v>
      </c>
      <c r="I17" s="158">
        <v>0</v>
      </c>
      <c r="J17" s="155">
        <v>0</v>
      </c>
      <c r="K17" s="158">
        <v>0</v>
      </c>
      <c r="L17" s="155">
        <v>0</v>
      </c>
      <c r="M17" s="158">
        <v>0</v>
      </c>
      <c r="N17" s="155">
        <v>0</v>
      </c>
      <c r="O17" s="158">
        <v>0</v>
      </c>
      <c r="P17" s="155">
        <v>0</v>
      </c>
      <c r="Q17" s="158">
        <v>0</v>
      </c>
      <c r="R17" s="155">
        <v>0</v>
      </c>
      <c r="S17" s="158">
        <v>0</v>
      </c>
      <c r="T17" s="155">
        <v>0</v>
      </c>
      <c r="U17" s="157">
        <v>0</v>
      </c>
    </row>
    <row r="18" spans="1:21" x14ac:dyDescent="0.25">
      <c r="A18" s="149" t="s">
        <v>565</v>
      </c>
      <c r="B18" s="150" t="s">
        <v>1198</v>
      </c>
      <c r="C18" s="150" t="s">
        <v>59</v>
      </c>
      <c r="D18" s="151">
        <v>0</v>
      </c>
      <c r="E18" s="152">
        <v>0</v>
      </c>
      <c r="F18" s="151">
        <v>0</v>
      </c>
      <c r="G18" s="152">
        <v>0</v>
      </c>
      <c r="H18" s="151">
        <v>0</v>
      </c>
      <c r="I18" s="152">
        <v>0</v>
      </c>
      <c r="J18" s="151">
        <v>0</v>
      </c>
      <c r="K18" s="152">
        <v>0</v>
      </c>
      <c r="L18" s="151">
        <v>0</v>
      </c>
      <c r="M18" s="152">
        <v>0</v>
      </c>
      <c r="N18" s="151">
        <v>0</v>
      </c>
      <c r="O18" s="152">
        <v>0</v>
      </c>
      <c r="P18" s="151">
        <v>0</v>
      </c>
      <c r="Q18" s="152">
        <v>0</v>
      </c>
      <c r="R18" s="151">
        <v>0</v>
      </c>
      <c r="S18" s="152">
        <v>0</v>
      </c>
      <c r="T18" s="151">
        <v>0</v>
      </c>
      <c r="U18" s="153">
        <v>0</v>
      </c>
    </row>
    <row r="19" spans="1:21" x14ac:dyDescent="0.25">
      <c r="A19" s="21" t="s">
        <v>1199</v>
      </c>
      <c r="B19" s="154" t="s">
        <v>1200</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row>
    <row r="20" spans="1:21" x14ac:dyDescent="0.25">
      <c r="A20" s="149" t="s">
        <v>1117</v>
      </c>
      <c r="B20" s="150" t="s">
        <v>1210</v>
      </c>
      <c r="C20" s="150" t="s">
        <v>1211</v>
      </c>
      <c r="D20" s="151">
        <v>0</v>
      </c>
      <c r="E20" s="152">
        <v>0</v>
      </c>
      <c r="F20" s="151">
        <v>0</v>
      </c>
      <c r="G20" s="152">
        <v>119</v>
      </c>
      <c r="H20" s="151">
        <v>0</v>
      </c>
      <c r="I20" s="152">
        <v>0</v>
      </c>
      <c r="J20" s="151">
        <v>0</v>
      </c>
      <c r="K20" s="152">
        <v>0</v>
      </c>
      <c r="L20" s="151">
        <v>119.11103057861328</v>
      </c>
      <c r="M20" s="152">
        <v>119.11103057861328</v>
      </c>
      <c r="N20" s="151">
        <v>0</v>
      </c>
      <c r="O20" s="152">
        <v>0</v>
      </c>
      <c r="P20" s="151">
        <v>0</v>
      </c>
      <c r="Q20" s="152">
        <v>0</v>
      </c>
      <c r="R20" s="151">
        <v>0</v>
      </c>
      <c r="S20" s="152">
        <v>0</v>
      </c>
      <c r="T20" s="151">
        <v>0</v>
      </c>
      <c r="U20" s="153">
        <v>0</v>
      </c>
    </row>
    <row r="21" spans="1:21" x14ac:dyDescent="0.25">
      <c r="A21" s="21" t="s">
        <v>800</v>
      </c>
      <c r="B21" s="154" t="s">
        <v>403</v>
      </c>
      <c r="C21" s="154" t="s">
        <v>1212</v>
      </c>
      <c r="D21" s="155">
        <v>0</v>
      </c>
      <c r="E21" s="158">
        <v>0</v>
      </c>
      <c r="F21" s="155">
        <v>0</v>
      </c>
      <c r="G21" s="158">
        <v>0</v>
      </c>
      <c r="H21" s="155">
        <v>0</v>
      </c>
      <c r="I21" s="158">
        <v>0</v>
      </c>
      <c r="J21" s="155">
        <v>0</v>
      </c>
      <c r="K21" s="158">
        <v>0</v>
      </c>
      <c r="L21" s="155">
        <v>0</v>
      </c>
      <c r="M21" s="158">
        <v>0</v>
      </c>
      <c r="N21" s="155">
        <v>0</v>
      </c>
      <c r="O21" s="158">
        <v>0</v>
      </c>
      <c r="P21" s="155">
        <v>0</v>
      </c>
      <c r="Q21" s="158">
        <v>0</v>
      </c>
      <c r="R21" s="155">
        <v>0</v>
      </c>
      <c r="S21" s="158">
        <v>0</v>
      </c>
      <c r="T21" s="155">
        <v>0</v>
      </c>
      <c r="U21" s="157">
        <v>0</v>
      </c>
    </row>
    <row r="22" spans="1:21" x14ac:dyDescent="0.25">
      <c r="A22" s="149" t="s">
        <v>1194</v>
      </c>
      <c r="B22" s="150" t="s">
        <v>1218</v>
      </c>
      <c r="C22" s="150" t="s">
        <v>59</v>
      </c>
      <c r="D22" s="151">
        <v>0</v>
      </c>
      <c r="E22" s="152">
        <v>0</v>
      </c>
      <c r="F22" s="151">
        <v>0</v>
      </c>
      <c r="G22" s="152">
        <v>0</v>
      </c>
      <c r="H22" s="151">
        <v>0</v>
      </c>
      <c r="I22" s="152">
        <v>0</v>
      </c>
      <c r="J22" s="151">
        <v>0</v>
      </c>
      <c r="K22" s="152">
        <v>0</v>
      </c>
      <c r="L22" s="151">
        <v>0</v>
      </c>
      <c r="M22" s="152">
        <v>0</v>
      </c>
      <c r="N22" s="151">
        <v>0</v>
      </c>
      <c r="O22" s="152">
        <v>0</v>
      </c>
      <c r="P22" s="151">
        <v>0</v>
      </c>
      <c r="Q22" s="152">
        <v>0</v>
      </c>
      <c r="R22" s="151">
        <v>0</v>
      </c>
      <c r="S22" s="152">
        <v>0</v>
      </c>
      <c r="T22" s="151">
        <v>0</v>
      </c>
      <c r="U22" s="153">
        <v>0</v>
      </c>
    </row>
    <row r="23" spans="1:21" x14ac:dyDescent="0.25">
      <c r="A23" s="21" t="s">
        <v>1196</v>
      </c>
      <c r="B23" s="154" t="s">
        <v>1197</v>
      </c>
      <c r="C23" s="154" t="s">
        <v>59</v>
      </c>
      <c r="D23" s="155">
        <v>0</v>
      </c>
      <c r="E23" s="158">
        <v>0</v>
      </c>
      <c r="F23" s="155">
        <v>0</v>
      </c>
      <c r="G23" s="158">
        <v>0</v>
      </c>
      <c r="H23" s="155">
        <v>0</v>
      </c>
      <c r="I23" s="158">
        <v>0</v>
      </c>
      <c r="J23" s="155">
        <v>0</v>
      </c>
      <c r="K23" s="158">
        <v>0</v>
      </c>
      <c r="L23" s="155">
        <v>0</v>
      </c>
      <c r="M23" s="158">
        <v>0</v>
      </c>
      <c r="N23" s="155">
        <v>0</v>
      </c>
      <c r="O23" s="158">
        <v>0</v>
      </c>
      <c r="P23" s="155">
        <v>0</v>
      </c>
      <c r="Q23" s="158">
        <v>0</v>
      </c>
      <c r="R23" s="155">
        <v>0</v>
      </c>
      <c r="S23" s="158">
        <v>0</v>
      </c>
      <c r="T23" s="155">
        <v>0</v>
      </c>
      <c r="U23" s="157">
        <v>0</v>
      </c>
    </row>
    <row r="24" spans="1:21" x14ac:dyDescent="0.25">
      <c r="A24" s="149" t="s">
        <v>565</v>
      </c>
      <c r="B24" s="150" t="s">
        <v>1198</v>
      </c>
      <c r="C24" s="150" t="s">
        <v>59</v>
      </c>
      <c r="D24" s="151">
        <v>0</v>
      </c>
      <c r="E24" s="152">
        <v>0</v>
      </c>
      <c r="F24" s="151">
        <v>0</v>
      </c>
      <c r="G24" s="152">
        <v>0</v>
      </c>
      <c r="H24" s="151">
        <v>0</v>
      </c>
      <c r="I24" s="152">
        <v>0</v>
      </c>
      <c r="J24" s="151">
        <v>0</v>
      </c>
      <c r="K24" s="152">
        <v>0</v>
      </c>
      <c r="L24" s="151">
        <v>0</v>
      </c>
      <c r="M24" s="152">
        <v>0</v>
      </c>
      <c r="N24" s="151">
        <v>0</v>
      </c>
      <c r="O24" s="152">
        <v>0</v>
      </c>
      <c r="P24" s="151">
        <v>0</v>
      </c>
      <c r="Q24" s="152">
        <v>0</v>
      </c>
      <c r="R24" s="151">
        <v>0</v>
      </c>
      <c r="S24" s="152">
        <v>0</v>
      </c>
      <c r="T24" s="151">
        <v>0</v>
      </c>
      <c r="U24" s="153">
        <v>0</v>
      </c>
    </row>
    <row r="25" spans="1:21" x14ac:dyDescent="0.25">
      <c r="A25" s="21" t="s">
        <v>1199</v>
      </c>
      <c r="B25" s="154" t="s">
        <v>1200</v>
      </c>
      <c r="C25" s="154" t="s">
        <v>59</v>
      </c>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row>
    <row r="26" spans="1:21" x14ac:dyDescent="0.25">
      <c r="A26" s="149" t="s">
        <v>1194</v>
      </c>
      <c r="B26" s="150" t="s">
        <v>1195</v>
      </c>
      <c r="C26" s="150" t="s">
        <v>59</v>
      </c>
      <c r="D26" s="151">
        <v>0</v>
      </c>
      <c r="E26" s="152">
        <v>0</v>
      </c>
      <c r="F26" s="151">
        <v>0</v>
      </c>
      <c r="G26" s="152">
        <v>0</v>
      </c>
      <c r="H26" s="151">
        <v>0</v>
      </c>
      <c r="I26" s="152">
        <v>0</v>
      </c>
      <c r="J26" s="151">
        <v>0</v>
      </c>
      <c r="K26" s="152">
        <v>0</v>
      </c>
      <c r="L26" s="151">
        <v>0</v>
      </c>
      <c r="M26" s="152">
        <v>0</v>
      </c>
      <c r="N26" s="151">
        <v>0</v>
      </c>
      <c r="O26" s="152">
        <v>0</v>
      </c>
      <c r="P26" s="151">
        <v>0</v>
      </c>
      <c r="Q26" s="152">
        <v>0</v>
      </c>
      <c r="R26" s="151">
        <v>0</v>
      </c>
      <c r="S26" s="152">
        <v>0</v>
      </c>
      <c r="T26" s="151">
        <v>0</v>
      </c>
      <c r="U26" s="153">
        <v>0</v>
      </c>
    </row>
    <row r="27" spans="1:21" x14ac:dyDescent="0.25">
      <c r="A27" s="21" t="s">
        <v>1196</v>
      </c>
      <c r="B27" s="154" t="s">
        <v>1197</v>
      </c>
      <c r="C27" s="154" t="s">
        <v>59</v>
      </c>
      <c r="D27" s="155">
        <v>0</v>
      </c>
      <c r="E27" s="158">
        <v>0</v>
      </c>
      <c r="F27" s="155">
        <v>0</v>
      </c>
      <c r="G27" s="158">
        <v>0</v>
      </c>
      <c r="H27" s="155">
        <v>0</v>
      </c>
      <c r="I27" s="158">
        <v>0</v>
      </c>
      <c r="J27" s="155">
        <v>0</v>
      </c>
      <c r="K27" s="158">
        <v>0</v>
      </c>
      <c r="L27" s="155">
        <v>0</v>
      </c>
      <c r="M27" s="158">
        <v>0</v>
      </c>
      <c r="N27" s="155">
        <v>0</v>
      </c>
      <c r="O27" s="158">
        <v>0</v>
      </c>
      <c r="P27" s="155">
        <v>0</v>
      </c>
      <c r="Q27" s="158">
        <v>0</v>
      </c>
      <c r="R27" s="155">
        <v>0</v>
      </c>
      <c r="S27" s="158">
        <v>0</v>
      </c>
      <c r="T27" s="155">
        <v>0</v>
      </c>
      <c r="U27" s="157">
        <v>0</v>
      </c>
    </row>
    <row r="28" spans="1:21" x14ac:dyDescent="0.25">
      <c r="A28" s="149" t="s">
        <v>565</v>
      </c>
      <c r="B28" s="150" t="s">
        <v>1198</v>
      </c>
      <c r="C28" s="150" t="s">
        <v>59</v>
      </c>
      <c r="D28" s="151">
        <v>0</v>
      </c>
      <c r="E28" s="152">
        <v>0</v>
      </c>
      <c r="F28" s="151">
        <v>0</v>
      </c>
      <c r="G28" s="152">
        <v>0</v>
      </c>
      <c r="H28" s="151">
        <v>0</v>
      </c>
      <c r="I28" s="152">
        <v>0</v>
      </c>
      <c r="J28" s="151">
        <v>0</v>
      </c>
      <c r="K28" s="152">
        <v>0</v>
      </c>
      <c r="L28" s="151">
        <v>0</v>
      </c>
      <c r="M28" s="152">
        <v>0</v>
      </c>
      <c r="N28" s="151">
        <v>0</v>
      </c>
      <c r="O28" s="152">
        <v>0</v>
      </c>
      <c r="P28" s="151">
        <v>0</v>
      </c>
      <c r="Q28" s="152">
        <v>0</v>
      </c>
      <c r="R28" s="151">
        <v>0</v>
      </c>
      <c r="S28" s="152">
        <v>0</v>
      </c>
      <c r="T28" s="151">
        <v>0</v>
      </c>
      <c r="U28" s="153">
        <v>0</v>
      </c>
    </row>
    <row r="29" spans="1:21" x14ac:dyDescent="0.25">
      <c r="A29" s="21" t="s">
        <v>1199</v>
      </c>
      <c r="B29" s="154" t="s">
        <v>1200</v>
      </c>
      <c r="C29" s="154" t="s">
        <v>59</v>
      </c>
      <c r="D29" s="155">
        <v>0</v>
      </c>
      <c r="E29" s="158">
        <v>0</v>
      </c>
      <c r="F29" s="155">
        <v>0</v>
      </c>
      <c r="G29" s="158">
        <v>0</v>
      </c>
      <c r="H29" s="155">
        <v>0</v>
      </c>
      <c r="I29" s="158">
        <v>0</v>
      </c>
      <c r="J29" s="155">
        <v>0</v>
      </c>
      <c r="K29" s="158">
        <v>0</v>
      </c>
      <c r="L29" s="155">
        <v>0</v>
      </c>
      <c r="M29" s="158">
        <v>0</v>
      </c>
      <c r="N29" s="155">
        <v>0</v>
      </c>
      <c r="O29" s="158">
        <v>0</v>
      </c>
      <c r="P29" s="155">
        <v>0</v>
      </c>
      <c r="Q29" s="158">
        <v>0</v>
      </c>
      <c r="R29" s="155">
        <v>0</v>
      </c>
      <c r="S29" s="158">
        <v>0</v>
      </c>
      <c r="T29" s="155">
        <v>0</v>
      </c>
      <c r="U29" s="157">
        <v>0</v>
      </c>
    </row>
    <row r="30" spans="1:21" x14ac:dyDescent="0.25">
      <c r="A30" s="149" t="s">
        <v>1236</v>
      </c>
      <c r="B30" s="150" t="s">
        <v>1237</v>
      </c>
      <c r="C30" s="150" t="s">
        <v>1238</v>
      </c>
      <c r="D30" s="151">
        <v>0</v>
      </c>
      <c r="E30" s="152">
        <v>0</v>
      </c>
      <c r="F30" s="151">
        <v>0</v>
      </c>
      <c r="G30" s="152">
        <v>0</v>
      </c>
      <c r="H30" s="151">
        <v>0</v>
      </c>
      <c r="I30" s="152">
        <v>0</v>
      </c>
      <c r="J30" s="151">
        <v>0</v>
      </c>
      <c r="K30" s="152">
        <v>0</v>
      </c>
      <c r="L30" s="151">
        <v>0</v>
      </c>
      <c r="M30" s="152">
        <v>0</v>
      </c>
      <c r="N30" s="151">
        <v>0</v>
      </c>
      <c r="O30" s="152">
        <v>0</v>
      </c>
      <c r="P30" s="151">
        <v>0</v>
      </c>
      <c r="Q30" s="152">
        <v>0</v>
      </c>
      <c r="R30" s="151">
        <v>0</v>
      </c>
      <c r="S30" s="152">
        <v>0</v>
      </c>
      <c r="T30" s="151">
        <v>0</v>
      </c>
      <c r="U30" s="153">
        <v>0</v>
      </c>
    </row>
    <row r="31" spans="1:21" x14ac:dyDescent="0.25">
      <c r="A31" s="21" t="s">
        <v>1239</v>
      </c>
      <c r="B31" s="154" t="s">
        <v>1240</v>
      </c>
      <c r="C31" s="154" t="s">
        <v>1241</v>
      </c>
      <c r="D31" s="155">
        <v>0</v>
      </c>
      <c r="E31" s="158">
        <v>0</v>
      </c>
      <c r="F31" s="155">
        <v>0</v>
      </c>
      <c r="G31" s="158">
        <v>0</v>
      </c>
      <c r="H31" s="155">
        <v>0</v>
      </c>
      <c r="I31" s="158">
        <v>0</v>
      </c>
      <c r="J31" s="155">
        <v>0</v>
      </c>
      <c r="K31" s="158">
        <v>0</v>
      </c>
      <c r="L31" s="155">
        <v>0</v>
      </c>
      <c r="M31" s="158">
        <v>0</v>
      </c>
      <c r="N31" s="155">
        <v>0</v>
      </c>
      <c r="O31" s="158">
        <v>0</v>
      </c>
      <c r="P31" s="155">
        <v>0</v>
      </c>
      <c r="Q31" s="158">
        <v>0</v>
      </c>
      <c r="R31" s="155">
        <v>0</v>
      </c>
      <c r="S31" s="158">
        <v>0</v>
      </c>
      <c r="T31" s="155">
        <v>0</v>
      </c>
      <c r="U31" s="157">
        <v>0</v>
      </c>
    </row>
    <row r="32" spans="1:21" x14ac:dyDescent="0.25">
      <c r="A32" s="149" t="s">
        <v>1194</v>
      </c>
      <c r="B32" s="150" t="s">
        <v>1201</v>
      </c>
      <c r="C32" s="150" t="s">
        <v>59</v>
      </c>
      <c r="D32" s="151">
        <v>0</v>
      </c>
      <c r="E32" s="152">
        <v>0</v>
      </c>
      <c r="F32" s="151">
        <v>0</v>
      </c>
      <c r="G32" s="152">
        <v>0</v>
      </c>
      <c r="H32" s="151">
        <v>0</v>
      </c>
      <c r="I32" s="152">
        <v>0</v>
      </c>
      <c r="J32" s="151">
        <v>0</v>
      </c>
      <c r="K32" s="152">
        <v>0</v>
      </c>
      <c r="L32" s="151">
        <v>0</v>
      </c>
      <c r="M32" s="152">
        <v>0</v>
      </c>
      <c r="N32" s="151">
        <v>0</v>
      </c>
      <c r="O32" s="152">
        <v>0</v>
      </c>
      <c r="P32" s="151">
        <v>0</v>
      </c>
      <c r="Q32" s="152">
        <v>0</v>
      </c>
      <c r="R32" s="151">
        <v>0</v>
      </c>
      <c r="S32" s="152">
        <v>0</v>
      </c>
      <c r="T32" s="151">
        <v>0</v>
      </c>
      <c r="U32" s="153">
        <v>0</v>
      </c>
    </row>
    <row r="33" spans="1:21" x14ac:dyDescent="0.25">
      <c r="A33" s="21" t="s">
        <v>1196</v>
      </c>
      <c r="B33" s="154" t="s">
        <v>1197</v>
      </c>
      <c r="C33" s="154" t="s">
        <v>59</v>
      </c>
      <c r="D33" s="155">
        <v>0</v>
      </c>
      <c r="E33" s="158">
        <v>0</v>
      </c>
      <c r="F33" s="155">
        <v>0</v>
      </c>
      <c r="G33" s="158">
        <v>0</v>
      </c>
      <c r="H33" s="155">
        <v>0</v>
      </c>
      <c r="I33" s="158">
        <v>0</v>
      </c>
      <c r="J33" s="155">
        <v>0</v>
      </c>
      <c r="K33" s="158">
        <v>0</v>
      </c>
      <c r="L33" s="155">
        <v>0</v>
      </c>
      <c r="M33" s="158">
        <v>0</v>
      </c>
      <c r="N33" s="155">
        <v>0</v>
      </c>
      <c r="O33" s="158">
        <v>0</v>
      </c>
      <c r="P33" s="155">
        <v>0</v>
      </c>
      <c r="Q33" s="158">
        <v>0</v>
      </c>
      <c r="R33" s="155">
        <v>0</v>
      </c>
      <c r="S33" s="158">
        <v>0</v>
      </c>
      <c r="T33" s="155">
        <v>0</v>
      </c>
      <c r="U33" s="157">
        <v>0</v>
      </c>
    </row>
    <row r="34" spans="1:21" x14ac:dyDescent="0.25">
      <c r="A34" s="149" t="s">
        <v>565</v>
      </c>
      <c r="B34" s="150" t="s">
        <v>1198</v>
      </c>
      <c r="C34" s="150" t="s">
        <v>59</v>
      </c>
      <c r="D34" s="151">
        <v>0</v>
      </c>
      <c r="E34" s="152">
        <v>0</v>
      </c>
      <c r="F34" s="151">
        <v>0</v>
      </c>
      <c r="G34" s="152">
        <v>0</v>
      </c>
      <c r="H34" s="151">
        <v>0</v>
      </c>
      <c r="I34" s="152">
        <v>0</v>
      </c>
      <c r="J34" s="151">
        <v>0</v>
      </c>
      <c r="K34" s="152">
        <v>0</v>
      </c>
      <c r="L34" s="151">
        <v>0</v>
      </c>
      <c r="M34" s="152">
        <v>0</v>
      </c>
      <c r="N34" s="151">
        <v>0</v>
      </c>
      <c r="O34" s="152">
        <v>0</v>
      </c>
      <c r="P34" s="151">
        <v>0</v>
      </c>
      <c r="Q34" s="152">
        <v>0</v>
      </c>
      <c r="R34" s="151">
        <v>0</v>
      </c>
      <c r="S34" s="152">
        <v>0</v>
      </c>
      <c r="T34" s="151">
        <v>0</v>
      </c>
      <c r="U34" s="153">
        <v>0</v>
      </c>
    </row>
    <row r="35" spans="1:21" x14ac:dyDescent="0.25">
      <c r="A35" s="21" t="s">
        <v>1199</v>
      </c>
      <c r="B35" s="154" t="s">
        <v>1200</v>
      </c>
      <c r="C35" s="154" t="s">
        <v>59</v>
      </c>
      <c r="D35" s="155">
        <v>0</v>
      </c>
      <c r="E35" s="158">
        <v>0</v>
      </c>
      <c r="F35" s="155">
        <v>0</v>
      </c>
      <c r="G35" s="158">
        <v>0</v>
      </c>
      <c r="H35" s="155">
        <v>0</v>
      </c>
      <c r="I35" s="158">
        <v>0</v>
      </c>
      <c r="J35" s="155">
        <v>0</v>
      </c>
      <c r="K35" s="158">
        <v>0</v>
      </c>
      <c r="L35" s="155">
        <v>0</v>
      </c>
      <c r="M35" s="158">
        <v>0</v>
      </c>
      <c r="N35" s="155">
        <v>0</v>
      </c>
      <c r="O35" s="158">
        <v>0</v>
      </c>
      <c r="P35" s="155">
        <v>0</v>
      </c>
      <c r="Q35" s="158">
        <v>0</v>
      </c>
      <c r="R35" s="155">
        <v>0</v>
      </c>
      <c r="S35" s="158">
        <v>0</v>
      </c>
      <c r="T35" s="155">
        <v>0</v>
      </c>
      <c r="U35" s="157">
        <v>0</v>
      </c>
    </row>
    <row r="36" spans="1:21" x14ac:dyDescent="0.25">
      <c r="A36" s="149" t="s">
        <v>1194</v>
      </c>
      <c r="B36" s="150" t="s">
        <v>1245</v>
      </c>
      <c r="C36" s="150" t="s">
        <v>59</v>
      </c>
      <c r="D36" s="151">
        <v>0</v>
      </c>
      <c r="E36" s="152">
        <v>0</v>
      </c>
      <c r="F36" s="151">
        <v>0</v>
      </c>
      <c r="G36" s="152">
        <v>0</v>
      </c>
      <c r="H36" s="151">
        <v>0</v>
      </c>
      <c r="I36" s="152">
        <v>0</v>
      </c>
      <c r="J36" s="151">
        <v>0</v>
      </c>
      <c r="K36" s="152">
        <v>0</v>
      </c>
      <c r="L36" s="151">
        <v>0</v>
      </c>
      <c r="M36" s="152">
        <v>0</v>
      </c>
      <c r="N36" s="151">
        <v>0</v>
      </c>
      <c r="O36" s="152">
        <v>0</v>
      </c>
      <c r="P36" s="151">
        <v>0</v>
      </c>
      <c r="Q36" s="152">
        <v>0</v>
      </c>
      <c r="R36" s="151">
        <v>0</v>
      </c>
      <c r="S36" s="152">
        <v>0</v>
      </c>
      <c r="T36" s="151">
        <v>0</v>
      </c>
      <c r="U36" s="153">
        <v>0</v>
      </c>
    </row>
    <row r="37" spans="1:21" x14ac:dyDescent="0.25">
      <c r="A37" s="21" t="s">
        <v>1196</v>
      </c>
      <c r="B37" s="154" t="s">
        <v>1197</v>
      </c>
      <c r="C37" s="154" t="s">
        <v>59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row>
    <row r="38" spans="1:21" x14ac:dyDescent="0.25">
      <c r="A38" s="149" t="s">
        <v>565</v>
      </c>
      <c r="B38" s="150" t="s">
        <v>1198</v>
      </c>
      <c r="C38" s="150" t="s">
        <v>59</v>
      </c>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row>
    <row r="39" spans="1:21" x14ac:dyDescent="0.25">
      <c r="A39" s="21" t="s">
        <v>1199</v>
      </c>
      <c r="B39" s="154" t="s">
        <v>1200</v>
      </c>
      <c r="C39" s="154" t="s">
        <v>59</v>
      </c>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row>
    <row r="40" spans="1:21" x14ac:dyDescent="0.25">
      <c r="A40" s="149" t="s">
        <v>1194</v>
      </c>
      <c r="B40" s="150" t="s">
        <v>1209</v>
      </c>
      <c r="C40" s="150" t="s">
        <v>59</v>
      </c>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row>
    <row r="41" spans="1:21" x14ac:dyDescent="0.25">
      <c r="A41" s="21" t="s">
        <v>1196</v>
      </c>
      <c r="B41" s="154" t="s">
        <v>1197</v>
      </c>
      <c r="C41" s="154" t="s">
        <v>59</v>
      </c>
      <c r="D41" s="155">
        <v>0</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row>
    <row r="42" spans="1:21" x14ac:dyDescent="0.25">
      <c r="A42" s="149" t="s">
        <v>565</v>
      </c>
      <c r="B42" s="150" t="s">
        <v>1198</v>
      </c>
      <c r="C42" s="150" t="s">
        <v>59</v>
      </c>
      <c r="D42" s="151">
        <v>0</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row>
    <row r="43" spans="1:21" x14ac:dyDescent="0.25">
      <c r="A43" s="21" t="s">
        <v>1199</v>
      </c>
      <c r="B43" s="154" t="s">
        <v>1200</v>
      </c>
      <c r="C43" s="154" t="s">
        <v>59</v>
      </c>
      <c r="D43" s="155">
        <v>0</v>
      </c>
      <c r="E43" s="158">
        <v>0</v>
      </c>
      <c r="F43" s="155">
        <v>0</v>
      </c>
      <c r="G43" s="158">
        <v>0</v>
      </c>
      <c r="H43" s="155">
        <v>0</v>
      </c>
      <c r="I43" s="158">
        <v>0</v>
      </c>
      <c r="J43" s="155">
        <v>0</v>
      </c>
      <c r="K43" s="158">
        <v>0</v>
      </c>
      <c r="L43" s="155">
        <v>0</v>
      </c>
      <c r="M43" s="158">
        <v>0</v>
      </c>
      <c r="N43" s="155">
        <v>0</v>
      </c>
      <c r="O43" s="158">
        <v>0</v>
      </c>
      <c r="P43" s="155">
        <v>0</v>
      </c>
      <c r="Q43" s="158">
        <v>0</v>
      </c>
      <c r="R43" s="155">
        <v>0</v>
      </c>
      <c r="S43" s="158">
        <v>0</v>
      </c>
      <c r="T43" s="155">
        <v>0</v>
      </c>
      <c r="U43" s="157">
        <v>0</v>
      </c>
    </row>
    <row r="44" spans="1:21" x14ac:dyDescent="0.25">
      <c r="A44" s="149" t="s">
        <v>1194</v>
      </c>
      <c r="B44" s="150" t="s">
        <v>1218</v>
      </c>
      <c r="C44" s="150" t="s">
        <v>59</v>
      </c>
      <c r="D44" s="151">
        <v>0</v>
      </c>
      <c r="E44" s="152">
        <v>0</v>
      </c>
      <c r="F44" s="151">
        <v>0</v>
      </c>
      <c r="G44" s="152">
        <v>0</v>
      </c>
      <c r="H44" s="151">
        <v>0</v>
      </c>
      <c r="I44" s="152">
        <v>0</v>
      </c>
      <c r="J44" s="151">
        <v>0</v>
      </c>
      <c r="K44" s="152">
        <v>0</v>
      </c>
      <c r="L44" s="151">
        <v>0</v>
      </c>
      <c r="M44" s="152">
        <v>0</v>
      </c>
      <c r="N44" s="151">
        <v>0</v>
      </c>
      <c r="O44" s="152">
        <v>0</v>
      </c>
      <c r="P44" s="151">
        <v>0</v>
      </c>
      <c r="Q44" s="152">
        <v>0</v>
      </c>
      <c r="R44" s="151">
        <v>0</v>
      </c>
      <c r="S44" s="152">
        <v>0</v>
      </c>
      <c r="T44" s="151">
        <v>0</v>
      </c>
      <c r="U44" s="153">
        <v>0</v>
      </c>
    </row>
    <row r="45" spans="1:21" x14ac:dyDescent="0.25">
      <c r="A45" s="21" t="s">
        <v>1196</v>
      </c>
      <c r="B45" s="154" t="s">
        <v>1197</v>
      </c>
      <c r="C45" s="154" t="s">
        <v>59</v>
      </c>
      <c r="D45" s="155">
        <v>0</v>
      </c>
      <c r="E45" s="158">
        <v>0</v>
      </c>
      <c r="F45" s="155">
        <v>0</v>
      </c>
      <c r="G45" s="158">
        <v>0</v>
      </c>
      <c r="H45" s="155">
        <v>0</v>
      </c>
      <c r="I45" s="158">
        <v>0</v>
      </c>
      <c r="J45" s="155">
        <v>0</v>
      </c>
      <c r="K45" s="158">
        <v>0</v>
      </c>
      <c r="L45" s="155">
        <v>0</v>
      </c>
      <c r="M45" s="158">
        <v>0</v>
      </c>
      <c r="N45" s="155">
        <v>0</v>
      </c>
      <c r="O45" s="158">
        <v>0</v>
      </c>
      <c r="P45" s="155">
        <v>0</v>
      </c>
      <c r="Q45" s="158">
        <v>0</v>
      </c>
      <c r="R45" s="155">
        <v>0</v>
      </c>
      <c r="S45" s="158">
        <v>0</v>
      </c>
      <c r="T45" s="155">
        <v>0</v>
      </c>
      <c r="U45" s="157">
        <v>0</v>
      </c>
    </row>
    <row r="46" spans="1:21" x14ac:dyDescent="0.25">
      <c r="A46" s="149" t="s">
        <v>565</v>
      </c>
      <c r="B46" s="150" t="s">
        <v>1198</v>
      </c>
      <c r="C46" s="150" t="s">
        <v>59</v>
      </c>
      <c r="D46" s="151">
        <v>0</v>
      </c>
      <c r="E46" s="152">
        <v>0</v>
      </c>
      <c r="F46" s="151">
        <v>0</v>
      </c>
      <c r="G46" s="152">
        <v>0</v>
      </c>
      <c r="H46" s="151">
        <v>0</v>
      </c>
      <c r="I46" s="152">
        <v>0</v>
      </c>
      <c r="J46" s="151">
        <v>0</v>
      </c>
      <c r="K46" s="152">
        <v>0</v>
      </c>
      <c r="L46" s="151">
        <v>0</v>
      </c>
      <c r="M46" s="152">
        <v>0</v>
      </c>
      <c r="N46" s="151">
        <v>0</v>
      </c>
      <c r="O46" s="152">
        <v>0</v>
      </c>
      <c r="P46" s="151">
        <v>0</v>
      </c>
      <c r="Q46" s="152">
        <v>0</v>
      </c>
      <c r="R46" s="151">
        <v>0</v>
      </c>
      <c r="S46" s="152">
        <v>0</v>
      </c>
      <c r="T46" s="151">
        <v>0</v>
      </c>
      <c r="U46" s="153">
        <v>0</v>
      </c>
    </row>
    <row r="47" spans="1:21" x14ac:dyDescent="0.25">
      <c r="A47" s="21" t="s">
        <v>1199</v>
      </c>
      <c r="B47" s="154" t="s">
        <v>1200</v>
      </c>
      <c r="C47" s="154" t="s">
        <v>59</v>
      </c>
      <c r="D47" s="155">
        <v>0</v>
      </c>
      <c r="E47" s="158">
        <v>0</v>
      </c>
      <c r="F47" s="155">
        <v>0</v>
      </c>
      <c r="G47" s="158">
        <v>0</v>
      </c>
      <c r="H47" s="155">
        <v>0</v>
      </c>
      <c r="I47" s="158">
        <v>0</v>
      </c>
      <c r="J47" s="155">
        <v>0</v>
      </c>
      <c r="K47" s="158">
        <v>0</v>
      </c>
      <c r="L47" s="155">
        <v>0</v>
      </c>
      <c r="M47" s="158">
        <v>0</v>
      </c>
      <c r="N47" s="155">
        <v>0</v>
      </c>
      <c r="O47" s="158">
        <v>0</v>
      </c>
      <c r="P47" s="155">
        <v>0</v>
      </c>
      <c r="Q47" s="158">
        <v>0</v>
      </c>
      <c r="R47" s="155">
        <v>0</v>
      </c>
      <c r="S47" s="158">
        <v>0</v>
      </c>
      <c r="T47" s="155">
        <v>0</v>
      </c>
      <c r="U47" s="157">
        <v>0</v>
      </c>
    </row>
    <row r="48" spans="1:21" x14ac:dyDescent="0.25">
      <c r="A48" s="149" t="s">
        <v>1263</v>
      </c>
      <c r="B48" s="150" t="s">
        <v>1264</v>
      </c>
      <c r="C48" s="150" t="s">
        <v>1265</v>
      </c>
      <c r="D48" s="151">
        <v>0</v>
      </c>
      <c r="E48" s="152">
        <v>0</v>
      </c>
      <c r="F48" s="151">
        <v>0</v>
      </c>
      <c r="G48" s="152">
        <v>0</v>
      </c>
      <c r="H48" s="151">
        <v>0</v>
      </c>
      <c r="I48" s="152">
        <v>0</v>
      </c>
      <c r="J48" s="151">
        <v>0</v>
      </c>
      <c r="K48" s="152">
        <v>0</v>
      </c>
      <c r="L48" s="151">
        <v>0</v>
      </c>
      <c r="M48" s="152">
        <v>0</v>
      </c>
      <c r="N48" s="151">
        <v>0</v>
      </c>
      <c r="O48" s="152">
        <v>0</v>
      </c>
      <c r="P48" s="151">
        <v>0</v>
      </c>
      <c r="Q48" s="152">
        <v>0</v>
      </c>
      <c r="R48" s="151">
        <v>0</v>
      </c>
      <c r="S48" s="152">
        <v>0</v>
      </c>
      <c r="T48" s="151">
        <v>0</v>
      </c>
      <c r="U48" s="153">
        <v>0</v>
      </c>
    </row>
    <row r="49" spans="1:21" x14ac:dyDescent="0.25">
      <c r="A49" s="21" t="s">
        <v>1266</v>
      </c>
      <c r="B49" s="154" t="s">
        <v>1267</v>
      </c>
      <c r="C49" s="154" t="s">
        <v>1268</v>
      </c>
      <c r="D49" s="155">
        <v>0</v>
      </c>
      <c r="E49" s="158">
        <v>0</v>
      </c>
      <c r="F49" s="155">
        <v>0</v>
      </c>
      <c r="G49" s="158">
        <v>0</v>
      </c>
      <c r="H49" s="155">
        <v>0</v>
      </c>
      <c r="I49" s="158">
        <v>0</v>
      </c>
      <c r="J49" s="155">
        <v>0</v>
      </c>
      <c r="K49" s="158">
        <v>0</v>
      </c>
      <c r="L49" s="155">
        <v>0</v>
      </c>
      <c r="M49" s="158">
        <v>0</v>
      </c>
      <c r="N49" s="155">
        <v>0</v>
      </c>
      <c r="O49" s="158">
        <v>0</v>
      </c>
      <c r="P49" s="155">
        <v>0</v>
      </c>
      <c r="Q49" s="158">
        <v>0</v>
      </c>
      <c r="R49" s="155">
        <v>0</v>
      </c>
      <c r="S49" s="158">
        <v>0</v>
      </c>
      <c r="T49" s="155">
        <v>0</v>
      </c>
      <c r="U49" s="157">
        <v>0</v>
      </c>
    </row>
    <row r="50" spans="1:21" x14ac:dyDescent="0.25">
      <c r="A50" s="149" t="s">
        <v>1269</v>
      </c>
      <c r="B50" s="150" t="s">
        <v>1270</v>
      </c>
      <c r="C50" s="150" t="s">
        <v>1271</v>
      </c>
      <c r="D50" s="151">
        <v>0</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row>
    <row r="51" spans="1:21" x14ac:dyDescent="0.25">
      <c r="A51" s="21" t="s">
        <v>1272</v>
      </c>
      <c r="B51" s="154" t="s">
        <v>1273</v>
      </c>
      <c r="C51" s="154" t="s">
        <v>1274</v>
      </c>
      <c r="D51" s="155">
        <v>0</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row>
    <row r="52" spans="1:21" x14ac:dyDescent="0.25">
      <c r="A52" s="149" t="s">
        <v>1275</v>
      </c>
      <c r="B52" s="150" t="s">
        <v>1276</v>
      </c>
      <c r="C52" s="150" t="s">
        <v>1277</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row>
    <row r="53" spans="1:21" x14ac:dyDescent="0.25">
      <c r="A53" s="21" t="s">
        <v>1278</v>
      </c>
      <c r="B53" s="154" t="s">
        <v>1279</v>
      </c>
      <c r="C53" s="154" t="s">
        <v>1280</v>
      </c>
      <c r="D53" s="155">
        <v>0</v>
      </c>
      <c r="E53" s="158">
        <v>0</v>
      </c>
      <c r="F53" s="155">
        <v>0</v>
      </c>
      <c r="G53" s="158">
        <v>0</v>
      </c>
      <c r="H53" s="155">
        <v>0</v>
      </c>
      <c r="I53" s="158">
        <v>0</v>
      </c>
      <c r="J53" s="155">
        <v>0</v>
      </c>
      <c r="K53" s="158">
        <v>0</v>
      </c>
      <c r="L53" s="155">
        <v>0</v>
      </c>
      <c r="M53" s="158">
        <v>0</v>
      </c>
      <c r="N53" s="155">
        <v>0</v>
      </c>
      <c r="O53" s="158">
        <v>0</v>
      </c>
      <c r="P53" s="155">
        <v>0</v>
      </c>
      <c r="Q53" s="158">
        <v>0</v>
      </c>
      <c r="R53" s="155">
        <v>0</v>
      </c>
      <c r="S53" s="158">
        <v>0</v>
      </c>
      <c r="T53" s="155">
        <v>0</v>
      </c>
      <c r="U53" s="157">
        <v>0</v>
      </c>
    </row>
    <row r="54" spans="1:21" x14ac:dyDescent="0.25">
      <c r="A54" s="149" t="s">
        <v>1281</v>
      </c>
      <c r="B54" s="150" t="s">
        <v>1282</v>
      </c>
      <c r="C54" s="150" t="s">
        <v>1283</v>
      </c>
      <c r="D54" s="151">
        <v>0</v>
      </c>
      <c r="E54" s="152">
        <v>0</v>
      </c>
      <c r="F54" s="151">
        <v>0</v>
      </c>
      <c r="G54" s="152">
        <v>0</v>
      </c>
      <c r="H54" s="151">
        <v>0</v>
      </c>
      <c r="I54" s="152">
        <v>0</v>
      </c>
      <c r="J54" s="151">
        <v>0</v>
      </c>
      <c r="K54" s="152">
        <v>0</v>
      </c>
      <c r="L54" s="151">
        <v>0</v>
      </c>
      <c r="M54" s="152">
        <v>0</v>
      </c>
      <c r="N54" s="151">
        <v>0</v>
      </c>
      <c r="O54" s="152">
        <v>0</v>
      </c>
      <c r="P54" s="151">
        <v>0</v>
      </c>
      <c r="Q54" s="152">
        <v>0</v>
      </c>
      <c r="R54" s="151">
        <v>0</v>
      </c>
      <c r="S54" s="152">
        <v>0</v>
      </c>
      <c r="T54" s="151">
        <v>0</v>
      </c>
      <c r="U54" s="153">
        <v>0</v>
      </c>
    </row>
    <row r="55" spans="1:21" x14ac:dyDescent="0.25">
      <c r="A55" s="21" t="s">
        <v>1284</v>
      </c>
      <c r="B55" s="154" t="s">
        <v>1285</v>
      </c>
      <c r="C55" s="154" t="s">
        <v>1286</v>
      </c>
      <c r="D55" s="155">
        <v>0</v>
      </c>
      <c r="E55" s="158">
        <v>0</v>
      </c>
      <c r="F55" s="155">
        <v>0</v>
      </c>
      <c r="G55" s="158">
        <v>0</v>
      </c>
      <c r="H55" s="155">
        <v>0</v>
      </c>
      <c r="I55" s="158">
        <v>0</v>
      </c>
      <c r="J55" s="155">
        <v>0</v>
      </c>
      <c r="K55" s="158">
        <v>0</v>
      </c>
      <c r="L55" s="155">
        <v>0</v>
      </c>
      <c r="M55" s="158">
        <v>0</v>
      </c>
      <c r="N55" s="155">
        <v>0</v>
      </c>
      <c r="O55" s="158">
        <v>0</v>
      </c>
      <c r="P55" s="155">
        <v>0</v>
      </c>
      <c r="Q55" s="158">
        <v>0</v>
      </c>
      <c r="R55" s="155">
        <v>0</v>
      </c>
      <c r="S55" s="158">
        <v>0</v>
      </c>
      <c r="T55" s="155">
        <v>0</v>
      </c>
      <c r="U55" s="157">
        <v>0</v>
      </c>
    </row>
    <row r="56" spans="1:21" x14ac:dyDescent="0.25">
      <c r="A56" s="149" t="s">
        <v>1194</v>
      </c>
      <c r="B56" s="150" t="s">
        <v>1287</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row>
    <row r="57" spans="1:21" x14ac:dyDescent="0.25">
      <c r="A57" s="21" t="s">
        <v>1288</v>
      </c>
      <c r="B57" s="154" t="s">
        <v>1289</v>
      </c>
      <c r="C57" s="154" t="s">
        <v>1290</v>
      </c>
      <c r="D57" s="155">
        <v>0</v>
      </c>
      <c r="E57" s="158">
        <v>0</v>
      </c>
      <c r="F57" s="155">
        <v>0</v>
      </c>
      <c r="G57" s="158">
        <v>0</v>
      </c>
      <c r="H57" s="155">
        <v>0</v>
      </c>
      <c r="I57" s="158">
        <v>0</v>
      </c>
      <c r="J57" s="155">
        <v>0</v>
      </c>
      <c r="K57" s="158">
        <v>0</v>
      </c>
      <c r="L57" s="155">
        <v>0</v>
      </c>
      <c r="M57" s="158">
        <v>0</v>
      </c>
      <c r="N57" s="155">
        <v>0</v>
      </c>
      <c r="O57" s="158">
        <v>0</v>
      </c>
      <c r="P57" s="155">
        <v>0</v>
      </c>
      <c r="Q57" s="158">
        <v>0</v>
      </c>
      <c r="R57" s="155">
        <v>0</v>
      </c>
      <c r="S57" s="158">
        <v>0</v>
      </c>
      <c r="T57" s="155">
        <v>0</v>
      </c>
      <c r="U57" s="157">
        <v>0</v>
      </c>
    </row>
    <row r="58" spans="1:21" x14ac:dyDescent="0.25">
      <c r="A58" s="149" t="s">
        <v>1291</v>
      </c>
      <c r="B58" s="150" t="s">
        <v>1292</v>
      </c>
      <c r="C58" s="150" t="s">
        <v>1293</v>
      </c>
      <c r="D58" s="151">
        <v>0</v>
      </c>
      <c r="E58" s="152">
        <v>0</v>
      </c>
      <c r="F58" s="151">
        <v>0</v>
      </c>
      <c r="G58" s="152">
        <v>0</v>
      </c>
      <c r="H58" s="151">
        <v>0</v>
      </c>
      <c r="I58" s="152">
        <v>10.184720039367676</v>
      </c>
      <c r="J58" s="151">
        <v>0</v>
      </c>
      <c r="K58" s="152">
        <v>10.184720039367676</v>
      </c>
      <c r="L58" s="151">
        <v>0</v>
      </c>
      <c r="M58" s="152">
        <v>10.184720039367676</v>
      </c>
      <c r="N58" s="151">
        <v>0</v>
      </c>
      <c r="O58" s="152">
        <v>0</v>
      </c>
      <c r="P58" s="151">
        <v>0</v>
      </c>
      <c r="Q58" s="152">
        <v>0</v>
      </c>
      <c r="R58" s="151">
        <v>0</v>
      </c>
      <c r="S58" s="152">
        <v>0</v>
      </c>
      <c r="T58" s="151">
        <v>0</v>
      </c>
      <c r="U58" s="153">
        <v>0</v>
      </c>
    </row>
    <row r="59" spans="1:21" x14ac:dyDescent="0.25">
      <c r="A59" s="21" t="s">
        <v>1196</v>
      </c>
      <c r="B59" s="154" t="s">
        <v>1197</v>
      </c>
      <c r="C59" s="154" t="s">
        <v>59</v>
      </c>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row>
    <row r="60" spans="1:21" x14ac:dyDescent="0.25">
      <c r="A60" s="149" t="s">
        <v>565</v>
      </c>
      <c r="B60" s="150" t="s">
        <v>1198</v>
      </c>
      <c r="C60" s="150" t="s">
        <v>59</v>
      </c>
      <c r="D60" s="151">
        <v>0</v>
      </c>
      <c r="E60" s="152">
        <v>0</v>
      </c>
      <c r="F60" s="151">
        <v>0</v>
      </c>
      <c r="G60" s="152">
        <v>0</v>
      </c>
      <c r="H60" s="151">
        <v>0</v>
      </c>
      <c r="I60" s="152">
        <v>0</v>
      </c>
      <c r="J60" s="151">
        <v>0</v>
      </c>
      <c r="K60" s="152">
        <v>0</v>
      </c>
      <c r="L60" s="151">
        <v>0</v>
      </c>
      <c r="M60" s="152">
        <v>0</v>
      </c>
      <c r="N60" s="151">
        <v>0</v>
      </c>
      <c r="O60" s="152">
        <v>0</v>
      </c>
      <c r="P60" s="151">
        <v>0</v>
      </c>
      <c r="Q60" s="152">
        <v>0</v>
      </c>
      <c r="R60" s="151">
        <v>0</v>
      </c>
      <c r="S60" s="152">
        <v>0</v>
      </c>
      <c r="T60" s="151">
        <v>0</v>
      </c>
      <c r="U60" s="153">
        <v>0</v>
      </c>
    </row>
    <row r="61" spans="1:21" x14ac:dyDescent="0.25">
      <c r="A61" s="21" t="s">
        <v>1199</v>
      </c>
      <c r="B61" s="154" t="s">
        <v>1200</v>
      </c>
      <c r="C61" s="154" t="s">
        <v>59</v>
      </c>
      <c r="D61" s="155">
        <v>0</v>
      </c>
      <c r="E61" s="158">
        <v>0</v>
      </c>
      <c r="F61" s="155">
        <v>0</v>
      </c>
      <c r="G61" s="158">
        <v>0</v>
      </c>
      <c r="H61" s="155">
        <v>0</v>
      </c>
      <c r="I61" s="158">
        <v>0</v>
      </c>
      <c r="J61" s="155">
        <v>0</v>
      </c>
      <c r="K61" s="158">
        <v>0</v>
      </c>
      <c r="L61" s="155">
        <v>0</v>
      </c>
      <c r="M61" s="158">
        <v>0</v>
      </c>
      <c r="N61" s="155">
        <v>0</v>
      </c>
      <c r="O61" s="158">
        <v>0</v>
      </c>
      <c r="P61" s="155">
        <v>0</v>
      </c>
      <c r="Q61" s="158">
        <v>0</v>
      </c>
      <c r="R61" s="155">
        <v>0</v>
      </c>
      <c r="S61" s="158">
        <v>0</v>
      </c>
      <c r="T61" s="155">
        <v>0</v>
      </c>
      <c r="U61" s="157">
        <v>0</v>
      </c>
    </row>
    <row r="62" spans="1:21" x14ac:dyDescent="0.25">
      <c r="A62" s="149" t="s">
        <v>1194</v>
      </c>
      <c r="B62" s="150" t="s">
        <v>1195</v>
      </c>
      <c r="C62" s="150" t="s">
        <v>59</v>
      </c>
      <c r="D62" s="151">
        <v>0</v>
      </c>
      <c r="E62" s="152">
        <v>0</v>
      </c>
      <c r="F62" s="151">
        <v>0</v>
      </c>
      <c r="G62" s="152">
        <v>0</v>
      </c>
      <c r="H62" s="151">
        <v>0</v>
      </c>
      <c r="I62" s="152">
        <v>0</v>
      </c>
      <c r="J62" s="151">
        <v>0</v>
      </c>
      <c r="K62" s="152">
        <v>0</v>
      </c>
      <c r="L62" s="151">
        <v>0</v>
      </c>
      <c r="M62" s="152">
        <v>0</v>
      </c>
      <c r="N62" s="151">
        <v>0</v>
      </c>
      <c r="O62" s="152">
        <v>0</v>
      </c>
      <c r="P62" s="151">
        <v>0</v>
      </c>
      <c r="Q62" s="152">
        <v>0</v>
      </c>
      <c r="R62" s="151">
        <v>0</v>
      </c>
      <c r="S62" s="152">
        <v>0</v>
      </c>
      <c r="T62" s="151">
        <v>0</v>
      </c>
      <c r="U62" s="153">
        <v>0</v>
      </c>
    </row>
    <row r="63" spans="1:21" x14ac:dyDescent="0.25">
      <c r="A63" s="21" t="s">
        <v>1297</v>
      </c>
      <c r="B63" s="154" t="s">
        <v>1298</v>
      </c>
      <c r="C63" s="154" t="s">
        <v>1299</v>
      </c>
      <c r="D63" s="155">
        <v>0</v>
      </c>
      <c r="E63" s="158">
        <v>0</v>
      </c>
      <c r="F63" s="155">
        <v>0</v>
      </c>
      <c r="G63" s="158">
        <v>0</v>
      </c>
      <c r="H63" s="155">
        <v>0</v>
      </c>
      <c r="I63" s="158">
        <v>0</v>
      </c>
      <c r="J63" s="155">
        <v>0</v>
      </c>
      <c r="K63" s="158">
        <v>0</v>
      </c>
      <c r="L63" s="155">
        <v>0</v>
      </c>
      <c r="M63" s="158">
        <v>0</v>
      </c>
      <c r="N63" s="155">
        <v>0</v>
      </c>
      <c r="O63" s="158">
        <v>0</v>
      </c>
      <c r="P63" s="155">
        <v>0</v>
      </c>
      <c r="Q63" s="158">
        <v>0</v>
      </c>
      <c r="R63" s="155">
        <v>0</v>
      </c>
      <c r="S63" s="158">
        <v>0</v>
      </c>
      <c r="T63" s="155">
        <v>0</v>
      </c>
      <c r="U63" s="157">
        <v>0</v>
      </c>
    </row>
    <row r="64" spans="1:21" x14ac:dyDescent="0.25">
      <c r="A64" s="149" t="s">
        <v>1157</v>
      </c>
      <c r="B64" s="150" t="s">
        <v>1300</v>
      </c>
      <c r="C64" s="150" t="s">
        <v>1158</v>
      </c>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row>
    <row r="65" spans="1:21" x14ac:dyDescent="0.25">
      <c r="A65" s="21" t="s">
        <v>1196</v>
      </c>
      <c r="B65" s="154" t="s">
        <v>1197</v>
      </c>
      <c r="C65" s="154" t="s">
        <v>59</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row>
    <row r="66" spans="1:21" x14ac:dyDescent="0.25">
      <c r="A66" s="149" t="s">
        <v>565</v>
      </c>
      <c r="B66" s="150" t="s">
        <v>1198</v>
      </c>
      <c r="C66" s="150" t="s">
        <v>59</v>
      </c>
      <c r="D66" s="151">
        <v>0</v>
      </c>
      <c r="E66" s="152">
        <v>0</v>
      </c>
      <c r="F66" s="151">
        <v>0</v>
      </c>
      <c r="G66" s="152">
        <v>0</v>
      </c>
      <c r="H66" s="151">
        <v>0</v>
      </c>
      <c r="I66" s="152">
        <v>0</v>
      </c>
      <c r="J66" s="151">
        <v>0</v>
      </c>
      <c r="K66" s="152">
        <v>0</v>
      </c>
      <c r="L66" s="151">
        <v>0</v>
      </c>
      <c r="M66" s="152">
        <v>0</v>
      </c>
      <c r="N66" s="151">
        <v>0</v>
      </c>
      <c r="O66" s="152">
        <v>0</v>
      </c>
      <c r="P66" s="151">
        <v>0</v>
      </c>
      <c r="Q66" s="152">
        <v>0</v>
      </c>
      <c r="R66" s="151">
        <v>0</v>
      </c>
      <c r="S66" s="152">
        <v>0</v>
      </c>
      <c r="T66" s="151">
        <v>0</v>
      </c>
      <c r="U66" s="153">
        <v>0</v>
      </c>
    </row>
    <row r="67" spans="1:21" x14ac:dyDescent="0.25">
      <c r="A67" s="21" t="s">
        <v>1199</v>
      </c>
      <c r="B67" s="154" t="s">
        <v>1200</v>
      </c>
      <c r="C67" s="154" t="s">
        <v>59</v>
      </c>
      <c r="D67" s="155">
        <v>0</v>
      </c>
      <c r="E67" s="158">
        <v>0</v>
      </c>
      <c r="F67" s="155">
        <v>0</v>
      </c>
      <c r="G67" s="158">
        <v>0</v>
      </c>
      <c r="H67" s="155">
        <v>0</v>
      </c>
      <c r="I67" s="158">
        <v>0</v>
      </c>
      <c r="J67" s="155">
        <v>0</v>
      </c>
      <c r="K67" s="158">
        <v>0</v>
      </c>
      <c r="L67" s="155">
        <v>0</v>
      </c>
      <c r="M67" s="158">
        <v>0</v>
      </c>
      <c r="N67" s="155">
        <v>0</v>
      </c>
      <c r="O67" s="158">
        <v>0</v>
      </c>
      <c r="P67" s="155">
        <v>0</v>
      </c>
      <c r="Q67" s="158">
        <v>0</v>
      </c>
      <c r="R67" s="155">
        <v>0</v>
      </c>
      <c r="S67" s="158">
        <v>0</v>
      </c>
      <c r="T67" s="155">
        <v>0</v>
      </c>
      <c r="U67" s="157">
        <v>0</v>
      </c>
    </row>
    <row r="68" spans="1:21" x14ac:dyDescent="0.25">
      <c r="A68" s="149" t="s">
        <v>1194</v>
      </c>
      <c r="B68" s="150" t="s">
        <v>1307</v>
      </c>
      <c r="C68" s="150" t="s">
        <v>59</v>
      </c>
      <c r="D68" s="151">
        <v>0</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row>
    <row r="69" spans="1:21" x14ac:dyDescent="0.25">
      <c r="A69" s="21" t="s">
        <v>1196</v>
      </c>
      <c r="B69" s="154" t="s">
        <v>1197</v>
      </c>
      <c r="C69" s="154" t="s">
        <v>59</v>
      </c>
      <c r="D69" s="155">
        <v>0</v>
      </c>
      <c r="E69" s="158">
        <v>0</v>
      </c>
      <c r="F69" s="155">
        <v>0</v>
      </c>
      <c r="G69" s="158">
        <v>0</v>
      </c>
      <c r="H69" s="155">
        <v>0</v>
      </c>
      <c r="I69" s="158">
        <v>0</v>
      </c>
      <c r="J69" s="155">
        <v>0</v>
      </c>
      <c r="K69" s="158">
        <v>0</v>
      </c>
      <c r="L69" s="155">
        <v>0</v>
      </c>
      <c r="M69" s="158">
        <v>0</v>
      </c>
      <c r="N69" s="155">
        <v>0</v>
      </c>
      <c r="O69" s="158">
        <v>0</v>
      </c>
      <c r="P69" s="155">
        <v>0</v>
      </c>
      <c r="Q69" s="158">
        <v>0</v>
      </c>
      <c r="R69" s="155">
        <v>0</v>
      </c>
      <c r="S69" s="158">
        <v>0</v>
      </c>
      <c r="T69" s="155">
        <v>0</v>
      </c>
      <c r="U69" s="157">
        <v>0</v>
      </c>
    </row>
    <row r="70" spans="1:21" x14ac:dyDescent="0.25">
      <c r="A70" s="149" t="s">
        <v>565</v>
      </c>
      <c r="B70" s="150" t="s">
        <v>1198</v>
      </c>
      <c r="C70" s="150" t="s">
        <v>59</v>
      </c>
      <c r="D70" s="151">
        <v>0</v>
      </c>
      <c r="E70" s="152">
        <v>0</v>
      </c>
      <c r="F70" s="151">
        <v>0</v>
      </c>
      <c r="G70" s="152">
        <v>0</v>
      </c>
      <c r="H70" s="151">
        <v>0</v>
      </c>
      <c r="I70" s="152">
        <v>0</v>
      </c>
      <c r="J70" s="151">
        <v>0</v>
      </c>
      <c r="K70" s="152">
        <v>0</v>
      </c>
      <c r="L70" s="151">
        <v>0</v>
      </c>
      <c r="M70" s="152">
        <v>0</v>
      </c>
      <c r="N70" s="151">
        <v>0</v>
      </c>
      <c r="O70" s="152">
        <v>0</v>
      </c>
      <c r="P70" s="151">
        <v>0</v>
      </c>
      <c r="Q70" s="152">
        <v>0</v>
      </c>
      <c r="R70" s="151">
        <v>0</v>
      </c>
      <c r="S70" s="152">
        <v>0</v>
      </c>
      <c r="T70" s="151">
        <v>0</v>
      </c>
      <c r="U70" s="153">
        <v>0</v>
      </c>
    </row>
    <row r="71" spans="1:21" x14ac:dyDescent="0.25">
      <c r="A71" s="21" t="s">
        <v>1199</v>
      </c>
      <c r="B71" s="154" t="s">
        <v>1200</v>
      </c>
      <c r="C71" s="154" t="s">
        <v>59</v>
      </c>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row>
    <row r="72" spans="1:21" x14ac:dyDescent="0.25">
      <c r="A72" s="149" t="s">
        <v>1194</v>
      </c>
      <c r="B72" s="150" t="s">
        <v>1315</v>
      </c>
      <c r="C72" s="150" t="s">
        <v>59</v>
      </c>
      <c r="D72" s="151">
        <v>0</v>
      </c>
      <c r="E72" s="152">
        <v>0</v>
      </c>
      <c r="F72" s="151">
        <v>0</v>
      </c>
      <c r="G72" s="152">
        <v>0</v>
      </c>
      <c r="H72" s="151">
        <v>0</v>
      </c>
      <c r="I72" s="152">
        <v>0</v>
      </c>
      <c r="J72" s="151">
        <v>0</v>
      </c>
      <c r="K72" s="152">
        <v>0</v>
      </c>
      <c r="L72" s="151">
        <v>0</v>
      </c>
      <c r="M72" s="152">
        <v>0</v>
      </c>
      <c r="N72" s="151">
        <v>0</v>
      </c>
      <c r="O72" s="152">
        <v>0</v>
      </c>
      <c r="P72" s="151">
        <v>0</v>
      </c>
      <c r="Q72" s="152">
        <v>0</v>
      </c>
      <c r="R72" s="151">
        <v>0</v>
      </c>
      <c r="S72" s="152">
        <v>0</v>
      </c>
      <c r="T72" s="151">
        <v>0</v>
      </c>
      <c r="U72" s="153">
        <v>0</v>
      </c>
    </row>
    <row r="73" spans="1:21" x14ac:dyDescent="0.25">
      <c r="A73" s="21" t="s">
        <v>1196</v>
      </c>
      <c r="B73" s="154" t="s">
        <v>1197</v>
      </c>
      <c r="C73" s="154" t="s">
        <v>59</v>
      </c>
      <c r="D73" s="155">
        <v>0</v>
      </c>
      <c r="E73" s="158">
        <v>0</v>
      </c>
      <c r="F73" s="155">
        <v>0</v>
      </c>
      <c r="G73" s="158">
        <v>0</v>
      </c>
      <c r="H73" s="155">
        <v>0</v>
      </c>
      <c r="I73" s="158">
        <v>0</v>
      </c>
      <c r="J73" s="155">
        <v>0</v>
      </c>
      <c r="K73" s="158">
        <v>0</v>
      </c>
      <c r="L73" s="155">
        <v>0</v>
      </c>
      <c r="M73" s="158">
        <v>0</v>
      </c>
      <c r="N73" s="155">
        <v>0</v>
      </c>
      <c r="O73" s="158">
        <v>0</v>
      </c>
      <c r="P73" s="155">
        <v>0</v>
      </c>
      <c r="Q73" s="158">
        <v>0</v>
      </c>
      <c r="R73" s="155">
        <v>0</v>
      </c>
      <c r="S73" s="158">
        <v>0</v>
      </c>
      <c r="T73" s="155">
        <v>0</v>
      </c>
      <c r="U73" s="157">
        <v>0</v>
      </c>
    </row>
    <row r="74" spans="1:21" x14ac:dyDescent="0.25">
      <c r="A74" s="149" t="s">
        <v>565</v>
      </c>
      <c r="B74" s="150" t="s">
        <v>1316</v>
      </c>
      <c r="C74" s="150" t="s">
        <v>59</v>
      </c>
      <c r="D74" s="151">
        <v>0</v>
      </c>
      <c r="E74" s="152">
        <v>0</v>
      </c>
      <c r="F74" s="151">
        <v>0</v>
      </c>
      <c r="G74" s="152">
        <v>0</v>
      </c>
      <c r="H74" s="151">
        <v>0</v>
      </c>
      <c r="I74" s="152">
        <v>0</v>
      </c>
      <c r="J74" s="151">
        <v>0</v>
      </c>
      <c r="K74" s="152">
        <v>0</v>
      </c>
      <c r="L74" s="151">
        <v>0</v>
      </c>
      <c r="M74" s="152">
        <v>0</v>
      </c>
      <c r="N74" s="151">
        <v>0</v>
      </c>
      <c r="O74" s="152">
        <v>0</v>
      </c>
      <c r="P74" s="151">
        <v>0</v>
      </c>
      <c r="Q74" s="152">
        <v>0</v>
      </c>
      <c r="R74" s="151">
        <v>0</v>
      </c>
      <c r="S74" s="152">
        <v>0</v>
      </c>
      <c r="T74" s="151">
        <v>0</v>
      </c>
      <c r="U74" s="153">
        <v>0</v>
      </c>
    </row>
    <row r="75" spans="1:21" x14ac:dyDescent="0.25">
      <c r="A75" s="21" t="s">
        <v>1199</v>
      </c>
      <c r="B75" s="154" t="s">
        <v>1200</v>
      </c>
      <c r="C75" s="154" t="s">
        <v>59</v>
      </c>
      <c r="D75" s="155">
        <v>0</v>
      </c>
      <c r="E75" s="158">
        <v>0</v>
      </c>
      <c r="F75" s="155">
        <v>0</v>
      </c>
      <c r="G75" s="158">
        <v>0</v>
      </c>
      <c r="H75" s="155">
        <v>0</v>
      </c>
      <c r="I75" s="158">
        <v>0</v>
      </c>
      <c r="J75" s="155">
        <v>0</v>
      </c>
      <c r="K75" s="158">
        <v>0</v>
      </c>
      <c r="L75" s="155">
        <v>0</v>
      </c>
      <c r="M75" s="158">
        <v>0</v>
      </c>
      <c r="N75" s="155">
        <v>0</v>
      </c>
      <c r="O75" s="158">
        <v>0</v>
      </c>
      <c r="P75" s="155">
        <v>0</v>
      </c>
      <c r="Q75" s="158">
        <v>0</v>
      </c>
      <c r="R75" s="155">
        <v>0</v>
      </c>
      <c r="S75" s="158">
        <v>0</v>
      </c>
      <c r="T75" s="155">
        <v>0</v>
      </c>
      <c r="U75" s="157">
        <v>0</v>
      </c>
    </row>
    <row r="76" spans="1:21" x14ac:dyDescent="0.25">
      <c r="A76" s="149" t="s">
        <v>711</v>
      </c>
      <c r="B76" s="150" t="s">
        <v>1320</v>
      </c>
      <c r="C76" s="150" t="s">
        <v>1321</v>
      </c>
      <c r="D76" s="151">
        <v>0</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row>
    <row r="77" spans="1:21" x14ac:dyDescent="0.25">
      <c r="A77" s="21" t="s">
        <v>1194</v>
      </c>
      <c r="B77" s="154" t="s">
        <v>1322</v>
      </c>
      <c r="C77" s="154" t="s">
        <v>59</v>
      </c>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row>
    <row r="78" spans="1:21" x14ac:dyDescent="0.25">
      <c r="A78" s="149" t="s">
        <v>1196</v>
      </c>
      <c r="B78" s="150" t="s">
        <v>1197</v>
      </c>
      <c r="C78" s="150" t="s">
        <v>59</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row>
    <row r="79" spans="1:21" x14ac:dyDescent="0.25">
      <c r="A79" s="21" t="s">
        <v>565</v>
      </c>
      <c r="B79" s="154" t="s">
        <v>1323</v>
      </c>
      <c r="C79" s="154" t="s">
        <v>59</v>
      </c>
      <c r="D79" s="155">
        <v>0</v>
      </c>
      <c r="E79" s="158">
        <v>0</v>
      </c>
      <c r="F79" s="155">
        <v>0</v>
      </c>
      <c r="G79" s="158">
        <v>0</v>
      </c>
      <c r="H79" s="155">
        <v>0</v>
      </c>
      <c r="I79" s="158">
        <v>0</v>
      </c>
      <c r="J79" s="155">
        <v>0</v>
      </c>
      <c r="K79" s="158">
        <v>0</v>
      </c>
      <c r="L79" s="155">
        <v>0</v>
      </c>
      <c r="M79" s="158">
        <v>0</v>
      </c>
      <c r="N79" s="155">
        <v>0</v>
      </c>
      <c r="O79" s="158">
        <v>0</v>
      </c>
      <c r="P79" s="155">
        <v>0</v>
      </c>
      <c r="Q79" s="158">
        <v>0</v>
      </c>
      <c r="R79" s="155">
        <v>0</v>
      </c>
      <c r="S79" s="158">
        <v>0</v>
      </c>
      <c r="T79" s="155">
        <v>0</v>
      </c>
      <c r="U79" s="157">
        <v>0</v>
      </c>
    </row>
    <row r="80" spans="1:21" x14ac:dyDescent="0.25">
      <c r="A80" s="149" t="s">
        <v>1199</v>
      </c>
      <c r="B80" s="150" t="s">
        <v>1200</v>
      </c>
      <c r="C80" s="150" t="s">
        <v>59</v>
      </c>
      <c r="D80" s="151">
        <v>0</v>
      </c>
      <c r="E80" s="152">
        <v>0</v>
      </c>
      <c r="F80" s="151">
        <v>0</v>
      </c>
      <c r="G80" s="152">
        <v>0</v>
      </c>
      <c r="H80" s="151">
        <v>0</v>
      </c>
      <c r="I80" s="152">
        <v>0</v>
      </c>
      <c r="J80" s="151">
        <v>0</v>
      </c>
      <c r="K80" s="152">
        <v>0</v>
      </c>
      <c r="L80" s="151">
        <v>0</v>
      </c>
      <c r="M80" s="152">
        <v>0</v>
      </c>
      <c r="N80" s="151">
        <v>0</v>
      </c>
      <c r="O80" s="152">
        <v>0</v>
      </c>
      <c r="P80" s="151">
        <v>0</v>
      </c>
      <c r="Q80" s="152">
        <v>0</v>
      </c>
      <c r="R80" s="151">
        <v>0</v>
      </c>
      <c r="S80" s="152">
        <v>0</v>
      </c>
      <c r="T80" s="151">
        <v>0</v>
      </c>
      <c r="U80" s="153">
        <v>0</v>
      </c>
    </row>
    <row r="81" spans="1:21" x14ac:dyDescent="0.25">
      <c r="A81" s="21" t="s">
        <v>1136</v>
      </c>
      <c r="B81" s="154" t="s">
        <v>1210</v>
      </c>
      <c r="C81" s="154" t="s">
        <v>1324</v>
      </c>
      <c r="D81" s="155">
        <v>0</v>
      </c>
      <c r="E81" s="158">
        <v>0</v>
      </c>
      <c r="F81" s="155">
        <v>0</v>
      </c>
      <c r="G81" s="158">
        <v>479</v>
      </c>
      <c r="H81" s="155">
        <v>0</v>
      </c>
      <c r="I81" s="158">
        <v>0</v>
      </c>
      <c r="J81" s="155">
        <v>0</v>
      </c>
      <c r="K81" s="158">
        <v>0</v>
      </c>
      <c r="L81" s="155">
        <v>479.32675170898437</v>
      </c>
      <c r="M81" s="158">
        <v>479.32675170898437</v>
      </c>
      <c r="N81" s="155">
        <v>0</v>
      </c>
      <c r="O81" s="158">
        <v>0</v>
      </c>
      <c r="P81" s="155">
        <v>0</v>
      </c>
      <c r="Q81" s="158">
        <v>0</v>
      </c>
      <c r="R81" s="155">
        <v>0</v>
      </c>
      <c r="S81" s="158">
        <v>0</v>
      </c>
      <c r="T81" s="155">
        <v>0</v>
      </c>
      <c r="U81" s="157">
        <v>0</v>
      </c>
    </row>
    <row r="82" spans="1:21" x14ac:dyDescent="0.25">
      <c r="A82" s="149" t="s">
        <v>1177</v>
      </c>
      <c r="B82" s="150" t="s">
        <v>1179</v>
      </c>
      <c r="C82" s="150" t="s">
        <v>1178</v>
      </c>
      <c r="D82" s="151">
        <v>0</v>
      </c>
      <c r="E82" s="152">
        <v>0</v>
      </c>
      <c r="F82" s="151">
        <v>0</v>
      </c>
      <c r="G82" s="152">
        <v>0</v>
      </c>
      <c r="H82" s="151">
        <v>0</v>
      </c>
      <c r="I82" s="152">
        <v>0</v>
      </c>
      <c r="J82" s="151">
        <v>0</v>
      </c>
      <c r="K82" s="152">
        <v>0</v>
      </c>
      <c r="L82" s="151">
        <v>0</v>
      </c>
      <c r="M82" s="152">
        <v>0</v>
      </c>
      <c r="N82" s="151">
        <v>0</v>
      </c>
      <c r="O82" s="152">
        <v>0</v>
      </c>
      <c r="P82" s="151">
        <v>0</v>
      </c>
      <c r="Q82" s="152">
        <v>0</v>
      </c>
      <c r="R82" s="151">
        <v>0</v>
      </c>
      <c r="S82" s="152">
        <v>0</v>
      </c>
      <c r="T82" s="151">
        <v>0</v>
      </c>
      <c r="U82" s="153">
        <v>0</v>
      </c>
    </row>
    <row r="83" spans="1:21" x14ac:dyDescent="0.25">
      <c r="A83" s="21" t="s">
        <v>1185</v>
      </c>
      <c r="B83" s="154" t="s">
        <v>1187</v>
      </c>
      <c r="C83" s="154" t="s">
        <v>1186</v>
      </c>
      <c r="D83" s="155">
        <v>0</v>
      </c>
      <c r="E83" s="158">
        <v>0</v>
      </c>
      <c r="F83" s="155">
        <v>0</v>
      </c>
      <c r="G83" s="158">
        <v>0</v>
      </c>
      <c r="H83" s="155">
        <v>0</v>
      </c>
      <c r="I83" s="158">
        <v>0</v>
      </c>
      <c r="J83" s="155">
        <v>0</v>
      </c>
      <c r="K83" s="158">
        <v>0</v>
      </c>
      <c r="L83" s="155">
        <v>0</v>
      </c>
      <c r="M83" s="158">
        <v>0</v>
      </c>
      <c r="N83" s="155">
        <v>0</v>
      </c>
      <c r="O83" s="158">
        <v>0</v>
      </c>
      <c r="P83" s="155">
        <v>0</v>
      </c>
      <c r="Q83" s="158">
        <v>0</v>
      </c>
      <c r="R83" s="155">
        <v>0</v>
      </c>
      <c r="S83" s="158">
        <v>0</v>
      </c>
      <c r="T83" s="155">
        <v>0</v>
      </c>
      <c r="U83" s="157">
        <v>0</v>
      </c>
    </row>
    <row r="84" spans="1:21" x14ac:dyDescent="0.25">
      <c r="A84" s="149" t="s">
        <v>1181</v>
      </c>
      <c r="B84" s="150" t="s">
        <v>1183</v>
      </c>
      <c r="C84" s="150" t="s">
        <v>1182</v>
      </c>
      <c r="D84" s="151">
        <v>0</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row>
    <row r="85" spans="1:21" x14ac:dyDescent="0.25">
      <c r="A85" s="21" t="s">
        <v>758</v>
      </c>
      <c r="B85" s="154" t="s">
        <v>1325</v>
      </c>
      <c r="C85" s="154" t="s">
        <v>1326</v>
      </c>
      <c r="D85" s="155">
        <v>0</v>
      </c>
      <c r="E85" s="158">
        <v>0</v>
      </c>
      <c r="F85" s="155">
        <v>0</v>
      </c>
      <c r="G85" s="158">
        <v>7</v>
      </c>
      <c r="H85" s="155">
        <v>0</v>
      </c>
      <c r="I85" s="158">
        <v>0</v>
      </c>
      <c r="J85" s="155">
        <v>0</v>
      </c>
      <c r="K85" s="158">
        <v>0</v>
      </c>
      <c r="L85" s="155">
        <v>0</v>
      </c>
      <c r="M85" s="158">
        <v>0</v>
      </c>
      <c r="N85" s="155">
        <v>0</v>
      </c>
      <c r="O85" s="158">
        <v>0</v>
      </c>
      <c r="P85" s="155">
        <v>0</v>
      </c>
      <c r="Q85" s="158">
        <v>0</v>
      </c>
      <c r="R85" s="155">
        <v>0</v>
      </c>
      <c r="S85" s="158">
        <v>0</v>
      </c>
      <c r="T85" s="155">
        <v>0</v>
      </c>
      <c r="U85" s="157">
        <v>0</v>
      </c>
    </row>
    <row r="86" spans="1:21" x14ac:dyDescent="0.25">
      <c r="A86" s="149" t="s">
        <v>1327</v>
      </c>
      <c r="B86" s="150" t="s">
        <v>1328</v>
      </c>
      <c r="C86" s="150" t="s">
        <v>1329</v>
      </c>
      <c r="D86" s="151">
        <v>0</v>
      </c>
      <c r="E86" s="152">
        <v>0</v>
      </c>
      <c r="F86" s="151">
        <v>0</v>
      </c>
      <c r="G86" s="152">
        <v>0</v>
      </c>
      <c r="H86" s="151">
        <v>0</v>
      </c>
      <c r="I86" s="152">
        <v>0</v>
      </c>
      <c r="J86" s="151">
        <v>0</v>
      </c>
      <c r="K86" s="152">
        <v>0</v>
      </c>
      <c r="L86" s="151">
        <v>0</v>
      </c>
      <c r="M86" s="152">
        <v>0</v>
      </c>
      <c r="N86" s="151">
        <v>0</v>
      </c>
      <c r="O86" s="152">
        <v>0</v>
      </c>
      <c r="P86" s="151">
        <v>0</v>
      </c>
      <c r="Q86" s="152">
        <v>0</v>
      </c>
      <c r="R86" s="151">
        <v>0</v>
      </c>
      <c r="S86" s="152">
        <v>0</v>
      </c>
      <c r="T86" s="151">
        <v>0</v>
      </c>
      <c r="U86" s="153">
        <v>0</v>
      </c>
    </row>
    <row r="87" spans="1:21" x14ac:dyDescent="0.25">
      <c r="A87" s="21" t="s">
        <v>757</v>
      </c>
      <c r="B87" s="154" t="s">
        <v>341</v>
      </c>
      <c r="C87" s="154" t="s">
        <v>1330</v>
      </c>
      <c r="D87" s="155">
        <v>0</v>
      </c>
      <c r="E87" s="158">
        <v>0</v>
      </c>
      <c r="F87" s="155">
        <v>0</v>
      </c>
      <c r="G87" s="158">
        <v>1</v>
      </c>
      <c r="H87" s="155">
        <v>0</v>
      </c>
      <c r="I87" s="158">
        <v>0</v>
      </c>
      <c r="J87" s="155">
        <v>0</v>
      </c>
      <c r="K87" s="158">
        <v>0</v>
      </c>
      <c r="L87" s="155">
        <v>0</v>
      </c>
      <c r="M87" s="158">
        <v>0</v>
      </c>
      <c r="N87" s="155">
        <v>0</v>
      </c>
      <c r="O87" s="158">
        <v>0</v>
      </c>
      <c r="P87" s="155">
        <v>0</v>
      </c>
      <c r="Q87" s="158">
        <v>0</v>
      </c>
      <c r="R87" s="155">
        <v>0</v>
      </c>
      <c r="S87" s="158">
        <v>0</v>
      </c>
      <c r="T87" s="155">
        <v>0</v>
      </c>
      <c r="U87" s="157">
        <v>0</v>
      </c>
    </row>
    <row r="88" spans="1:21" x14ac:dyDescent="0.25">
      <c r="A88" s="149" t="s">
        <v>755</v>
      </c>
      <c r="B88" s="150" t="s">
        <v>1331</v>
      </c>
      <c r="C88" s="150" t="s">
        <v>1332</v>
      </c>
      <c r="D88" s="151">
        <v>0</v>
      </c>
      <c r="E88" s="152">
        <v>0</v>
      </c>
      <c r="F88" s="151">
        <v>0</v>
      </c>
      <c r="G88" s="152">
        <v>53</v>
      </c>
      <c r="H88" s="151">
        <v>0</v>
      </c>
      <c r="I88" s="152">
        <v>0</v>
      </c>
      <c r="J88" s="151">
        <v>0</v>
      </c>
      <c r="K88" s="152">
        <v>0</v>
      </c>
      <c r="L88" s="151">
        <v>0</v>
      </c>
      <c r="M88" s="152">
        <v>0</v>
      </c>
      <c r="N88" s="151">
        <v>0</v>
      </c>
      <c r="O88" s="152">
        <v>0</v>
      </c>
      <c r="P88" s="151">
        <v>0</v>
      </c>
      <c r="Q88" s="152">
        <v>0</v>
      </c>
      <c r="R88" s="151">
        <v>0</v>
      </c>
      <c r="S88" s="152">
        <v>0</v>
      </c>
      <c r="T88" s="151">
        <v>0</v>
      </c>
      <c r="U88" s="153">
        <v>0</v>
      </c>
    </row>
    <row r="89" spans="1:21" x14ac:dyDescent="0.25">
      <c r="A89" s="21" t="s">
        <v>1333</v>
      </c>
      <c r="B89" s="154" t="s">
        <v>1334</v>
      </c>
      <c r="C89" s="154" t="s">
        <v>1335</v>
      </c>
      <c r="D89" s="155">
        <v>0</v>
      </c>
      <c r="E89" s="158">
        <v>0</v>
      </c>
      <c r="F89" s="155">
        <v>0</v>
      </c>
      <c r="G89" s="158">
        <v>0</v>
      </c>
      <c r="H89" s="155">
        <v>0</v>
      </c>
      <c r="I89" s="158">
        <v>0</v>
      </c>
      <c r="J89" s="155">
        <v>0</v>
      </c>
      <c r="K89" s="158">
        <v>0</v>
      </c>
      <c r="L89" s="155">
        <v>0</v>
      </c>
      <c r="M89" s="158">
        <v>0</v>
      </c>
      <c r="N89" s="155">
        <v>0</v>
      </c>
      <c r="O89" s="158">
        <v>0</v>
      </c>
      <c r="P89" s="155">
        <v>0</v>
      </c>
      <c r="Q89" s="158">
        <v>0</v>
      </c>
      <c r="R89" s="155">
        <v>0</v>
      </c>
      <c r="S89" s="158">
        <v>0</v>
      </c>
      <c r="T89" s="155">
        <v>0</v>
      </c>
      <c r="U89" s="157">
        <v>0</v>
      </c>
    </row>
    <row r="90" spans="1:21" x14ac:dyDescent="0.25">
      <c r="A90" s="149" t="s">
        <v>1189</v>
      </c>
      <c r="B90" s="150" t="s">
        <v>1338</v>
      </c>
      <c r="C90" s="150" t="s">
        <v>1190</v>
      </c>
      <c r="D90" s="151">
        <v>0</v>
      </c>
      <c r="E90" s="152">
        <v>0</v>
      </c>
      <c r="F90" s="151">
        <v>0</v>
      </c>
      <c r="G90" s="152">
        <v>0</v>
      </c>
      <c r="H90" s="151">
        <v>0</v>
      </c>
      <c r="I90" s="152">
        <v>0</v>
      </c>
      <c r="J90" s="151">
        <v>0</v>
      </c>
      <c r="K90" s="152">
        <v>0</v>
      </c>
      <c r="L90" s="151">
        <v>0</v>
      </c>
      <c r="M90" s="152">
        <v>0</v>
      </c>
      <c r="N90" s="151">
        <v>0</v>
      </c>
      <c r="O90" s="152">
        <v>0</v>
      </c>
      <c r="P90" s="151">
        <v>0</v>
      </c>
      <c r="Q90" s="152">
        <v>0</v>
      </c>
      <c r="R90" s="151">
        <v>0</v>
      </c>
      <c r="S90" s="152">
        <v>0</v>
      </c>
      <c r="T90" s="151">
        <v>0</v>
      </c>
      <c r="U90" s="153">
        <v>0</v>
      </c>
    </row>
    <row r="91" spans="1:21" x14ac:dyDescent="0.25">
      <c r="A91" s="21" t="s">
        <v>564</v>
      </c>
      <c r="B91" s="154" t="s">
        <v>1341</v>
      </c>
      <c r="C91" s="154" t="s">
        <v>1342</v>
      </c>
      <c r="D91" s="155">
        <v>0</v>
      </c>
      <c r="E91" s="158">
        <v>0</v>
      </c>
      <c r="F91" s="155">
        <v>0</v>
      </c>
      <c r="G91" s="158">
        <v>0</v>
      </c>
      <c r="H91" s="155">
        <v>0</v>
      </c>
      <c r="I91" s="158">
        <v>0</v>
      </c>
      <c r="J91" s="155">
        <v>0</v>
      </c>
      <c r="K91" s="158">
        <v>0</v>
      </c>
      <c r="L91" s="155">
        <v>0</v>
      </c>
      <c r="M91" s="158">
        <v>0</v>
      </c>
      <c r="N91" s="155">
        <v>0</v>
      </c>
      <c r="O91" s="158">
        <v>0</v>
      </c>
      <c r="P91" s="155">
        <v>0</v>
      </c>
      <c r="Q91" s="158">
        <v>0</v>
      </c>
      <c r="R91" s="155">
        <v>0</v>
      </c>
      <c r="S91" s="158">
        <v>0</v>
      </c>
      <c r="T91" s="155">
        <v>0</v>
      </c>
      <c r="U91" s="157">
        <v>0</v>
      </c>
    </row>
    <row r="92" spans="1:21" x14ac:dyDescent="0.25">
      <c r="A92" s="149" t="s">
        <v>1347</v>
      </c>
      <c r="B92" s="150" t="s">
        <v>1348</v>
      </c>
      <c r="C92" s="150" t="s">
        <v>1349</v>
      </c>
      <c r="D92" s="151">
        <v>0</v>
      </c>
      <c r="E92" s="152">
        <v>0</v>
      </c>
      <c r="F92" s="151">
        <v>0</v>
      </c>
      <c r="G92" s="152">
        <v>0</v>
      </c>
      <c r="H92" s="151">
        <v>0</v>
      </c>
      <c r="I92" s="152">
        <v>0</v>
      </c>
      <c r="J92" s="151">
        <v>0</v>
      </c>
      <c r="K92" s="152">
        <v>0</v>
      </c>
      <c r="L92" s="151">
        <v>0</v>
      </c>
      <c r="M92" s="152">
        <v>0</v>
      </c>
      <c r="N92" s="151">
        <v>0</v>
      </c>
      <c r="O92" s="152">
        <v>0</v>
      </c>
      <c r="P92" s="151">
        <v>0</v>
      </c>
      <c r="Q92" s="152">
        <v>0</v>
      </c>
      <c r="R92" s="151">
        <v>0</v>
      </c>
      <c r="S92" s="152">
        <v>0</v>
      </c>
      <c r="T92" s="151">
        <v>0</v>
      </c>
      <c r="U92" s="153">
        <v>0</v>
      </c>
    </row>
    <row r="93" spans="1:21" x14ac:dyDescent="0.25">
      <c r="A93" s="21" t="s">
        <v>759</v>
      </c>
      <c r="B93" s="154" t="s">
        <v>347</v>
      </c>
      <c r="C93" s="154" t="s">
        <v>1353</v>
      </c>
      <c r="D93" s="155">
        <v>0</v>
      </c>
      <c r="E93" s="158">
        <v>0</v>
      </c>
      <c r="F93" s="155">
        <v>0</v>
      </c>
      <c r="G93" s="158">
        <v>29</v>
      </c>
      <c r="H93" s="155">
        <v>0</v>
      </c>
      <c r="I93" s="158">
        <v>28.523290634155273</v>
      </c>
      <c r="J93" s="155">
        <v>0</v>
      </c>
      <c r="K93" s="158">
        <v>28.523290634155273</v>
      </c>
      <c r="L93" s="155">
        <v>0</v>
      </c>
      <c r="M93" s="158">
        <v>28.523290634155273</v>
      </c>
      <c r="N93" s="155">
        <v>0</v>
      </c>
      <c r="O93" s="158">
        <v>0</v>
      </c>
      <c r="P93" s="155">
        <v>0</v>
      </c>
      <c r="Q93" s="158">
        <v>0</v>
      </c>
      <c r="R93" s="155">
        <v>0</v>
      </c>
      <c r="S93" s="158">
        <v>0</v>
      </c>
      <c r="T93" s="155">
        <v>0</v>
      </c>
      <c r="U93" s="157">
        <v>0</v>
      </c>
    </row>
    <row r="94" spans="1:21" x14ac:dyDescent="0.25">
      <c r="A94" s="149" t="s">
        <v>1357</v>
      </c>
      <c r="B94" s="150" t="s">
        <v>1358</v>
      </c>
      <c r="C94" s="150" t="s">
        <v>1359</v>
      </c>
      <c r="D94" s="151">
        <v>0</v>
      </c>
      <c r="E94" s="152">
        <v>0</v>
      </c>
      <c r="F94" s="151">
        <v>0</v>
      </c>
      <c r="G94" s="152">
        <v>0</v>
      </c>
      <c r="H94" s="151">
        <v>0</v>
      </c>
      <c r="I94" s="152">
        <v>0</v>
      </c>
      <c r="J94" s="151">
        <v>0</v>
      </c>
      <c r="K94" s="152">
        <v>0</v>
      </c>
      <c r="L94" s="151">
        <v>0</v>
      </c>
      <c r="M94" s="152">
        <v>0</v>
      </c>
      <c r="N94" s="151">
        <v>0</v>
      </c>
      <c r="O94" s="152">
        <v>0</v>
      </c>
      <c r="P94" s="151">
        <v>0</v>
      </c>
      <c r="Q94" s="152">
        <v>0</v>
      </c>
      <c r="R94" s="151">
        <v>0</v>
      </c>
      <c r="S94" s="152">
        <v>0</v>
      </c>
      <c r="T94" s="151">
        <v>0</v>
      </c>
      <c r="U94" s="153">
        <v>0</v>
      </c>
    </row>
    <row r="95" spans="1:21" x14ac:dyDescent="0.25">
      <c r="A95" s="21" t="s">
        <v>752</v>
      </c>
      <c r="B95" s="154" t="s">
        <v>329</v>
      </c>
      <c r="C95" s="154" t="s">
        <v>1360</v>
      </c>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row>
    <row r="96" spans="1:21" x14ac:dyDescent="0.25">
      <c r="A96" s="149" t="s">
        <v>763</v>
      </c>
      <c r="B96" s="150" t="s">
        <v>1361</v>
      </c>
      <c r="C96" s="150" t="s">
        <v>1362</v>
      </c>
      <c r="D96" s="151">
        <v>0</v>
      </c>
      <c r="E96" s="152">
        <v>0</v>
      </c>
      <c r="F96" s="151">
        <v>0</v>
      </c>
      <c r="G96" s="152">
        <v>0</v>
      </c>
      <c r="H96" s="151">
        <v>0</v>
      </c>
      <c r="I96" s="152">
        <v>0</v>
      </c>
      <c r="J96" s="151">
        <v>0</v>
      </c>
      <c r="K96" s="152">
        <v>0</v>
      </c>
      <c r="L96" s="151">
        <v>0</v>
      </c>
      <c r="M96" s="152">
        <v>0</v>
      </c>
      <c r="N96" s="151">
        <v>0</v>
      </c>
      <c r="O96" s="152">
        <v>0</v>
      </c>
      <c r="P96" s="151">
        <v>0</v>
      </c>
      <c r="Q96" s="152">
        <v>0</v>
      </c>
      <c r="R96" s="151">
        <v>0</v>
      </c>
      <c r="S96" s="152">
        <v>0</v>
      </c>
      <c r="T96" s="151">
        <v>0</v>
      </c>
      <c r="U96" s="153">
        <v>0</v>
      </c>
    </row>
    <row r="97" spans="1:21" x14ac:dyDescent="0.25">
      <c r="A97" s="21" t="s">
        <v>563</v>
      </c>
      <c r="B97" s="154" t="s">
        <v>1363</v>
      </c>
      <c r="C97" s="154" t="s">
        <v>1364</v>
      </c>
      <c r="D97" s="155">
        <v>0</v>
      </c>
      <c r="E97" s="158">
        <v>0</v>
      </c>
      <c r="F97" s="155">
        <v>0</v>
      </c>
      <c r="G97" s="158">
        <v>0</v>
      </c>
      <c r="H97" s="155">
        <v>0</v>
      </c>
      <c r="I97" s="158">
        <v>0</v>
      </c>
      <c r="J97" s="155">
        <v>0</v>
      </c>
      <c r="K97" s="158">
        <v>0</v>
      </c>
      <c r="L97" s="155">
        <v>0</v>
      </c>
      <c r="M97" s="158">
        <v>0</v>
      </c>
      <c r="N97" s="155">
        <v>0</v>
      </c>
      <c r="O97" s="158">
        <v>0</v>
      </c>
      <c r="P97" s="155">
        <v>0</v>
      </c>
      <c r="Q97" s="158">
        <v>0</v>
      </c>
      <c r="R97" s="155">
        <v>0</v>
      </c>
      <c r="S97" s="158">
        <v>0</v>
      </c>
      <c r="T97" s="155">
        <v>0</v>
      </c>
      <c r="U97" s="157">
        <v>0</v>
      </c>
    </row>
    <row r="98" spans="1:21" x14ac:dyDescent="0.25">
      <c r="A98" s="149" t="s">
        <v>767</v>
      </c>
      <c r="B98" s="150" t="s">
        <v>768</v>
      </c>
      <c r="C98" s="150" t="s">
        <v>1365</v>
      </c>
      <c r="D98" s="151">
        <v>0</v>
      </c>
      <c r="E98" s="152">
        <v>0</v>
      </c>
      <c r="F98" s="151">
        <v>0</v>
      </c>
      <c r="G98" s="152">
        <v>0</v>
      </c>
      <c r="H98" s="151">
        <v>0</v>
      </c>
      <c r="I98" s="152">
        <v>0</v>
      </c>
      <c r="J98" s="151">
        <v>0</v>
      </c>
      <c r="K98" s="152">
        <v>0</v>
      </c>
      <c r="L98" s="151">
        <v>0</v>
      </c>
      <c r="M98" s="152">
        <v>0</v>
      </c>
      <c r="N98" s="151">
        <v>0</v>
      </c>
      <c r="O98" s="152">
        <v>0</v>
      </c>
      <c r="P98" s="151">
        <v>0</v>
      </c>
      <c r="Q98" s="152">
        <v>0</v>
      </c>
      <c r="R98" s="151">
        <v>0</v>
      </c>
      <c r="S98" s="152">
        <v>0</v>
      </c>
      <c r="T98" s="151">
        <v>0</v>
      </c>
      <c r="U98" s="153">
        <v>0</v>
      </c>
    </row>
    <row r="99" spans="1:21" x14ac:dyDescent="0.25">
      <c r="A99" s="21" t="s">
        <v>754</v>
      </c>
      <c r="B99" s="154" t="s">
        <v>1366</v>
      </c>
      <c r="C99" s="154" t="s">
        <v>1367</v>
      </c>
      <c r="D99" s="155">
        <v>0</v>
      </c>
      <c r="E99" s="158">
        <v>0</v>
      </c>
      <c r="F99" s="155">
        <v>0</v>
      </c>
      <c r="G99" s="158">
        <v>0</v>
      </c>
      <c r="H99" s="155">
        <v>0</v>
      </c>
      <c r="I99" s="158">
        <v>0</v>
      </c>
      <c r="J99" s="155">
        <v>0</v>
      </c>
      <c r="K99" s="158">
        <v>0</v>
      </c>
      <c r="L99" s="155">
        <v>0</v>
      </c>
      <c r="M99" s="158">
        <v>0</v>
      </c>
      <c r="N99" s="155">
        <v>0</v>
      </c>
      <c r="O99" s="158">
        <v>0</v>
      </c>
      <c r="P99" s="155">
        <v>0</v>
      </c>
      <c r="Q99" s="158">
        <v>0</v>
      </c>
      <c r="R99" s="155">
        <v>0</v>
      </c>
      <c r="S99" s="158">
        <v>0</v>
      </c>
      <c r="T99" s="155">
        <v>0</v>
      </c>
      <c r="U99" s="157">
        <v>0</v>
      </c>
    </row>
    <row r="100" spans="1:21" x14ac:dyDescent="0.25">
      <c r="A100" s="149" t="s">
        <v>1368</v>
      </c>
      <c r="B100" s="150" t="s">
        <v>1369</v>
      </c>
      <c r="C100" s="150" t="s">
        <v>1370</v>
      </c>
      <c r="D100" s="151">
        <v>0</v>
      </c>
      <c r="E100" s="152">
        <v>0</v>
      </c>
      <c r="F100" s="151">
        <v>0</v>
      </c>
      <c r="G100" s="152">
        <v>0</v>
      </c>
      <c r="H100" s="151">
        <v>0</v>
      </c>
      <c r="I100" s="152">
        <v>0</v>
      </c>
      <c r="J100" s="151">
        <v>0</v>
      </c>
      <c r="K100" s="152">
        <v>0</v>
      </c>
      <c r="L100" s="151">
        <v>0</v>
      </c>
      <c r="M100" s="152">
        <v>0</v>
      </c>
      <c r="N100" s="151">
        <v>0</v>
      </c>
      <c r="O100" s="152">
        <v>0</v>
      </c>
      <c r="P100" s="151">
        <v>0</v>
      </c>
      <c r="Q100" s="152">
        <v>0</v>
      </c>
      <c r="R100" s="151">
        <v>0</v>
      </c>
      <c r="S100" s="152">
        <v>0</v>
      </c>
      <c r="T100" s="151">
        <v>0</v>
      </c>
      <c r="U100" s="153">
        <v>0</v>
      </c>
    </row>
    <row r="101" spans="1:21" x14ac:dyDescent="0.25">
      <c r="A101" s="21" t="s">
        <v>753</v>
      </c>
      <c r="B101" s="154" t="s">
        <v>1371</v>
      </c>
      <c r="C101" s="154" t="s">
        <v>1372</v>
      </c>
      <c r="D101" s="155">
        <v>0</v>
      </c>
      <c r="E101" s="158">
        <v>0</v>
      </c>
      <c r="F101" s="155">
        <v>0</v>
      </c>
      <c r="G101" s="158">
        <v>0</v>
      </c>
      <c r="H101" s="155">
        <v>0</v>
      </c>
      <c r="I101" s="158">
        <v>0</v>
      </c>
      <c r="J101" s="155">
        <v>0</v>
      </c>
      <c r="K101" s="158">
        <v>0</v>
      </c>
      <c r="L101" s="155">
        <v>0</v>
      </c>
      <c r="M101" s="158">
        <v>0</v>
      </c>
      <c r="N101" s="155">
        <v>0</v>
      </c>
      <c r="O101" s="158">
        <v>0</v>
      </c>
      <c r="P101" s="155">
        <v>0</v>
      </c>
      <c r="Q101" s="158">
        <v>0</v>
      </c>
      <c r="R101" s="155">
        <v>0</v>
      </c>
      <c r="S101" s="158">
        <v>0</v>
      </c>
      <c r="T101" s="155">
        <v>0</v>
      </c>
      <c r="U101" s="157">
        <v>0</v>
      </c>
    </row>
    <row r="102" spans="1:21" x14ac:dyDescent="0.25">
      <c r="A102" s="149" t="s">
        <v>566</v>
      </c>
      <c r="B102" s="150" t="s">
        <v>1373</v>
      </c>
      <c r="C102" s="150" t="s">
        <v>1374</v>
      </c>
      <c r="D102" s="151">
        <v>0</v>
      </c>
      <c r="E102" s="152">
        <v>0</v>
      </c>
      <c r="F102" s="151">
        <v>0</v>
      </c>
      <c r="G102" s="152">
        <v>0</v>
      </c>
      <c r="H102" s="151">
        <v>0</v>
      </c>
      <c r="I102" s="152">
        <v>0</v>
      </c>
      <c r="J102" s="151">
        <v>0</v>
      </c>
      <c r="K102" s="152">
        <v>0</v>
      </c>
      <c r="L102" s="151">
        <v>0</v>
      </c>
      <c r="M102" s="152">
        <v>0</v>
      </c>
      <c r="N102" s="151">
        <v>0</v>
      </c>
      <c r="O102" s="152">
        <v>0</v>
      </c>
      <c r="P102" s="151">
        <v>0</v>
      </c>
      <c r="Q102" s="152">
        <v>0</v>
      </c>
      <c r="R102" s="151">
        <v>0</v>
      </c>
      <c r="S102" s="152">
        <v>0</v>
      </c>
      <c r="T102" s="151">
        <v>0</v>
      </c>
      <c r="U102" s="153">
        <v>0</v>
      </c>
    </row>
    <row r="103" spans="1:21" x14ac:dyDescent="0.25">
      <c r="A103" s="21" t="s">
        <v>568</v>
      </c>
      <c r="B103" s="154" t="s">
        <v>567</v>
      </c>
      <c r="C103" s="154" t="s">
        <v>1375</v>
      </c>
      <c r="D103" s="155">
        <v>0</v>
      </c>
      <c r="E103" s="158">
        <v>0</v>
      </c>
      <c r="F103" s="155">
        <v>0</v>
      </c>
      <c r="G103" s="158">
        <v>0</v>
      </c>
      <c r="H103" s="155">
        <v>0</v>
      </c>
      <c r="I103" s="158">
        <v>0</v>
      </c>
      <c r="J103" s="155">
        <v>0</v>
      </c>
      <c r="K103" s="158">
        <v>0</v>
      </c>
      <c r="L103" s="155">
        <v>0</v>
      </c>
      <c r="M103" s="158">
        <v>0</v>
      </c>
      <c r="N103" s="155">
        <v>0</v>
      </c>
      <c r="O103" s="158">
        <v>0</v>
      </c>
      <c r="P103" s="155">
        <v>0</v>
      </c>
      <c r="Q103" s="158">
        <v>0</v>
      </c>
      <c r="R103" s="155">
        <v>0</v>
      </c>
      <c r="S103" s="158">
        <v>0</v>
      </c>
      <c r="T103" s="155">
        <v>0</v>
      </c>
      <c r="U103" s="157">
        <v>0</v>
      </c>
    </row>
    <row r="104" spans="1:21" x14ac:dyDescent="0.25">
      <c r="A104" s="149" t="s">
        <v>1010</v>
      </c>
      <c r="B104" s="150" t="s">
        <v>1011</v>
      </c>
      <c r="C104" s="150" t="s">
        <v>1380</v>
      </c>
      <c r="D104" s="151">
        <v>0</v>
      </c>
      <c r="E104" s="152">
        <v>0</v>
      </c>
      <c r="F104" s="151">
        <v>0</v>
      </c>
      <c r="G104" s="152">
        <v>380</v>
      </c>
      <c r="H104" s="151">
        <v>0</v>
      </c>
      <c r="I104" s="152">
        <v>379.95736694335937</v>
      </c>
      <c r="J104" s="151">
        <v>0</v>
      </c>
      <c r="K104" s="152">
        <v>379.95736694335937</v>
      </c>
      <c r="L104" s="151">
        <v>0</v>
      </c>
      <c r="M104" s="152">
        <v>379.95736694335937</v>
      </c>
      <c r="N104" s="151">
        <v>0</v>
      </c>
      <c r="O104" s="152">
        <v>0</v>
      </c>
      <c r="P104" s="151">
        <v>0</v>
      </c>
      <c r="Q104" s="152">
        <v>0</v>
      </c>
      <c r="R104" s="151">
        <v>0</v>
      </c>
      <c r="S104" s="152">
        <v>0</v>
      </c>
      <c r="T104" s="151">
        <v>0</v>
      </c>
      <c r="U104" s="153">
        <v>0</v>
      </c>
    </row>
    <row r="105" spans="1:21" x14ac:dyDescent="0.25">
      <c r="A105" s="21" t="s">
        <v>1163</v>
      </c>
      <c r="B105" s="154" t="s">
        <v>335</v>
      </c>
      <c r="C105" s="154" t="s">
        <v>1381</v>
      </c>
      <c r="D105" s="155">
        <v>0</v>
      </c>
      <c r="E105" s="158">
        <v>0</v>
      </c>
      <c r="F105" s="155">
        <v>0</v>
      </c>
      <c r="G105" s="158">
        <v>0</v>
      </c>
      <c r="H105" s="155">
        <v>0</v>
      </c>
      <c r="I105" s="158">
        <v>0</v>
      </c>
      <c r="J105" s="155">
        <v>0</v>
      </c>
      <c r="K105" s="158">
        <v>0</v>
      </c>
      <c r="L105" s="155">
        <v>0</v>
      </c>
      <c r="M105" s="158">
        <v>0</v>
      </c>
      <c r="N105" s="155">
        <v>0</v>
      </c>
      <c r="O105" s="158">
        <v>0</v>
      </c>
      <c r="P105" s="155">
        <v>0</v>
      </c>
      <c r="Q105" s="158">
        <v>0</v>
      </c>
      <c r="R105" s="155">
        <v>0</v>
      </c>
      <c r="S105" s="158">
        <v>0</v>
      </c>
      <c r="T105" s="155">
        <v>0</v>
      </c>
      <c r="U105" s="157">
        <v>0</v>
      </c>
    </row>
    <row r="106" spans="1:21" x14ac:dyDescent="0.25">
      <c r="A106" s="149" t="s">
        <v>1144</v>
      </c>
      <c r="B106" s="150" t="s">
        <v>1382</v>
      </c>
      <c r="C106" s="150" t="s">
        <v>1383</v>
      </c>
      <c r="D106" s="151">
        <v>0</v>
      </c>
      <c r="E106" s="152">
        <v>0</v>
      </c>
      <c r="F106" s="151">
        <v>0</v>
      </c>
      <c r="G106" s="152">
        <v>0</v>
      </c>
      <c r="H106" s="151">
        <v>0</v>
      </c>
      <c r="I106" s="152">
        <v>0</v>
      </c>
      <c r="J106" s="151">
        <v>0</v>
      </c>
      <c r="K106" s="152">
        <v>0</v>
      </c>
      <c r="L106" s="151">
        <v>0</v>
      </c>
      <c r="M106" s="152">
        <v>0</v>
      </c>
      <c r="N106" s="151">
        <v>0</v>
      </c>
      <c r="O106" s="152">
        <v>0</v>
      </c>
      <c r="P106" s="151">
        <v>0</v>
      </c>
      <c r="Q106" s="152">
        <v>0</v>
      </c>
      <c r="R106" s="151">
        <v>0</v>
      </c>
      <c r="S106" s="152">
        <v>0</v>
      </c>
      <c r="T106" s="151">
        <v>0</v>
      </c>
      <c r="U106" s="153">
        <v>0</v>
      </c>
    </row>
    <row r="107" spans="1:21" x14ac:dyDescent="0.25">
      <c r="A107" s="21" t="s">
        <v>1049</v>
      </c>
      <c r="B107" s="154" t="s">
        <v>1338</v>
      </c>
      <c r="C107" s="154" t="s">
        <v>1384</v>
      </c>
      <c r="D107" s="155">
        <v>0</v>
      </c>
      <c r="E107" s="158">
        <v>0</v>
      </c>
      <c r="F107" s="155">
        <v>0</v>
      </c>
      <c r="G107" s="158">
        <v>0</v>
      </c>
      <c r="H107" s="155">
        <v>0</v>
      </c>
      <c r="I107" s="158">
        <v>0</v>
      </c>
      <c r="J107" s="155">
        <v>0</v>
      </c>
      <c r="K107" s="158">
        <v>0</v>
      </c>
      <c r="L107" s="155">
        <v>0</v>
      </c>
      <c r="M107" s="158">
        <v>0</v>
      </c>
      <c r="N107" s="155">
        <v>0</v>
      </c>
      <c r="O107" s="158">
        <v>0</v>
      </c>
      <c r="P107" s="155">
        <v>0</v>
      </c>
      <c r="Q107" s="158">
        <v>0</v>
      </c>
      <c r="R107" s="155">
        <v>0</v>
      </c>
      <c r="S107" s="158">
        <v>0</v>
      </c>
      <c r="T107" s="155">
        <v>0</v>
      </c>
      <c r="U107" s="157">
        <v>0</v>
      </c>
    </row>
    <row r="108" spans="1:21" x14ac:dyDescent="0.25">
      <c r="A108" s="149" t="s">
        <v>1051</v>
      </c>
      <c r="B108" s="150" t="s">
        <v>1024</v>
      </c>
      <c r="C108" s="150" t="s">
        <v>1385</v>
      </c>
      <c r="D108" s="151">
        <v>0</v>
      </c>
      <c r="E108" s="152">
        <v>0</v>
      </c>
      <c r="F108" s="151">
        <v>0</v>
      </c>
      <c r="G108" s="152">
        <v>0</v>
      </c>
      <c r="H108" s="151">
        <v>0</v>
      </c>
      <c r="I108" s="152">
        <v>0</v>
      </c>
      <c r="J108" s="151">
        <v>0</v>
      </c>
      <c r="K108" s="152">
        <v>0</v>
      </c>
      <c r="L108" s="151">
        <v>0</v>
      </c>
      <c r="M108" s="152">
        <v>0</v>
      </c>
      <c r="N108" s="151">
        <v>0</v>
      </c>
      <c r="O108" s="152">
        <v>0</v>
      </c>
      <c r="P108" s="151">
        <v>0</v>
      </c>
      <c r="Q108" s="152">
        <v>0</v>
      </c>
      <c r="R108" s="151">
        <v>0</v>
      </c>
      <c r="S108" s="152">
        <v>0</v>
      </c>
      <c r="T108" s="151">
        <v>0</v>
      </c>
      <c r="U108" s="153">
        <v>0</v>
      </c>
    </row>
    <row r="109" spans="1:21" x14ac:dyDescent="0.25">
      <c r="A109" s="21" t="s">
        <v>1140</v>
      </c>
      <c r="B109" s="154" t="s">
        <v>1386</v>
      </c>
      <c r="C109" s="154" t="s">
        <v>1387</v>
      </c>
      <c r="D109" s="155">
        <v>0</v>
      </c>
      <c r="E109" s="158">
        <v>0</v>
      </c>
      <c r="F109" s="155">
        <v>0</v>
      </c>
      <c r="G109" s="158">
        <v>0</v>
      </c>
      <c r="H109" s="155">
        <v>0</v>
      </c>
      <c r="I109" s="158">
        <v>0</v>
      </c>
      <c r="J109" s="155">
        <v>0</v>
      </c>
      <c r="K109" s="158">
        <v>0</v>
      </c>
      <c r="L109" s="155">
        <v>0</v>
      </c>
      <c r="M109" s="158">
        <v>0</v>
      </c>
      <c r="N109" s="155">
        <v>0</v>
      </c>
      <c r="O109" s="158">
        <v>0</v>
      </c>
      <c r="P109" s="155">
        <v>0</v>
      </c>
      <c r="Q109" s="158">
        <v>0</v>
      </c>
      <c r="R109" s="155">
        <v>0</v>
      </c>
      <c r="S109" s="158">
        <v>0</v>
      </c>
      <c r="T109" s="155">
        <v>0</v>
      </c>
      <c r="U109" s="157">
        <v>0</v>
      </c>
    </row>
    <row r="110" spans="1:21" x14ac:dyDescent="0.25">
      <c r="A110" s="149" t="s">
        <v>1147</v>
      </c>
      <c r="B110" s="150" t="s">
        <v>1023</v>
      </c>
      <c r="C110" s="150" t="s">
        <v>1388</v>
      </c>
      <c r="D110" s="151">
        <v>0</v>
      </c>
      <c r="E110" s="152">
        <v>0</v>
      </c>
      <c r="F110" s="151">
        <v>0</v>
      </c>
      <c r="G110" s="152">
        <v>0</v>
      </c>
      <c r="H110" s="151">
        <v>0</v>
      </c>
      <c r="I110" s="152">
        <v>0</v>
      </c>
      <c r="J110" s="151">
        <v>0</v>
      </c>
      <c r="K110" s="152">
        <v>0</v>
      </c>
      <c r="L110" s="151">
        <v>0</v>
      </c>
      <c r="M110" s="152">
        <v>0</v>
      </c>
      <c r="N110" s="151">
        <v>0</v>
      </c>
      <c r="O110" s="152">
        <v>0</v>
      </c>
      <c r="P110" s="151">
        <v>0</v>
      </c>
      <c r="Q110" s="152">
        <v>0</v>
      </c>
      <c r="R110" s="151">
        <v>0</v>
      </c>
      <c r="S110" s="152">
        <v>0</v>
      </c>
      <c r="T110" s="151">
        <v>0</v>
      </c>
      <c r="U110" s="153">
        <v>0</v>
      </c>
    </row>
    <row r="111" spans="1:21" x14ac:dyDescent="0.25">
      <c r="A111" s="21" t="s">
        <v>1050</v>
      </c>
      <c r="B111" s="154" t="s">
        <v>1022</v>
      </c>
      <c r="C111" s="154" t="s">
        <v>1389</v>
      </c>
      <c r="D111" s="155">
        <v>0</v>
      </c>
      <c r="E111" s="158">
        <v>0</v>
      </c>
      <c r="F111" s="155">
        <v>0</v>
      </c>
      <c r="G111" s="158">
        <v>0</v>
      </c>
      <c r="H111" s="155">
        <v>0</v>
      </c>
      <c r="I111" s="158">
        <v>0</v>
      </c>
      <c r="J111" s="155">
        <v>0</v>
      </c>
      <c r="K111" s="158">
        <v>0</v>
      </c>
      <c r="L111" s="155">
        <v>0</v>
      </c>
      <c r="M111" s="158">
        <v>0</v>
      </c>
      <c r="N111" s="155">
        <v>0</v>
      </c>
      <c r="O111" s="158">
        <v>0</v>
      </c>
      <c r="P111" s="155">
        <v>0</v>
      </c>
      <c r="Q111" s="158">
        <v>0</v>
      </c>
      <c r="R111" s="155">
        <v>0</v>
      </c>
      <c r="S111" s="158">
        <v>0</v>
      </c>
      <c r="T111" s="155">
        <v>0</v>
      </c>
      <c r="U111" s="157">
        <v>0</v>
      </c>
    </row>
    <row r="112" spans="1:21" x14ac:dyDescent="0.25">
      <c r="A112" s="149" t="s">
        <v>1143</v>
      </c>
      <c r="B112" s="150" t="s">
        <v>1390</v>
      </c>
      <c r="C112" s="150" t="s">
        <v>1391</v>
      </c>
      <c r="D112" s="151">
        <v>0</v>
      </c>
      <c r="E112" s="152">
        <v>0</v>
      </c>
      <c r="F112" s="151">
        <v>0</v>
      </c>
      <c r="G112" s="152">
        <v>871</v>
      </c>
      <c r="H112" s="151">
        <v>0</v>
      </c>
      <c r="I112" s="152">
        <v>0</v>
      </c>
      <c r="J112" s="151">
        <v>0</v>
      </c>
      <c r="K112" s="152">
        <v>0</v>
      </c>
      <c r="L112" s="151">
        <v>384.39999389648437</v>
      </c>
      <c r="M112" s="152">
        <v>384.39999389648437</v>
      </c>
      <c r="N112" s="151">
        <v>0</v>
      </c>
      <c r="O112" s="152">
        <v>0</v>
      </c>
      <c r="P112" s="151">
        <v>0</v>
      </c>
      <c r="Q112" s="152">
        <v>0</v>
      </c>
      <c r="R112" s="151">
        <v>0</v>
      </c>
      <c r="S112" s="152">
        <v>0</v>
      </c>
      <c r="T112" s="151">
        <v>0</v>
      </c>
      <c r="U112" s="153">
        <v>0</v>
      </c>
    </row>
    <row r="113" spans="1:21" x14ac:dyDescent="0.25">
      <c r="A113" s="21" t="s">
        <v>1194</v>
      </c>
      <c r="B113" s="154" t="s">
        <v>1392</v>
      </c>
      <c r="C113" s="154" t="s">
        <v>59</v>
      </c>
      <c r="D113" s="155">
        <v>0</v>
      </c>
      <c r="E113" s="158">
        <v>0</v>
      </c>
      <c r="F113" s="155">
        <v>0</v>
      </c>
      <c r="G113" s="158">
        <v>0</v>
      </c>
      <c r="H113" s="155">
        <v>0</v>
      </c>
      <c r="I113" s="158">
        <v>0</v>
      </c>
      <c r="J113" s="155">
        <v>0</v>
      </c>
      <c r="K113" s="158">
        <v>0</v>
      </c>
      <c r="L113" s="155">
        <v>0</v>
      </c>
      <c r="M113" s="158">
        <v>0</v>
      </c>
      <c r="N113" s="155">
        <v>0</v>
      </c>
      <c r="O113" s="158">
        <v>0</v>
      </c>
      <c r="P113" s="155">
        <v>0</v>
      </c>
      <c r="Q113" s="158">
        <v>0</v>
      </c>
      <c r="R113" s="155">
        <v>0</v>
      </c>
      <c r="S113" s="158">
        <v>0</v>
      </c>
      <c r="T113" s="155">
        <v>0</v>
      </c>
      <c r="U113" s="157">
        <v>0</v>
      </c>
    </row>
    <row r="114" spans="1:21" x14ac:dyDescent="0.25">
      <c r="A114" s="149" t="s">
        <v>1196</v>
      </c>
      <c r="B114" s="150" t="s">
        <v>1197</v>
      </c>
      <c r="C114" s="150" t="s">
        <v>59</v>
      </c>
      <c r="D114" s="151">
        <v>0</v>
      </c>
      <c r="E114" s="152">
        <v>0</v>
      </c>
      <c r="F114" s="151">
        <v>0</v>
      </c>
      <c r="G114" s="152">
        <v>0</v>
      </c>
      <c r="H114" s="151">
        <v>0</v>
      </c>
      <c r="I114" s="152">
        <v>0</v>
      </c>
      <c r="J114" s="151">
        <v>0</v>
      </c>
      <c r="K114" s="152">
        <v>0</v>
      </c>
      <c r="L114" s="151">
        <v>0</v>
      </c>
      <c r="M114" s="152">
        <v>0</v>
      </c>
      <c r="N114" s="151">
        <v>0</v>
      </c>
      <c r="O114" s="152">
        <v>0</v>
      </c>
      <c r="P114" s="151">
        <v>0</v>
      </c>
      <c r="Q114" s="152">
        <v>0</v>
      </c>
      <c r="R114" s="151">
        <v>0</v>
      </c>
      <c r="S114" s="152">
        <v>0</v>
      </c>
      <c r="T114" s="151">
        <v>0</v>
      </c>
      <c r="U114" s="153">
        <v>0</v>
      </c>
    </row>
    <row r="115" spans="1:21" x14ac:dyDescent="0.25">
      <c r="A115" s="21" t="s">
        <v>565</v>
      </c>
      <c r="B115" s="154" t="s">
        <v>1198</v>
      </c>
      <c r="C115" s="154" t="s">
        <v>59</v>
      </c>
      <c r="D115" s="155">
        <v>0</v>
      </c>
      <c r="E115" s="158">
        <v>0</v>
      </c>
      <c r="F115" s="155">
        <v>0</v>
      </c>
      <c r="G115" s="158">
        <v>0</v>
      </c>
      <c r="H115" s="155">
        <v>0</v>
      </c>
      <c r="I115" s="158">
        <v>0</v>
      </c>
      <c r="J115" s="155">
        <v>0</v>
      </c>
      <c r="K115" s="158">
        <v>0</v>
      </c>
      <c r="L115" s="155">
        <v>0</v>
      </c>
      <c r="M115" s="158">
        <v>0</v>
      </c>
      <c r="N115" s="155">
        <v>0</v>
      </c>
      <c r="O115" s="158">
        <v>0</v>
      </c>
      <c r="P115" s="155">
        <v>0</v>
      </c>
      <c r="Q115" s="158">
        <v>0</v>
      </c>
      <c r="R115" s="155">
        <v>0</v>
      </c>
      <c r="S115" s="158">
        <v>0</v>
      </c>
      <c r="T115" s="155">
        <v>0</v>
      </c>
      <c r="U115" s="157">
        <v>0</v>
      </c>
    </row>
    <row r="116" spans="1:21" x14ac:dyDescent="0.25">
      <c r="A116" s="149" t="s">
        <v>1199</v>
      </c>
      <c r="B116" s="150" t="s">
        <v>1200</v>
      </c>
      <c r="C116" s="150" t="s">
        <v>59</v>
      </c>
      <c r="D116" s="151">
        <v>0</v>
      </c>
      <c r="E116" s="152">
        <v>0</v>
      </c>
      <c r="F116" s="151">
        <v>0</v>
      </c>
      <c r="G116" s="152">
        <v>0</v>
      </c>
      <c r="H116" s="151">
        <v>0</v>
      </c>
      <c r="I116" s="152">
        <v>0</v>
      </c>
      <c r="J116" s="151">
        <v>0</v>
      </c>
      <c r="K116" s="152">
        <v>0</v>
      </c>
      <c r="L116" s="151">
        <v>0</v>
      </c>
      <c r="M116" s="152">
        <v>0</v>
      </c>
      <c r="N116" s="151">
        <v>0</v>
      </c>
      <c r="O116" s="152">
        <v>0</v>
      </c>
      <c r="P116" s="151">
        <v>0</v>
      </c>
      <c r="Q116" s="152">
        <v>0</v>
      </c>
      <c r="R116" s="151">
        <v>0</v>
      </c>
      <c r="S116" s="152">
        <v>0</v>
      </c>
      <c r="T116" s="151">
        <v>0</v>
      </c>
      <c r="U116" s="153">
        <v>0</v>
      </c>
    </row>
    <row r="117" spans="1:21" x14ac:dyDescent="0.25">
      <c r="A117" s="21" t="s">
        <v>1194</v>
      </c>
      <c r="B117" s="154" t="s">
        <v>1315</v>
      </c>
      <c r="C117" s="154" t="s">
        <v>59</v>
      </c>
      <c r="D117" s="155">
        <v>0</v>
      </c>
      <c r="E117" s="158">
        <v>0</v>
      </c>
      <c r="F117" s="155">
        <v>0</v>
      </c>
      <c r="G117" s="158">
        <v>0</v>
      </c>
      <c r="H117" s="155">
        <v>0</v>
      </c>
      <c r="I117" s="158">
        <v>0</v>
      </c>
      <c r="J117" s="155">
        <v>0</v>
      </c>
      <c r="K117" s="158">
        <v>0</v>
      </c>
      <c r="L117" s="155">
        <v>0</v>
      </c>
      <c r="M117" s="158">
        <v>0</v>
      </c>
      <c r="N117" s="155">
        <v>0</v>
      </c>
      <c r="O117" s="158">
        <v>0</v>
      </c>
      <c r="P117" s="155">
        <v>0</v>
      </c>
      <c r="Q117" s="158">
        <v>0</v>
      </c>
      <c r="R117" s="155">
        <v>0</v>
      </c>
      <c r="S117" s="158">
        <v>0</v>
      </c>
      <c r="T117" s="155">
        <v>0</v>
      </c>
      <c r="U117" s="157">
        <v>0</v>
      </c>
    </row>
    <row r="118" spans="1:21" x14ac:dyDescent="0.25">
      <c r="A118" s="149" t="s">
        <v>1196</v>
      </c>
      <c r="B118" s="150" t="s">
        <v>1197</v>
      </c>
      <c r="C118" s="150" t="s">
        <v>59</v>
      </c>
      <c r="D118" s="151">
        <v>0</v>
      </c>
      <c r="E118" s="152">
        <v>0</v>
      </c>
      <c r="F118" s="151">
        <v>0</v>
      </c>
      <c r="G118" s="152">
        <v>0</v>
      </c>
      <c r="H118" s="151">
        <v>0</v>
      </c>
      <c r="I118" s="152">
        <v>0</v>
      </c>
      <c r="J118" s="151">
        <v>0</v>
      </c>
      <c r="K118" s="152">
        <v>0</v>
      </c>
      <c r="L118" s="151">
        <v>0</v>
      </c>
      <c r="M118" s="152">
        <v>0</v>
      </c>
      <c r="N118" s="151">
        <v>0</v>
      </c>
      <c r="O118" s="152">
        <v>0</v>
      </c>
      <c r="P118" s="151">
        <v>0</v>
      </c>
      <c r="Q118" s="152">
        <v>0</v>
      </c>
      <c r="R118" s="151">
        <v>0</v>
      </c>
      <c r="S118" s="152">
        <v>0</v>
      </c>
      <c r="T118" s="151">
        <v>0</v>
      </c>
      <c r="U118" s="153">
        <v>0</v>
      </c>
    </row>
    <row r="119" spans="1:21" x14ac:dyDescent="0.25">
      <c r="A119" s="21" t="s">
        <v>565</v>
      </c>
      <c r="B119" s="154" t="s">
        <v>1396</v>
      </c>
      <c r="C119" s="154" t="s">
        <v>59</v>
      </c>
      <c r="D119" s="155">
        <v>0</v>
      </c>
      <c r="E119" s="158">
        <v>0</v>
      </c>
      <c r="F119" s="155">
        <v>0</v>
      </c>
      <c r="G119" s="158">
        <v>0</v>
      </c>
      <c r="H119" s="155">
        <v>0</v>
      </c>
      <c r="I119" s="158">
        <v>0</v>
      </c>
      <c r="J119" s="155">
        <v>0</v>
      </c>
      <c r="K119" s="158">
        <v>0</v>
      </c>
      <c r="L119" s="155">
        <v>0</v>
      </c>
      <c r="M119" s="158">
        <v>0</v>
      </c>
      <c r="N119" s="155">
        <v>0</v>
      </c>
      <c r="O119" s="158">
        <v>0</v>
      </c>
      <c r="P119" s="155">
        <v>0</v>
      </c>
      <c r="Q119" s="158">
        <v>0</v>
      </c>
      <c r="R119" s="155">
        <v>0</v>
      </c>
      <c r="S119" s="158">
        <v>0</v>
      </c>
      <c r="T119" s="155">
        <v>0</v>
      </c>
      <c r="U119" s="157">
        <v>0</v>
      </c>
    </row>
    <row r="120" spans="1:21" x14ac:dyDescent="0.25">
      <c r="A120" s="149" t="s">
        <v>1199</v>
      </c>
      <c r="B120" s="150" t="s">
        <v>1200</v>
      </c>
      <c r="C120" s="150" t="s">
        <v>59</v>
      </c>
      <c r="D120" s="151">
        <v>0</v>
      </c>
      <c r="E120" s="152">
        <v>0</v>
      </c>
      <c r="F120" s="151">
        <v>0</v>
      </c>
      <c r="G120" s="152">
        <v>0</v>
      </c>
      <c r="H120" s="151">
        <v>0</v>
      </c>
      <c r="I120" s="152">
        <v>0</v>
      </c>
      <c r="J120" s="151">
        <v>0</v>
      </c>
      <c r="K120" s="152">
        <v>0</v>
      </c>
      <c r="L120" s="151">
        <v>0</v>
      </c>
      <c r="M120" s="152">
        <v>0</v>
      </c>
      <c r="N120" s="151">
        <v>0</v>
      </c>
      <c r="O120" s="152">
        <v>0</v>
      </c>
      <c r="P120" s="151">
        <v>0</v>
      </c>
      <c r="Q120" s="152">
        <v>0</v>
      </c>
      <c r="R120" s="151">
        <v>0</v>
      </c>
      <c r="S120" s="152">
        <v>0</v>
      </c>
      <c r="T120" s="151">
        <v>0</v>
      </c>
      <c r="U120" s="153">
        <v>0</v>
      </c>
    </row>
    <row r="121" spans="1:21" x14ac:dyDescent="0.25">
      <c r="A121" s="21" t="s">
        <v>1194</v>
      </c>
      <c r="B121" s="154" t="s">
        <v>1400</v>
      </c>
      <c r="C121" s="154" t="s">
        <v>59</v>
      </c>
      <c r="D121" s="155">
        <v>0</v>
      </c>
      <c r="E121" s="158">
        <v>0</v>
      </c>
      <c r="F121" s="155">
        <v>0</v>
      </c>
      <c r="G121" s="158">
        <v>0</v>
      </c>
      <c r="H121" s="155">
        <v>0</v>
      </c>
      <c r="I121" s="158">
        <v>0</v>
      </c>
      <c r="J121" s="155">
        <v>0</v>
      </c>
      <c r="K121" s="158">
        <v>0</v>
      </c>
      <c r="L121" s="155">
        <v>0</v>
      </c>
      <c r="M121" s="158">
        <v>0</v>
      </c>
      <c r="N121" s="155">
        <v>0</v>
      </c>
      <c r="O121" s="158">
        <v>0</v>
      </c>
      <c r="P121" s="155">
        <v>0</v>
      </c>
      <c r="Q121" s="158">
        <v>0</v>
      </c>
      <c r="R121" s="155">
        <v>0</v>
      </c>
      <c r="S121" s="158">
        <v>0</v>
      </c>
      <c r="T121" s="155">
        <v>0</v>
      </c>
      <c r="U121" s="157">
        <v>0</v>
      </c>
    </row>
    <row r="122" spans="1:21" x14ac:dyDescent="0.25">
      <c r="A122" s="149" t="s">
        <v>1196</v>
      </c>
      <c r="B122" s="150" t="s">
        <v>1197</v>
      </c>
      <c r="C122" s="150" t="s">
        <v>59</v>
      </c>
      <c r="D122" s="151">
        <v>0</v>
      </c>
      <c r="E122" s="152">
        <v>0</v>
      </c>
      <c r="F122" s="151">
        <v>0</v>
      </c>
      <c r="G122" s="152">
        <v>0</v>
      </c>
      <c r="H122" s="151">
        <v>0</v>
      </c>
      <c r="I122" s="152">
        <v>0</v>
      </c>
      <c r="J122" s="151">
        <v>0</v>
      </c>
      <c r="K122" s="152">
        <v>0</v>
      </c>
      <c r="L122" s="151">
        <v>0</v>
      </c>
      <c r="M122" s="152">
        <v>0</v>
      </c>
      <c r="N122" s="151">
        <v>0</v>
      </c>
      <c r="O122" s="152">
        <v>0</v>
      </c>
      <c r="P122" s="151">
        <v>0</v>
      </c>
      <c r="Q122" s="152">
        <v>0</v>
      </c>
      <c r="R122" s="151">
        <v>0</v>
      </c>
      <c r="S122" s="152">
        <v>0</v>
      </c>
      <c r="T122" s="151">
        <v>0</v>
      </c>
      <c r="U122" s="153">
        <v>0</v>
      </c>
    </row>
    <row r="123" spans="1:21" x14ac:dyDescent="0.25">
      <c r="A123" s="21" t="s">
        <v>565</v>
      </c>
      <c r="B123" s="154" t="s">
        <v>1401</v>
      </c>
      <c r="C123" s="154" t="s">
        <v>59</v>
      </c>
      <c r="D123" s="155">
        <v>0</v>
      </c>
      <c r="E123" s="158">
        <v>0</v>
      </c>
      <c r="F123" s="155">
        <v>0</v>
      </c>
      <c r="G123" s="158">
        <v>0</v>
      </c>
      <c r="H123" s="155">
        <v>0</v>
      </c>
      <c r="I123" s="158">
        <v>0</v>
      </c>
      <c r="J123" s="155">
        <v>0</v>
      </c>
      <c r="K123" s="158">
        <v>0</v>
      </c>
      <c r="L123" s="155">
        <v>0</v>
      </c>
      <c r="M123" s="158">
        <v>0</v>
      </c>
      <c r="N123" s="155">
        <v>0</v>
      </c>
      <c r="O123" s="158">
        <v>0</v>
      </c>
      <c r="P123" s="155">
        <v>0</v>
      </c>
      <c r="Q123" s="158">
        <v>0</v>
      </c>
      <c r="R123" s="155">
        <v>0</v>
      </c>
      <c r="S123" s="158">
        <v>0</v>
      </c>
      <c r="T123" s="155">
        <v>0</v>
      </c>
      <c r="U123" s="157">
        <v>0</v>
      </c>
    </row>
    <row r="124" spans="1:21" x14ac:dyDescent="0.25">
      <c r="A124" s="149" t="s">
        <v>1199</v>
      </c>
      <c r="B124" s="150" t="s">
        <v>1200</v>
      </c>
      <c r="C124" s="150" t="s">
        <v>59</v>
      </c>
      <c r="D124" s="151">
        <v>0</v>
      </c>
      <c r="E124" s="152">
        <v>0</v>
      </c>
      <c r="F124" s="151">
        <v>0</v>
      </c>
      <c r="G124" s="152">
        <v>0</v>
      </c>
      <c r="H124" s="151">
        <v>0</v>
      </c>
      <c r="I124" s="152">
        <v>0</v>
      </c>
      <c r="J124" s="151">
        <v>0</v>
      </c>
      <c r="K124" s="152">
        <v>0</v>
      </c>
      <c r="L124" s="151">
        <v>0</v>
      </c>
      <c r="M124" s="152">
        <v>0</v>
      </c>
      <c r="N124" s="151">
        <v>0</v>
      </c>
      <c r="O124" s="152">
        <v>0</v>
      </c>
      <c r="P124" s="151">
        <v>0</v>
      </c>
      <c r="Q124" s="152">
        <v>0</v>
      </c>
      <c r="R124" s="151">
        <v>0</v>
      </c>
      <c r="S124" s="152">
        <v>0</v>
      </c>
      <c r="T124" s="151">
        <v>0</v>
      </c>
      <c r="U124" s="153">
        <v>0</v>
      </c>
    </row>
    <row r="125" spans="1:21" x14ac:dyDescent="0.25">
      <c r="A125" s="21" t="s">
        <v>1402</v>
      </c>
      <c r="B125" s="154" t="s">
        <v>1403</v>
      </c>
      <c r="C125" s="154" t="s">
        <v>1404</v>
      </c>
      <c r="D125" s="155">
        <v>0</v>
      </c>
      <c r="E125" s="158">
        <v>0</v>
      </c>
      <c r="F125" s="155">
        <v>0</v>
      </c>
      <c r="G125" s="158">
        <v>0</v>
      </c>
      <c r="H125" s="155">
        <v>0</v>
      </c>
      <c r="I125" s="158">
        <v>0</v>
      </c>
      <c r="J125" s="155">
        <v>0</v>
      </c>
      <c r="K125" s="158">
        <v>0</v>
      </c>
      <c r="L125" s="155">
        <v>0</v>
      </c>
      <c r="M125" s="158">
        <v>0</v>
      </c>
      <c r="N125" s="155">
        <v>0</v>
      </c>
      <c r="O125" s="158">
        <v>0</v>
      </c>
      <c r="P125" s="155">
        <v>0</v>
      </c>
      <c r="Q125" s="158">
        <v>0</v>
      </c>
      <c r="R125" s="155">
        <v>0</v>
      </c>
      <c r="S125" s="158">
        <v>0</v>
      </c>
      <c r="T125" s="155">
        <v>0</v>
      </c>
      <c r="U125" s="157">
        <v>0</v>
      </c>
    </row>
    <row r="126" spans="1:21" x14ac:dyDescent="0.25">
      <c r="A126" s="149" t="s">
        <v>801</v>
      </c>
      <c r="B126" s="150" t="s">
        <v>1405</v>
      </c>
      <c r="C126" s="150" t="s">
        <v>1406</v>
      </c>
      <c r="D126" s="151">
        <v>0</v>
      </c>
      <c r="E126" s="152">
        <v>0</v>
      </c>
      <c r="F126" s="151">
        <v>0</v>
      </c>
      <c r="G126" s="152">
        <v>0</v>
      </c>
      <c r="H126" s="151">
        <v>0</v>
      </c>
      <c r="I126" s="152">
        <v>-660.04498291015625</v>
      </c>
      <c r="J126" s="151">
        <v>0</v>
      </c>
      <c r="K126" s="152">
        <v>-660.04498291015625</v>
      </c>
      <c r="L126" s="151">
        <v>0</v>
      </c>
      <c r="M126" s="152">
        <v>-660.04498291015625</v>
      </c>
      <c r="N126" s="151">
        <v>0</v>
      </c>
      <c r="O126" s="152">
        <v>0</v>
      </c>
      <c r="P126" s="151">
        <v>0</v>
      </c>
      <c r="Q126" s="152">
        <v>0</v>
      </c>
      <c r="R126" s="151">
        <v>0</v>
      </c>
      <c r="S126" s="152">
        <v>0</v>
      </c>
      <c r="T126" s="151">
        <v>0</v>
      </c>
      <c r="U126" s="153">
        <v>0</v>
      </c>
    </row>
    <row r="127" spans="1:21" s="360" customFormat="1" ht="18.75" x14ac:dyDescent="0.3">
      <c r="D127" s="360">
        <f t="shared" ref="D127:U127" si="0">SUBTOTAL(9,D4:D126)</f>
        <v>0</v>
      </c>
      <c r="E127" s="360">
        <f t="shared" si="0"/>
        <v>0</v>
      </c>
      <c r="F127" s="360">
        <f t="shared" si="0"/>
        <v>0</v>
      </c>
      <c r="G127" s="360">
        <f t="shared" si="0"/>
        <v>1939</v>
      </c>
      <c r="H127" s="360">
        <f t="shared" si="0"/>
        <v>0</v>
      </c>
      <c r="I127" s="359">
        <f t="shared" si="0"/>
        <v>-241.37960529327393</v>
      </c>
      <c r="J127" s="360">
        <f t="shared" si="0"/>
        <v>0</v>
      </c>
      <c r="K127" s="360">
        <f t="shared" si="0"/>
        <v>-241.37960529327393</v>
      </c>
      <c r="L127" s="360">
        <f t="shared" si="0"/>
        <v>982.83777618408203</v>
      </c>
      <c r="M127" s="360">
        <f t="shared" si="0"/>
        <v>741.45817089080811</v>
      </c>
      <c r="N127" s="360">
        <f t="shared" si="0"/>
        <v>0</v>
      </c>
      <c r="O127" s="360">
        <f t="shared" si="0"/>
        <v>0</v>
      </c>
      <c r="P127" s="360">
        <f t="shared" si="0"/>
        <v>0</v>
      </c>
      <c r="Q127" s="360">
        <f t="shared" si="0"/>
        <v>0</v>
      </c>
      <c r="R127" s="360">
        <f t="shared" si="0"/>
        <v>0</v>
      </c>
      <c r="S127" s="360">
        <f t="shared" si="0"/>
        <v>0</v>
      </c>
      <c r="T127" s="360">
        <f t="shared" si="0"/>
        <v>0</v>
      </c>
      <c r="U127" s="360">
        <f t="shared" si="0"/>
        <v>0</v>
      </c>
    </row>
  </sheetData>
  <autoFilter ref="A2:V126"/>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3"/>
  <sheetViews>
    <sheetView showGridLines="0" zoomScale="84" zoomScaleNormal="84" workbookViewId="0">
      <pane ySplit="3" topLeftCell="A4" activePane="bottomLeft" state="frozen"/>
      <selection pane="bottomLeft" activeCell="I251" sqref="I251"/>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527" t="s">
        <v>1409</v>
      </c>
      <c r="B2" s="527" t="s">
        <v>1410</v>
      </c>
      <c r="C2" s="527" t="s">
        <v>1411</v>
      </c>
      <c r="D2" s="529" t="s">
        <v>1412</v>
      </c>
      <c r="E2" s="445" t="s">
        <v>1413</v>
      </c>
      <c r="F2" s="160"/>
      <c r="G2" s="161"/>
      <c r="H2" s="160"/>
      <c r="I2" s="162" t="s">
        <v>1414</v>
      </c>
      <c r="J2" s="163"/>
      <c r="K2" s="162"/>
      <c r="L2" s="162"/>
      <c r="M2" s="164"/>
      <c r="N2" s="165"/>
      <c r="O2" s="162"/>
      <c r="P2" s="162" t="s">
        <v>1415</v>
      </c>
      <c r="Q2" s="162"/>
      <c r="R2" s="162"/>
      <c r="S2" s="162"/>
      <c r="T2" s="162"/>
      <c r="U2" s="166"/>
    </row>
    <row r="3" spans="1:22"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2" x14ac:dyDescent="0.25">
      <c r="A4" s="149" t="s">
        <v>1194</v>
      </c>
      <c r="B4" s="150" t="s">
        <v>1195</v>
      </c>
      <c r="C4" s="150" t="s">
        <v>59</v>
      </c>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c r="V4" t="e">
        <f>VLOOKUP(A4,'Projetos ciclo 2018-2022'!$I$7:$I$318,1,FALSE)</f>
        <v>#N/A</v>
      </c>
    </row>
    <row r="5" spans="1:22" x14ac:dyDescent="0.25">
      <c r="A5" s="21" t="s">
        <v>1196</v>
      </c>
      <c r="B5" s="154" t="s">
        <v>1197</v>
      </c>
      <c r="C5" s="154" t="s">
        <v>59</v>
      </c>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c r="V5" t="e">
        <f>VLOOKUP(A5,'Projetos ciclo 2018-2022'!$I$7:$I$318,1,FALSE)</f>
        <v>#N/A</v>
      </c>
    </row>
    <row r="6" spans="1:22" x14ac:dyDescent="0.25">
      <c r="A6" s="149" t="s">
        <v>1444</v>
      </c>
      <c r="B6" s="150" t="s">
        <v>1445</v>
      </c>
      <c r="C6" s="150" t="s">
        <v>1446</v>
      </c>
      <c r="D6" s="151">
        <v>464</v>
      </c>
      <c r="E6" s="152">
        <v>0</v>
      </c>
      <c r="F6" s="151">
        <v>464</v>
      </c>
      <c r="G6" s="152">
        <v>0</v>
      </c>
      <c r="H6" s="151">
        <v>132</v>
      </c>
      <c r="I6" s="152">
        <v>0</v>
      </c>
      <c r="J6" s="151">
        <v>0</v>
      </c>
      <c r="K6" s="152">
        <v>0</v>
      </c>
      <c r="L6" s="151">
        <v>0</v>
      </c>
      <c r="M6" s="152">
        <v>0</v>
      </c>
      <c r="N6" s="151">
        <v>0</v>
      </c>
      <c r="O6" s="152">
        <v>0</v>
      </c>
      <c r="P6" s="151">
        <v>0</v>
      </c>
      <c r="Q6" s="152">
        <v>0</v>
      </c>
      <c r="R6" s="151">
        <v>0</v>
      </c>
      <c r="S6" s="152">
        <v>0</v>
      </c>
      <c r="T6" s="151">
        <v>0</v>
      </c>
      <c r="U6" s="153">
        <v>0</v>
      </c>
      <c r="V6" t="e">
        <f>VLOOKUP(A6,'Projetos ciclo 2018-2022'!$I$7:$I$318,1,FALSE)</f>
        <v>#N/A</v>
      </c>
    </row>
    <row r="7" spans="1:22" x14ac:dyDescent="0.25">
      <c r="A7" s="21" t="s">
        <v>1636</v>
      </c>
      <c r="B7" s="154" t="s">
        <v>1664</v>
      </c>
      <c r="C7" s="154" t="s">
        <v>1637</v>
      </c>
      <c r="D7" s="155">
        <v>0</v>
      </c>
      <c r="E7" s="158">
        <v>0</v>
      </c>
      <c r="F7" s="155">
        <v>0</v>
      </c>
      <c r="G7" s="158">
        <v>51</v>
      </c>
      <c r="H7" s="155">
        <v>0</v>
      </c>
      <c r="I7" s="158">
        <v>0</v>
      </c>
      <c r="J7" s="155">
        <v>0</v>
      </c>
      <c r="K7" s="158">
        <v>0</v>
      </c>
      <c r="L7" s="155">
        <v>47.292760133743286</v>
      </c>
      <c r="M7" s="158">
        <v>47.292760133743286</v>
      </c>
      <c r="N7" s="155">
        <v>0</v>
      </c>
      <c r="O7" s="158">
        <v>0</v>
      </c>
      <c r="P7" s="155">
        <v>0</v>
      </c>
      <c r="Q7" s="158">
        <v>0</v>
      </c>
      <c r="R7" s="155">
        <v>0</v>
      </c>
      <c r="S7" s="158">
        <v>0</v>
      </c>
      <c r="T7" s="155">
        <v>0</v>
      </c>
      <c r="U7" s="157">
        <v>0</v>
      </c>
      <c r="V7" t="str">
        <f>VLOOKUP(A7,'Projetos ciclo 2018-2022'!$I$7:$I$318,1,FALSE)</f>
        <v>MG00818</v>
      </c>
    </row>
    <row r="8" spans="1:22" x14ac:dyDescent="0.25">
      <c r="A8" s="149" t="s">
        <v>565</v>
      </c>
      <c r="B8" s="150" t="s">
        <v>1198</v>
      </c>
      <c r="C8" s="150" t="s">
        <v>59</v>
      </c>
      <c r="D8" s="151">
        <v>1854</v>
      </c>
      <c r="E8" s="152">
        <v>0</v>
      </c>
      <c r="F8" s="151">
        <v>0</v>
      </c>
      <c r="G8" s="152">
        <v>0</v>
      </c>
      <c r="H8" s="151">
        <v>0</v>
      </c>
      <c r="I8" s="152">
        <v>0</v>
      </c>
      <c r="J8" s="151">
        <v>0</v>
      </c>
      <c r="K8" s="152">
        <v>0</v>
      </c>
      <c r="L8" s="151">
        <v>0</v>
      </c>
      <c r="M8" s="152">
        <v>0</v>
      </c>
      <c r="N8" s="151">
        <v>634</v>
      </c>
      <c r="O8" s="152">
        <v>435</v>
      </c>
      <c r="P8" s="151">
        <v>360</v>
      </c>
      <c r="Q8" s="152">
        <v>425</v>
      </c>
      <c r="R8" s="151">
        <v>0</v>
      </c>
      <c r="S8" s="152">
        <v>0</v>
      </c>
      <c r="T8" s="151">
        <v>0</v>
      </c>
      <c r="U8" s="153">
        <v>0</v>
      </c>
      <c r="V8" t="str">
        <f>VLOOKUP(A8,'Projetos ciclo 2018-2022'!$I$7:$I$318,1,FALSE)</f>
        <v>NA</v>
      </c>
    </row>
    <row r="9" spans="1:22" x14ac:dyDescent="0.25">
      <c r="A9" s="21" t="s">
        <v>1530</v>
      </c>
      <c r="B9" s="154" t="s">
        <v>1580</v>
      </c>
      <c r="C9" s="154" t="s">
        <v>1531</v>
      </c>
      <c r="D9" s="155">
        <v>0</v>
      </c>
      <c r="E9" s="158">
        <v>0</v>
      </c>
      <c r="F9" s="155">
        <v>0</v>
      </c>
      <c r="G9" s="158">
        <v>132</v>
      </c>
      <c r="H9" s="155">
        <v>0</v>
      </c>
      <c r="I9" s="158">
        <v>28.784600853919983</v>
      </c>
      <c r="J9" s="155">
        <v>0</v>
      </c>
      <c r="K9" s="158">
        <v>28.784600853919983</v>
      </c>
      <c r="L9" s="155">
        <v>90.727752685546875</v>
      </c>
      <c r="M9" s="158">
        <v>119.51235353946686</v>
      </c>
      <c r="N9" s="155">
        <v>0</v>
      </c>
      <c r="O9" s="158">
        <v>0</v>
      </c>
      <c r="P9" s="155">
        <v>0</v>
      </c>
      <c r="Q9" s="158">
        <v>0</v>
      </c>
      <c r="R9" s="155">
        <v>0</v>
      </c>
      <c r="S9" s="158">
        <v>0</v>
      </c>
      <c r="T9" s="155">
        <v>0</v>
      </c>
      <c r="U9" s="157">
        <v>0</v>
      </c>
      <c r="V9" t="str">
        <f>VLOOKUP(A9,'Projetos ciclo 2018-2022'!$I$7:$I$318,1,FALSE)</f>
        <v>SC00318</v>
      </c>
    </row>
    <row r="10" spans="1:22" x14ac:dyDescent="0.25">
      <c r="A10" s="149" t="s">
        <v>1944</v>
      </c>
      <c r="B10" s="150" t="s">
        <v>1967</v>
      </c>
      <c r="C10" s="150" t="s">
        <v>1968</v>
      </c>
      <c r="D10" s="151">
        <v>0</v>
      </c>
      <c r="E10" s="152">
        <v>0</v>
      </c>
      <c r="F10" s="151">
        <v>0</v>
      </c>
      <c r="G10" s="152">
        <v>60</v>
      </c>
      <c r="H10" s="151">
        <v>0</v>
      </c>
      <c r="I10" s="152">
        <v>0</v>
      </c>
      <c r="J10" s="151">
        <v>0</v>
      </c>
      <c r="K10" s="152">
        <v>0</v>
      </c>
      <c r="L10" s="151">
        <v>0</v>
      </c>
      <c r="M10" s="152">
        <v>0</v>
      </c>
      <c r="N10" s="151">
        <v>0</v>
      </c>
      <c r="O10" s="152">
        <v>0</v>
      </c>
      <c r="P10" s="151">
        <v>0</v>
      </c>
      <c r="Q10" s="152">
        <v>0</v>
      </c>
      <c r="R10" s="151">
        <v>0</v>
      </c>
      <c r="S10" s="152">
        <v>0</v>
      </c>
      <c r="T10" s="151">
        <v>0</v>
      </c>
      <c r="U10" s="153">
        <v>0</v>
      </c>
      <c r="V10" t="str">
        <f>VLOOKUP(A10,'Projetos ciclo 2018-2022'!$I$7:$I$318,1,FALSE)</f>
        <v>SC01018</v>
      </c>
    </row>
    <row r="11" spans="1:22" x14ac:dyDescent="0.25">
      <c r="A11" s="21" t="s">
        <v>1199</v>
      </c>
      <c r="B11" s="154" t="s">
        <v>1200</v>
      </c>
      <c r="C11" s="154" t="s">
        <v>59</v>
      </c>
      <c r="D11" s="155">
        <v>318</v>
      </c>
      <c r="E11" s="158">
        <v>0</v>
      </c>
      <c r="F11" s="155">
        <v>0</v>
      </c>
      <c r="G11" s="158">
        <v>0</v>
      </c>
      <c r="H11" s="155">
        <v>0</v>
      </c>
      <c r="I11" s="158">
        <v>0</v>
      </c>
      <c r="J11" s="155">
        <v>0</v>
      </c>
      <c r="K11" s="158">
        <v>0</v>
      </c>
      <c r="L11" s="155">
        <v>0</v>
      </c>
      <c r="M11" s="158">
        <v>0</v>
      </c>
      <c r="N11" s="155">
        <v>0</v>
      </c>
      <c r="O11" s="158">
        <v>0</v>
      </c>
      <c r="P11" s="155">
        <v>0</v>
      </c>
      <c r="Q11" s="158">
        <v>0</v>
      </c>
      <c r="R11" s="155">
        <v>0</v>
      </c>
      <c r="S11" s="158">
        <v>0</v>
      </c>
      <c r="T11" s="155">
        <v>0</v>
      </c>
      <c r="U11" s="157">
        <v>0</v>
      </c>
      <c r="V11" t="e">
        <f>VLOOKUP(A11,'Projetos ciclo 2018-2022'!$I$7:$I$318,1,FALSE)</f>
        <v>#N/A</v>
      </c>
    </row>
    <row r="12" spans="1:22" x14ac:dyDescent="0.25">
      <c r="A12" s="149" t="s">
        <v>1194</v>
      </c>
      <c r="B12" s="150" t="s">
        <v>1201</v>
      </c>
      <c r="C12" s="150" t="s">
        <v>59</v>
      </c>
      <c r="D12" s="151">
        <v>0</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c r="V12" t="e">
        <f>VLOOKUP(A12,'Projetos ciclo 2018-2022'!$I$7:$I$318,1,FALSE)</f>
        <v>#N/A</v>
      </c>
    </row>
    <row r="13" spans="1:22" x14ac:dyDescent="0.25">
      <c r="A13" s="21" t="s">
        <v>1196</v>
      </c>
      <c r="B13" s="154" t="s">
        <v>1197</v>
      </c>
      <c r="C13" s="154" t="s">
        <v>59</v>
      </c>
      <c r="D13" s="155">
        <v>0</v>
      </c>
      <c r="E13" s="158">
        <v>0</v>
      </c>
      <c r="F13" s="155">
        <v>0</v>
      </c>
      <c r="G13" s="158">
        <v>0</v>
      </c>
      <c r="H13" s="155">
        <v>0</v>
      </c>
      <c r="I13" s="158">
        <v>0</v>
      </c>
      <c r="J13" s="155">
        <v>0</v>
      </c>
      <c r="K13" s="158">
        <v>0</v>
      </c>
      <c r="L13" s="155">
        <v>0</v>
      </c>
      <c r="M13" s="158">
        <v>0</v>
      </c>
      <c r="N13" s="155">
        <v>0</v>
      </c>
      <c r="O13" s="158">
        <v>0</v>
      </c>
      <c r="P13" s="155">
        <v>0</v>
      </c>
      <c r="Q13" s="158">
        <v>0</v>
      </c>
      <c r="R13" s="155">
        <v>0</v>
      </c>
      <c r="S13" s="158">
        <v>0</v>
      </c>
      <c r="T13" s="155">
        <v>0</v>
      </c>
      <c r="U13" s="157">
        <v>0</v>
      </c>
      <c r="V13" t="e">
        <f>VLOOKUP(A13,'Projetos ciclo 2018-2022'!$I$7:$I$318,1,FALSE)</f>
        <v>#N/A</v>
      </c>
    </row>
    <row r="14" spans="1:22" x14ac:dyDescent="0.25">
      <c r="A14" s="149" t="s">
        <v>565</v>
      </c>
      <c r="B14" s="150" t="s">
        <v>1198</v>
      </c>
      <c r="C14" s="150" t="s">
        <v>59</v>
      </c>
      <c r="D14" s="151">
        <v>139</v>
      </c>
      <c r="E14" s="152">
        <v>0</v>
      </c>
      <c r="F14" s="151">
        <v>0</v>
      </c>
      <c r="G14" s="152">
        <v>0</v>
      </c>
      <c r="H14" s="151">
        <v>0</v>
      </c>
      <c r="I14" s="152">
        <v>0</v>
      </c>
      <c r="J14" s="151">
        <v>0</v>
      </c>
      <c r="K14" s="152">
        <v>0</v>
      </c>
      <c r="L14" s="151">
        <v>0</v>
      </c>
      <c r="M14" s="152">
        <v>0</v>
      </c>
      <c r="N14" s="151">
        <v>16</v>
      </c>
      <c r="O14" s="152">
        <v>30</v>
      </c>
      <c r="P14" s="151">
        <v>50</v>
      </c>
      <c r="Q14" s="152">
        <v>43</v>
      </c>
      <c r="R14" s="151">
        <v>0</v>
      </c>
      <c r="S14" s="152">
        <v>0</v>
      </c>
      <c r="T14" s="151">
        <v>0</v>
      </c>
      <c r="U14" s="153">
        <v>0</v>
      </c>
      <c r="V14" t="str">
        <f>VLOOKUP(A14,'Projetos ciclo 2018-2022'!$I$7:$I$318,1,FALSE)</f>
        <v>NA</v>
      </c>
    </row>
    <row r="15" spans="1:22" x14ac:dyDescent="0.25">
      <c r="A15" s="21" t="s">
        <v>1199</v>
      </c>
      <c r="B15" s="154" t="s">
        <v>1200</v>
      </c>
      <c r="C15" s="154" t="s">
        <v>59</v>
      </c>
      <c r="D15" s="155">
        <v>0</v>
      </c>
      <c r="E15" s="158">
        <v>0</v>
      </c>
      <c r="F15" s="155">
        <v>0</v>
      </c>
      <c r="G15" s="158">
        <v>0</v>
      </c>
      <c r="H15" s="155">
        <v>0</v>
      </c>
      <c r="I15" s="158">
        <v>0</v>
      </c>
      <c r="J15" s="155">
        <v>0</v>
      </c>
      <c r="K15" s="158">
        <v>0</v>
      </c>
      <c r="L15" s="155">
        <v>0</v>
      </c>
      <c r="M15" s="158">
        <v>0</v>
      </c>
      <c r="N15" s="155">
        <v>0</v>
      </c>
      <c r="O15" s="158">
        <v>0</v>
      </c>
      <c r="P15" s="155">
        <v>0</v>
      </c>
      <c r="Q15" s="158">
        <v>0</v>
      </c>
      <c r="R15" s="155">
        <v>0</v>
      </c>
      <c r="S15" s="158">
        <v>0</v>
      </c>
      <c r="T15" s="155">
        <v>0</v>
      </c>
      <c r="U15" s="157">
        <v>0</v>
      </c>
      <c r="V15" t="e">
        <f>VLOOKUP(A15,'Projetos ciclo 2018-2022'!$I$7:$I$318,1,FALSE)</f>
        <v>#N/A</v>
      </c>
    </row>
    <row r="16" spans="1:22" x14ac:dyDescent="0.25">
      <c r="A16" s="149" t="s">
        <v>1202</v>
      </c>
      <c r="B16" s="150" t="s">
        <v>1203</v>
      </c>
      <c r="C16" s="150" t="s">
        <v>1204</v>
      </c>
      <c r="D16" s="151">
        <v>29</v>
      </c>
      <c r="E16" s="152">
        <v>0</v>
      </c>
      <c r="F16" s="151">
        <v>29</v>
      </c>
      <c r="G16" s="152">
        <v>0</v>
      </c>
      <c r="H16" s="151">
        <v>0</v>
      </c>
      <c r="I16" s="152">
        <v>0</v>
      </c>
      <c r="J16" s="151">
        <v>0</v>
      </c>
      <c r="K16" s="152">
        <v>0</v>
      </c>
      <c r="L16" s="151">
        <v>0</v>
      </c>
      <c r="M16" s="152">
        <v>0</v>
      </c>
      <c r="N16" s="151">
        <v>0</v>
      </c>
      <c r="O16" s="152">
        <v>0</v>
      </c>
      <c r="P16" s="151">
        <v>0</v>
      </c>
      <c r="Q16" s="152">
        <v>0</v>
      </c>
      <c r="R16" s="151">
        <v>0</v>
      </c>
      <c r="S16" s="152">
        <v>0</v>
      </c>
      <c r="T16" s="151">
        <v>0</v>
      </c>
      <c r="U16" s="153">
        <v>0</v>
      </c>
      <c r="V16" t="e">
        <f>VLOOKUP(A16,'Projetos ciclo 2018-2022'!$I$7:$I$318,1,FALSE)</f>
        <v>#N/A</v>
      </c>
    </row>
    <row r="17" spans="1:22" x14ac:dyDescent="0.25">
      <c r="A17" s="21" t="s">
        <v>1933</v>
      </c>
      <c r="B17" s="154" t="s">
        <v>1934</v>
      </c>
      <c r="C17" s="154" t="s">
        <v>1935</v>
      </c>
      <c r="D17" s="155">
        <v>0</v>
      </c>
      <c r="E17" s="158">
        <v>0</v>
      </c>
      <c r="F17" s="155">
        <v>0</v>
      </c>
      <c r="G17" s="158">
        <v>10</v>
      </c>
      <c r="H17" s="155">
        <v>0</v>
      </c>
      <c r="I17" s="158">
        <v>2.2655799686908722</v>
      </c>
      <c r="J17" s="155">
        <v>0</v>
      </c>
      <c r="K17" s="158">
        <v>2.2655799686908722</v>
      </c>
      <c r="L17" s="155">
        <v>0</v>
      </c>
      <c r="M17" s="158">
        <v>2.2655799686908722</v>
      </c>
      <c r="N17" s="155">
        <v>0</v>
      </c>
      <c r="O17" s="158">
        <v>0</v>
      </c>
      <c r="P17" s="155">
        <v>0</v>
      </c>
      <c r="Q17" s="158">
        <v>0</v>
      </c>
      <c r="R17" s="155">
        <v>0</v>
      </c>
      <c r="S17" s="158">
        <v>0</v>
      </c>
      <c r="T17" s="155">
        <v>0</v>
      </c>
      <c r="U17" s="157">
        <v>0</v>
      </c>
      <c r="V17" t="str">
        <f>VLOOKUP(A17,'Projetos ciclo 2018-2022'!$I$7:$I$318,1,FALSE)</f>
        <v>TI08018</v>
      </c>
    </row>
    <row r="18" spans="1:22" x14ac:dyDescent="0.25">
      <c r="A18" s="149" t="s">
        <v>1194</v>
      </c>
      <c r="B18" s="150" t="s">
        <v>1205</v>
      </c>
      <c r="C18" s="150" t="s">
        <v>59</v>
      </c>
      <c r="D18" s="151">
        <v>0</v>
      </c>
      <c r="E18" s="152">
        <v>0</v>
      </c>
      <c r="F18" s="151">
        <v>0</v>
      </c>
      <c r="G18" s="152">
        <v>0</v>
      </c>
      <c r="H18" s="151">
        <v>0</v>
      </c>
      <c r="I18" s="152">
        <v>0</v>
      </c>
      <c r="J18" s="151">
        <v>0</v>
      </c>
      <c r="K18" s="152">
        <v>0</v>
      </c>
      <c r="L18" s="151">
        <v>0</v>
      </c>
      <c r="M18" s="152">
        <v>0</v>
      </c>
      <c r="N18" s="151">
        <v>0</v>
      </c>
      <c r="O18" s="152">
        <v>0</v>
      </c>
      <c r="P18" s="151">
        <v>0</v>
      </c>
      <c r="Q18" s="152">
        <v>0</v>
      </c>
      <c r="R18" s="151">
        <v>0</v>
      </c>
      <c r="S18" s="152">
        <v>0</v>
      </c>
      <c r="T18" s="151">
        <v>0</v>
      </c>
      <c r="U18" s="153">
        <v>0</v>
      </c>
      <c r="V18" t="e">
        <f>VLOOKUP(A18,'Projetos ciclo 2018-2022'!$I$7:$I$318,1,FALSE)</f>
        <v>#N/A</v>
      </c>
    </row>
    <row r="19" spans="1:22" x14ac:dyDescent="0.25">
      <c r="A19" s="21" t="s">
        <v>1196</v>
      </c>
      <c r="B19" s="154" t="s">
        <v>1197</v>
      </c>
      <c r="C19" s="154" t="s">
        <v>59</v>
      </c>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c r="V19" t="e">
        <f>VLOOKUP(A19,'Projetos ciclo 2018-2022'!$I$7:$I$318,1,FALSE)</f>
        <v>#N/A</v>
      </c>
    </row>
    <row r="20" spans="1:22" x14ac:dyDescent="0.25">
      <c r="A20" s="149" t="s">
        <v>565</v>
      </c>
      <c r="B20" s="150" t="s">
        <v>1198</v>
      </c>
      <c r="C20" s="150" t="s">
        <v>59</v>
      </c>
      <c r="D20" s="151">
        <v>896</v>
      </c>
      <c r="E20" s="152">
        <v>0</v>
      </c>
      <c r="F20" s="151">
        <v>0</v>
      </c>
      <c r="G20" s="152">
        <v>0</v>
      </c>
      <c r="H20" s="151">
        <v>0</v>
      </c>
      <c r="I20" s="152">
        <v>0</v>
      </c>
      <c r="J20" s="151">
        <v>0</v>
      </c>
      <c r="K20" s="152">
        <v>0</v>
      </c>
      <c r="L20" s="151">
        <v>0</v>
      </c>
      <c r="M20" s="152">
        <v>0</v>
      </c>
      <c r="N20" s="151">
        <v>351.5</v>
      </c>
      <c r="O20" s="152">
        <v>214.5</v>
      </c>
      <c r="P20" s="151">
        <v>51.5</v>
      </c>
      <c r="Q20" s="152">
        <v>278.5</v>
      </c>
      <c r="R20" s="151">
        <v>0</v>
      </c>
      <c r="S20" s="152">
        <v>0</v>
      </c>
      <c r="T20" s="151">
        <v>0</v>
      </c>
      <c r="U20" s="153">
        <v>0</v>
      </c>
      <c r="V20" t="str">
        <f>VLOOKUP(A20,'Projetos ciclo 2018-2022'!$I$7:$I$318,1,FALSE)</f>
        <v>NA</v>
      </c>
    </row>
    <row r="21" spans="1:22" x14ac:dyDescent="0.25">
      <c r="A21" s="21" t="s">
        <v>1199</v>
      </c>
      <c r="B21" s="154" t="s">
        <v>1200</v>
      </c>
      <c r="C21" s="154" t="s">
        <v>59</v>
      </c>
      <c r="D21" s="155">
        <v>0</v>
      </c>
      <c r="E21" s="158">
        <v>0</v>
      </c>
      <c r="F21" s="155">
        <v>0</v>
      </c>
      <c r="G21" s="158">
        <v>0</v>
      </c>
      <c r="H21" s="155">
        <v>0</v>
      </c>
      <c r="I21" s="158">
        <v>0</v>
      </c>
      <c r="J21" s="155">
        <v>0</v>
      </c>
      <c r="K21" s="158">
        <v>0</v>
      </c>
      <c r="L21" s="155">
        <v>0</v>
      </c>
      <c r="M21" s="158">
        <v>0</v>
      </c>
      <c r="N21" s="155">
        <v>0</v>
      </c>
      <c r="O21" s="158">
        <v>0</v>
      </c>
      <c r="P21" s="155">
        <v>0</v>
      </c>
      <c r="Q21" s="158">
        <v>0</v>
      </c>
      <c r="R21" s="155">
        <v>0</v>
      </c>
      <c r="S21" s="158">
        <v>0</v>
      </c>
      <c r="T21" s="155">
        <v>0</v>
      </c>
      <c r="U21" s="157">
        <v>0</v>
      </c>
      <c r="V21" t="e">
        <f>VLOOKUP(A21,'Projetos ciclo 2018-2022'!$I$7:$I$318,1,FALSE)</f>
        <v>#N/A</v>
      </c>
    </row>
    <row r="22" spans="1:22" x14ac:dyDescent="0.25">
      <c r="A22" s="149" t="s">
        <v>1468</v>
      </c>
      <c r="B22" s="150" t="s">
        <v>1469</v>
      </c>
      <c r="C22" s="150" t="s">
        <v>1470</v>
      </c>
      <c r="D22" s="151">
        <v>0</v>
      </c>
      <c r="E22" s="152">
        <v>0</v>
      </c>
      <c r="F22" s="151">
        <v>0</v>
      </c>
      <c r="G22" s="152">
        <v>59</v>
      </c>
      <c r="H22" s="151">
        <v>0</v>
      </c>
      <c r="I22" s="152">
        <v>0</v>
      </c>
      <c r="J22" s="151">
        <v>0</v>
      </c>
      <c r="K22" s="152">
        <v>0</v>
      </c>
      <c r="L22" s="151">
        <v>47.798999786376953</v>
      </c>
      <c r="M22" s="152">
        <v>47.798999786376953</v>
      </c>
      <c r="N22" s="151">
        <v>0</v>
      </c>
      <c r="O22" s="152">
        <v>0</v>
      </c>
      <c r="P22" s="151">
        <v>0</v>
      </c>
      <c r="Q22" s="152">
        <v>0</v>
      </c>
      <c r="R22" s="151">
        <v>0</v>
      </c>
      <c r="S22" s="152">
        <v>0</v>
      </c>
      <c r="T22" s="151">
        <v>0</v>
      </c>
      <c r="U22" s="153">
        <v>0</v>
      </c>
      <c r="V22" t="str">
        <f>VLOOKUP(A22,'Projetos ciclo 2018-2022'!$I$7:$I$318,1,FALSE)</f>
        <v>TI03218</v>
      </c>
    </row>
    <row r="23" spans="1:22" x14ac:dyDescent="0.25">
      <c r="A23" s="21" t="s">
        <v>1206</v>
      </c>
      <c r="B23" s="154" t="s">
        <v>1207</v>
      </c>
      <c r="C23" s="154" t="s">
        <v>1208</v>
      </c>
      <c r="D23" s="155">
        <v>59</v>
      </c>
      <c r="E23" s="158">
        <v>0</v>
      </c>
      <c r="F23" s="155">
        <v>59</v>
      </c>
      <c r="G23" s="158">
        <v>0</v>
      </c>
      <c r="H23" s="155">
        <v>0</v>
      </c>
      <c r="I23" s="158">
        <v>0</v>
      </c>
      <c r="J23" s="155">
        <v>0</v>
      </c>
      <c r="K23" s="158">
        <v>0</v>
      </c>
      <c r="L23" s="155">
        <v>0</v>
      </c>
      <c r="M23" s="158">
        <v>0</v>
      </c>
      <c r="N23" s="155">
        <v>0</v>
      </c>
      <c r="O23" s="158">
        <v>0</v>
      </c>
      <c r="P23" s="155">
        <v>0</v>
      </c>
      <c r="Q23" s="158">
        <v>0</v>
      </c>
      <c r="R23" s="155">
        <v>0</v>
      </c>
      <c r="S23" s="158">
        <v>0</v>
      </c>
      <c r="T23" s="155">
        <v>0</v>
      </c>
      <c r="U23" s="157">
        <v>0</v>
      </c>
      <c r="V23" t="e">
        <f>VLOOKUP(A23,'Projetos ciclo 2018-2022'!$I$7:$I$318,1,FALSE)</f>
        <v>#N/A</v>
      </c>
    </row>
    <row r="24" spans="1:22" x14ac:dyDescent="0.25">
      <c r="A24" s="149" t="s">
        <v>1194</v>
      </c>
      <c r="B24" s="150" t="s">
        <v>1209</v>
      </c>
      <c r="C24" s="150" t="s">
        <v>59</v>
      </c>
      <c r="D24" s="151">
        <v>0</v>
      </c>
      <c r="E24" s="152">
        <v>0</v>
      </c>
      <c r="F24" s="151">
        <v>0</v>
      </c>
      <c r="G24" s="152">
        <v>0</v>
      </c>
      <c r="H24" s="151">
        <v>0</v>
      </c>
      <c r="I24" s="152">
        <v>0</v>
      </c>
      <c r="J24" s="151">
        <v>0</v>
      </c>
      <c r="K24" s="152">
        <v>0</v>
      </c>
      <c r="L24" s="151">
        <v>0</v>
      </c>
      <c r="M24" s="152">
        <v>0</v>
      </c>
      <c r="N24" s="151">
        <v>0</v>
      </c>
      <c r="O24" s="152">
        <v>0</v>
      </c>
      <c r="P24" s="151">
        <v>0</v>
      </c>
      <c r="Q24" s="152">
        <v>0</v>
      </c>
      <c r="R24" s="151">
        <v>0</v>
      </c>
      <c r="S24" s="152">
        <v>0</v>
      </c>
      <c r="T24" s="151">
        <v>0</v>
      </c>
      <c r="U24" s="153">
        <v>0</v>
      </c>
      <c r="V24" t="e">
        <f>VLOOKUP(A24,'Projetos ciclo 2018-2022'!$I$7:$I$318,1,FALSE)</f>
        <v>#N/A</v>
      </c>
    </row>
    <row r="25" spans="1:22" x14ac:dyDescent="0.25">
      <c r="A25" s="21" t="s">
        <v>1196</v>
      </c>
      <c r="B25" s="154" t="s">
        <v>1197</v>
      </c>
      <c r="C25" s="154" t="s">
        <v>59</v>
      </c>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c r="V25" t="e">
        <f>VLOOKUP(A25,'Projetos ciclo 2018-2022'!$I$7:$I$318,1,FALSE)</f>
        <v>#N/A</v>
      </c>
    </row>
    <row r="26" spans="1:22" x14ac:dyDescent="0.25">
      <c r="A26" s="149" t="s">
        <v>565</v>
      </c>
      <c r="B26" s="150" t="s">
        <v>1198</v>
      </c>
      <c r="C26" s="150" t="s">
        <v>59</v>
      </c>
      <c r="D26" s="151">
        <v>4002</v>
      </c>
      <c r="E26" s="152">
        <v>0</v>
      </c>
      <c r="F26" s="151">
        <v>0</v>
      </c>
      <c r="G26" s="152">
        <v>0</v>
      </c>
      <c r="H26" s="151">
        <v>0</v>
      </c>
      <c r="I26" s="152">
        <v>0</v>
      </c>
      <c r="J26" s="151">
        <v>0</v>
      </c>
      <c r="K26" s="152">
        <v>0</v>
      </c>
      <c r="L26" s="151">
        <v>0</v>
      </c>
      <c r="M26" s="152">
        <v>0</v>
      </c>
      <c r="N26" s="151">
        <v>928</v>
      </c>
      <c r="O26" s="152">
        <v>1188</v>
      </c>
      <c r="P26" s="151">
        <v>1123</v>
      </c>
      <c r="Q26" s="152">
        <v>763</v>
      </c>
      <c r="R26" s="151">
        <v>0</v>
      </c>
      <c r="S26" s="152">
        <v>0</v>
      </c>
      <c r="T26" s="151">
        <v>0</v>
      </c>
      <c r="U26" s="153">
        <v>0</v>
      </c>
      <c r="V26" t="str">
        <f>VLOOKUP(A26,'Projetos ciclo 2018-2022'!$I$7:$I$318,1,FALSE)</f>
        <v>NA</v>
      </c>
    </row>
    <row r="27" spans="1:22" x14ac:dyDescent="0.25">
      <c r="A27" s="21" t="s">
        <v>1199</v>
      </c>
      <c r="B27" s="154" t="s">
        <v>1200</v>
      </c>
      <c r="C27" s="154" t="s">
        <v>59</v>
      </c>
      <c r="D27" s="155">
        <v>0</v>
      </c>
      <c r="E27" s="158">
        <v>0</v>
      </c>
      <c r="F27" s="155">
        <v>0</v>
      </c>
      <c r="G27" s="158">
        <v>0</v>
      </c>
      <c r="H27" s="155">
        <v>0</v>
      </c>
      <c r="I27" s="158">
        <v>0</v>
      </c>
      <c r="J27" s="155">
        <v>0</v>
      </c>
      <c r="K27" s="158">
        <v>0</v>
      </c>
      <c r="L27" s="155">
        <v>0</v>
      </c>
      <c r="M27" s="158">
        <v>0</v>
      </c>
      <c r="N27" s="155">
        <v>0</v>
      </c>
      <c r="O27" s="158">
        <v>0</v>
      </c>
      <c r="P27" s="155">
        <v>0</v>
      </c>
      <c r="Q27" s="158">
        <v>0</v>
      </c>
      <c r="R27" s="155">
        <v>0</v>
      </c>
      <c r="S27" s="158">
        <v>0</v>
      </c>
      <c r="T27" s="155">
        <v>0</v>
      </c>
      <c r="U27" s="157">
        <v>0</v>
      </c>
      <c r="V27" t="e">
        <f>VLOOKUP(A27,'Projetos ciclo 2018-2022'!$I$7:$I$318,1,FALSE)</f>
        <v>#N/A</v>
      </c>
    </row>
    <row r="28" spans="1:22" x14ac:dyDescent="0.25">
      <c r="A28" s="149" t="s">
        <v>1117</v>
      </c>
      <c r="B28" s="150" t="s">
        <v>1210</v>
      </c>
      <c r="C28" s="150" t="s">
        <v>1211</v>
      </c>
      <c r="D28" s="151">
        <v>0</v>
      </c>
      <c r="E28" s="152">
        <v>0</v>
      </c>
      <c r="F28" s="151">
        <v>0</v>
      </c>
      <c r="G28" s="152">
        <v>119</v>
      </c>
      <c r="H28" s="151">
        <v>0</v>
      </c>
      <c r="I28" s="152">
        <v>119.11103057861328</v>
      </c>
      <c r="J28" s="151">
        <v>0</v>
      </c>
      <c r="K28" s="152">
        <v>119.11103057861328</v>
      </c>
      <c r="L28" s="151">
        <v>0</v>
      </c>
      <c r="M28" s="152">
        <v>119.11103057861328</v>
      </c>
      <c r="N28" s="151">
        <v>0</v>
      </c>
      <c r="O28" s="152">
        <v>0</v>
      </c>
      <c r="P28" s="151">
        <v>0</v>
      </c>
      <c r="Q28" s="152">
        <v>0</v>
      </c>
      <c r="R28" s="151">
        <v>0</v>
      </c>
      <c r="S28" s="152">
        <v>0</v>
      </c>
      <c r="T28" s="151">
        <v>0</v>
      </c>
      <c r="U28" s="153">
        <v>0</v>
      </c>
      <c r="V28" t="str">
        <f>VLOOKUP(A28,'Projetos ciclo 2018-2022'!$I$7:$I$318,1,FALSE)</f>
        <v>TI00218</v>
      </c>
    </row>
    <row r="29" spans="1:22" x14ac:dyDescent="0.25">
      <c r="A29" s="21" t="s">
        <v>800</v>
      </c>
      <c r="B29" s="154" t="s">
        <v>403</v>
      </c>
      <c r="C29" s="154" t="s">
        <v>1212</v>
      </c>
      <c r="D29" s="155">
        <v>0</v>
      </c>
      <c r="E29" s="158">
        <v>0</v>
      </c>
      <c r="F29" s="155">
        <v>0</v>
      </c>
      <c r="G29" s="158">
        <v>490</v>
      </c>
      <c r="H29" s="155">
        <v>0</v>
      </c>
      <c r="I29" s="158">
        <v>199.49535179138184</v>
      </c>
      <c r="J29" s="155">
        <v>0</v>
      </c>
      <c r="K29" s="158">
        <v>199.49535179138184</v>
      </c>
      <c r="L29" s="155">
        <v>284.27999877929687</v>
      </c>
      <c r="M29" s="158">
        <v>483.77535057067871</v>
      </c>
      <c r="N29" s="155">
        <v>0</v>
      </c>
      <c r="O29" s="158">
        <v>0</v>
      </c>
      <c r="P29" s="155">
        <v>0</v>
      </c>
      <c r="Q29" s="158">
        <v>0</v>
      </c>
      <c r="R29" s="155">
        <v>0</v>
      </c>
      <c r="S29" s="158">
        <v>0</v>
      </c>
      <c r="T29" s="155">
        <v>0</v>
      </c>
      <c r="U29" s="157">
        <v>0</v>
      </c>
      <c r="V29" t="str">
        <f>VLOOKUP(A29,'Projetos ciclo 2018-2022'!$I$7:$I$318,1,FALSE)</f>
        <v>TI02216</v>
      </c>
    </row>
    <row r="30" spans="1:22" x14ac:dyDescent="0.25">
      <c r="A30" s="149" t="s">
        <v>1213</v>
      </c>
      <c r="B30" s="150" t="s">
        <v>1210</v>
      </c>
      <c r="C30" s="150" t="s">
        <v>1214</v>
      </c>
      <c r="D30" s="151">
        <v>0</v>
      </c>
      <c r="E30" s="152">
        <v>0</v>
      </c>
      <c r="F30" s="151">
        <v>0</v>
      </c>
      <c r="G30" s="152">
        <v>115</v>
      </c>
      <c r="H30" s="151">
        <v>0</v>
      </c>
      <c r="I30" s="152">
        <v>0</v>
      </c>
      <c r="J30" s="151">
        <v>0</v>
      </c>
      <c r="K30" s="152">
        <v>0</v>
      </c>
      <c r="L30" s="151">
        <v>115.19999694824219</v>
      </c>
      <c r="M30" s="152">
        <v>115.19999694824219</v>
      </c>
      <c r="N30" s="151">
        <v>0</v>
      </c>
      <c r="O30" s="152">
        <v>0</v>
      </c>
      <c r="P30" s="151">
        <v>0</v>
      </c>
      <c r="Q30" s="152">
        <v>0</v>
      </c>
      <c r="R30" s="151">
        <v>0</v>
      </c>
      <c r="S30" s="152">
        <v>0</v>
      </c>
      <c r="T30" s="151">
        <v>0</v>
      </c>
      <c r="U30" s="153">
        <v>0</v>
      </c>
      <c r="V30" t="str">
        <f>VLOOKUP(A30,'Projetos ciclo 2018-2022'!$I$7:$I$318,1,FALSE)</f>
        <v>TI03018</v>
      </c>
    </row>
    <row r="31" spans="1:22" x14ac:dyDescent="0.25">
      <c r="A31" s="21" t="s">
        <v>1215</v>
      </c>
      <c r="B31" s="154" t="s">
        <v>1216</v>
      </c>
      <c r="C31" s="154" t="s">
        <v>1217</v>
      </c>
      <c r="D31" s="155">
        <v>2118</v>
      </c>
      <c r="E31" s="158">
        <v>0</v>
      </c>
      <c r="F31" s="155">
        <v>1886</v>
      </c>
      <c r="G31" s="158">
        <v>0</v>
      </c>
      <c r="H31" s="155">
        <v>448</v>
      </c>
      <c r="I31" s="158">
        <v>0</v>
      </c>
      <c r="J31" s="155">
        <v>0</v>
      </c>
      <c r="K31" s="158">
        <v>0</v>
      </c>
      <c r="L31" s="155">
        <v>0</v>
      </c>
      <c r="M31" s="158">
        <v>0</v>
      </c>
      <c r="N31" s="155">
        <v>210</v>
      </c>
      <c r="O31" s="158">
        <v>22</v>
      </c>
      <c r="P31" s="155">
        <v>0</v>
      </c>
      <c r="Q31" s="158">
        <v>0</v>
      </c>
      <c r="R31" s="155">
        <v>0</v>
      </c>
      <c r="S31" s="158">
        <v>0</v>
      </c>
      <c r="T31" s="155">
        <v>0</v>
      </c>
      <c r="U31" s="157">
        <v>0</v>
      </c>
      <c r="V31" t="e">
        <f>VLOOKUP(A31,'Projetos ciclo 2018-2022'!$I$7:$I$318,1,FALSE)</f>
        <v>#N/A</v>
      </c>
    </row>
    <row r="32" spans="1:22" x14ac:dyDescent="0.25">
      <c r="A32" s="149" t="s">
        <v>1471</v>
      </c>
      <c r="B32" s="150" t="s">
        <v>1472</v>
      </c>
      <c r="C32" s="150" t="s">
        <v>1473</v>
      </c>
      <c r="D32" s="151">
        <v>0</v>
      </c>
      <c r="E32" s="152">
        <v>0</v>
      </c>
      <c r="F32" s="151">
        <v>0</v>
      </c>
      <c r="G32" s="152">
        <v>27</v>
      </c>
      <c r="H32" s="151">
        <v>0</v>
      </c>
      <c r="I32" s="152">
        <v>0</v>
      </c>
      <c r="J32" s="151">
        <v>0</v>
      </c>
      <c r="K32" s="152">
        <v>0</v>
      </c>
      <c r="L32" s="151">
        <v>21.477760314941406</v>
      </c>
      <c r="M32" s="152">
        <v>21.477760314941406</v>
      </c>
      <c r="N32" s="151">
        <v>0</v>
      </c>
      <c r="O32" s="152">
        <v>0</v>
      </c>
      <c r="P32" s="151">
        <v>0</v>
      </c>
      <c r="Q32" s="152">
        <v>0</v>
      </c>
      <c r="R32" s="151">
        <v>0</v>
      </c>
      <c r="S32" s="152">
        <v>0</v>
      </c>
      <c r="T32" s="151">
        <v>0</v>
      </c>
      <c r="U32" s="153">
        <v>0</v>
      </c>
      <c r="V32" t="str">
        <f>VLOOKUP(A32,'Projetos ciclo 2018-2022'!$I$7:$I$318,1,FALSE)</f>
        <v>TI04818</v>
      </c>
    </row>
    <row r="33" spans="1:22" x14ac:dyDescent="0.25">
      <c r="A33" s="21" t="s">
        <v>1474</v>
      </c>
      <c r="B33" s="154" t="s">
        <v>1475</v>
      </c>
      <c r="C33" s="154" t="s">
        <v>1476</v>
      </c>
      <c r="D33" s="155">
        <v>0</v>
      </c>
      <c r="E33" s="158">
        <v>0</v>
      </c>
      <c r="F33" s="155">
        <v>0</v>
      </c>
      <c r="G33" s="158">
        <v>32</v>
      </c>
      <c r="H33" s="155">
        <v>0</v>
      </c>
      <c r="I33" s="158">
        <v>0</v>
      </c>
      <c r="J33" s="155">
        <v>0</v>
      </c>
      <c r="K33" s="158">
        <v>0</v>
      </c>
      <c r="L33" s="155">
        <v>28.65779972076416</v>
      </c>
      <c r="M33" s="158">
        <v>28.65779972076416</v>
      </c>
      <c r="N33" s="155">
        <v>0</v>
      </c>
      <c r="O33" s="158">
        <v>0</v>
      </c>
      <c r="P33" s="155">
        <v>0</v>
      </c>
      <c r="Q33" s="158">
        <v>0</v>
      </c>
      <c r="R33" s="155">
        <v>0</v>
      </c>
      <c r="S33" s="158">
        <v>0</v>
      </c>
      <c r="T33" s="155">
        <v>0</v>
      </c>
      <c r="U33" s="157">
        <v>0</v>
      </c>
      <c r="V33" t="str">
        <f>VLOOKUP(A33,'Projetos ciclo 2018-2022'!$I$7:$I$318,1,FALSE)</f>
        <v>TI04918</v>
      </c>
    </row>
    <row r="34" spans="1:22" x14ac:dyDescent="0.25">
      <c r="A34" s="149" t="s">
        <v>1639</v>
      </c>
      <c r="B34" s="150" t="s">
        <v>1031</v>
      </c>
      <c r="C34" s="150" t="s">
        <v>1640</v>
      </c>
      <c r="D34" s="151">
        <v>0</v>
      </c>
      <c r="E34" s="152">
        <v>0</v>
      </c>
      <c r="F34" s="151">
        <v>0</v>
      </c>
      <c r="G34" s="152">
        <v>318</v>
      </c>
      <c r="H34" s="151">
        <v>0</v>
      </c>
      <c r="I34" s="152">
        <v>0</v>
      </c>
      <c r="J34" s="151">
        <v>0</v>
      </c>
      <c r="K34" s="152">
        <v>0</v>
      </c>
      <c r="L34" s="151">
        <v>0</v>
      </c>
      <c r="M34" s="152">
        <v>0</v>
      </c>
      <c r="N34" s="151">
        <v>0</v>
      </c>
      <c r="O34" s="152">
        <v>0</v>
      </c>
      <c r="P34" s="151">
        <v>0</v>
      </c>
      <c r="Q34" s="152">
        <v>0</v>
      </c>
      <c r="R34" s="151">
        <v>0</v>
      </c>
      <c r="S34" s="152">
        <v>0</v>
      </c>
      <c r="T34" s="151">
        <v>0</v>
      </c>
      <c r="U34" s="153">
        <v>0</v>
      </c>
      <c r="V34" t="str">
        <f>VLOOKUP(A34,'Projetos ciclo 2018-2022'!$I$7:$I$318,1,FALSE)</f>
        <v>TI05818</v>
      </c>
    </row>
    <row r="35" spans="1:22" x14ac:dyDescent="0.25">
      <c r="A35" s="21" t="s">
        <v>1793</v>
      </c>
      <c r="B35" s="154" t="s">
        <v>845</v>
      </c>
      <c r="C35" s="154" t="s">
        <v>1794</v>
      </c>
      <c r="D35" s="155">
        <v>0</v>
      </c>
      <c r="E35" s="158">
        <v>0</v>
      </c>
      <c r="F35" s="155">
        <v>0</v>
      </c>
      <c r="G35" s="158">
        <v>420</v>
      </c>
      <c r="H35" s="155">
        <v>0</v>
      </c>
      <c r="I35" s="158">
        <v>0</v>
      </c>
      <c r="J35" s="155">
        <v>0</v>
      </c>
      <c r="K35" s="158">
        <v>0</v>
      </c>
      <c r="L35" s="155">
        <v>420</v>
      </c>
      <c r="M35" s="158">
        <v>420</v>
      </c>
      <c r="N35" s="155">
        <v>0</v>
      </c>
      <c r="O35" s="158">
        <v>0</v>
      </c>
      <c r="P35" s="155">
        <v>0</v>
      </c>
      <c r="Q35" s="158">
        <v>0</v>
      </c>
      <c r="R35" s="155">
        <v>0</v>
      </c>
      <c r="S35" s="158">
        <v>0</v>
      </c>
      <c r="T35" s="155">
        <v>0</v>
      </c>
      <c r="U35" s="157">
        <v>0</v>
      </c>
      <c r="V35" t="str">
        <f>VLOOKUP(A35,'Projetos ciclo 2018-2022'!$I$7:$I$318,1,FALSE)</f>
        <v>TI06818</v>
      </c>
    </row>
    <row r="36" spans="1:22" x14ac:dyDescent="0.25">
      <c r="A36" s="149" t="s">
        <v>1795</v>
      </c>
      <c r="B36" s="150" t="s">
        <v>1796</v>
      </c>
      <c r="C36" s="150" t="s">
        <v>1797</v>
      </c>
      <c r="D36" s="151">
        <v>0</v>
      </c>
      <c r="E36" s="152">
        <v>0</v>
      </c>
      <c r="F36" s="151">
        <v>0</v>
      </c>
      <c r="G36" s="152">
        <v>22</v>
      </c>
      <c r="H36" s="151">
        <v>0</v>
      </c>
      <c r="I36" s="152">
        <v>0</v>
      </c>
      <c r="J36" s="151">
        <v>0</v>
      </c>
      <c r="K36" s="152">
        <v>0</v>
      </c>
      <c r="L36" s="151">
        <v>21.861900329589844</v>
      </c>
      <c r="M36" s="152">
        <v>21.861900329589844</v>
      </c>
      <c r="N36" s="151">
        <v>0</v>
      </c>
      <c r="O36" s="152">
        <v>0</v>
      </c>
      <c r="P36" s="151">
        <v>0</v>
      </c>
      <c r="Q36" s="152">
        <v>0</v>
      </c>
      <c r="R36" s="151">
        <v>0</v>
      </c>
      <c r="S36" s="152">
        <v>0</v>
      </c>
      <c r="T36" s="151">
        <v>0</v>
      </c>
      <c r="U36" s="153">
        <v>0</v>
      </c>
      <c r="V36" t="str">
        <f>VLOOKUP(A36,'Projetos ciclo 2018-2022'!$I$7:$I$318,1,FALSE)</f>
        <v>TI07218</v>
      </c>
    </row>
    <row r="37" spans="1:22" x14ac:dyDescent="0.25">
      <c r="A37" s="21" t="s">
        <v>1194</v>
      </c>
      <c r="B37" s="154" t="s">
        <v>1218</v>
      </c>
      <c r="C37" s="154" t="s">
        <v>59</v>
      </c>
      <c r="D37" s="155">
        <v>0</v>
      </c>
      <c r="E37" s="158">
        <v>0</v>
      </c>
      <c r="F37" s="155">
        <v>0</v>
      </c>
      <c r="G37" s="158">
        <v>0</v>
      </c>
      <c r="H37" s="155">
        <v>0</v>
      </c>
      <c r="I37" s="158">
        <v>0</v>
      </c>
      <c r="J37" s="155">
        <v>0</v>
      </c>
      <c r="K37" s="158">
        <v>0</v>
      </c>
      <c r="L37" s="155">
        <v>0</v>
      </c>
      <c r="M37" s="158">
        <v>0</v>
      </c>
      <c r="N37" s="155">
        <v>0</v>
      </c>
      <c r="O37" s="158">
        <v>0</v>
      </c>
      <c r="P37" s="155">
        <v>0</v>
      </c>
      <c r="Q37" s="158">
        <v>0</v>
      </c>
      <c r="R37" s="155">
        <v>0</v>
      </c>
      <c r="S37" s="158">
        <v>0</v>
      </c>
      <c r="T37" s="155">
        <v>0</v>
      </c>
      <c r="U37" s="157">
        <v>0</v>
      </c>
      <c r="V37" t="e">
        <f>VLOOKUP(A37,'Projetos ciclo 2018-2022'!$I$7:$I$318,1,FALSE)</f>
        <v>#N/A</v>
      </c>
    </row>
    <row r="38" spans="1:22" x14ac:dyDescent="0.25">
      <c r="A38" s="149" t="s">
        <v>1196</v>
      </c>
      <c r="B38" s="150" t="s">
        <v>1197</v>
      </c>
      <c r="C38" s="150" t="s">
        <v>59</v>
      </c>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c r="V38" t="e">
        <f>VLOOKUP(A38,'Projetos ciclo 2018-2022'!$I$7:$I$318,1,FALSE)</f>
        <v>#N/A</v>
      </c>
    </row>
    <row r="39" spans="1:22" x14ac:dyDescent="0.25">
      <c r="A39" s="21" t="s">
        <v>1447</v>
      </c>
      <c r="B39" s="154" t="s">
        <v>1448</v>
      </c>
      <c r="C39" s="154" t="s">
        <v>1449</v>
      </c>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c r="V39" t="e">
        <f>VLOOKUP(A39,'Projetos ciclo 2018-2022'!$I$7:$I$318,1,FALSE)</f>
        <v>#N/A</v>
      </c>
    </row>
    <row r="40" spans="1:22" x14ac:dyDescent="0.25">
      <c r="A40" s="149" t="s">
        <v>565</v>
      </c>
      <c r="B40" s="150" t="s">
        <v>1198</v>
      </c>
      <c r="C40" s="150" t="s">
        <v>59</v>
      </c>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c r="V40" t="str">
        <f>VLOOKUP(A40,'Projetos ciclo 2018-2022'!$I$7:$I$318,1,FALSE)</f>
        <v>NA</v>
      </c>
    </row>
    <row r="41" spans="1:22" x14ac:dyDescent="0.25">
      <c r="A41" s="21" t="s">
        <v>1199</v>
      </c>
      <c r="B41" s="154" t="s">
        <v>1200</v>
      </c>
      <c r="C41" s="154" t="s">
        <v>59</v>
      </c>
      <c r="D41" s="155">
        <v>103</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c r="V41" t="e">
        <f>VLOOKUP(A41,'Projetos ciclo 2018-2022'!$I$7:$I$318,1,FALSE)</f>
        <v>#N/A</v>
      </c>
    </row>
    <row r="42" spans="1:22" x14ac:dyDescent="0.25">
      <c r="A42" s="149" t="s">
        <v>1194</v>
      </c>
      <c r="B42" s="150" t="s">
        <v>1219</v>
      </c>
      <c r="C42" s="150" t="s">
        <v>59</v>
      </c>
      <c r="D42" s="151">
        <v>0</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c r="V42" t="e">
        <f>VLOOKUP(A42,'Projetos ciclo 2018-2022'!$I$7:$I$318,1,FALSE)</f>
        <v>#N/A</v>
      </c>
    </row>
    <row r="43" spans="1:22" x14ac:dyDescent="0.25">
      <c r="A43" s="21" t="s">
        <v>1196</v>
      </c>
      <c r="B43" s="154" t="s">
        <v>1197</v>
      </c>
      <c r="C43" s="154" t="s">
        <v>59</v>
      </c>
      <c r="D43" s="155">
        <v>0</v>
      </c>
      <c r="E43" s="158">
        <v>0</v>
      </c>
      <c r="F43" s="155">
        <v>0</v>
      </c>
      <c r="G43" s="158">
        <v>0</v>
      </c>
      <c r="H43" s="155">
        <v>0</v>
      </c>
      <c r="I43" s="158">
        <v>0</v>
      </c>
      <c r="J43" s="155">
        <v>0</v>
      </c>
      <c r="K43" s="158">
        <v>0</v>
      </c>
      <c r="L43" s="155">
        <v>0</v>
      </c>
      <c r="M43" s="158">
        <v>0</v>
      </c>
      <c r="N43" s="155">
        <v>0</v>
      </c>
      <c r="O43" s="158">
        <v>0</v>
      </c>
      <c r="P43" s="155">
        <v>0</v>
      </c>
      <c r="Q43" s="158">
        <v>0</v>
      </c>
      <c r="R43" s="155">
        <v>0</v>
      </c>
      <c r="S43" s="158">
        <v>0</v>
      </c>
      <c r="T43" s="155">
        <v>0</v>
      </c>
      <c r="U43" s="157">
        <v>0</v>
      </c>
      <c r="V43" t="e">
        <f>VLOOKUP(A43,'Projetos ciclo 2018-2022'!$I$7:$I$318,1,FALSE)</f>
        <v>#N/A</v>
      </c>
    </row>
    <row r="44" spans="1:22" x14ac:dyDescent="0.25">
      <c r="A44" s="149" t="s">
        <v>1450</v>
      </c>
      <c r="B44" s="150" t="s">
        <v>1451</v>
      </c>
      <c r="C44" s="150" t="s">
        <v>1452</v>
      </c>
      <c r="D44" s="151">
        <v>912</v>
      </c>
      <c r="E44" s="152">
        <v>0</v>
      </c>
      <c r="F44" s="151">
        <v>426</v>
      </c>
      <c r="G44" s="152">
        <v>0</v>
      </c>
      <c r="H44" s="151">
        <v>21</v>
      </c>
      <c r="I44" s="152">
        <v>0</v>
      </c>
      <c r="J44" s="151">
        <v>0</v>
      </c>
      <c r="K44" s="152">
        <v>0</v>
      </c>
      <c r="L44" s="151">
        <v>0</v>
      </c>
      <c r="M44" s="152">
        <v>0</v>
      </c>
      <c r="N44" s="151">
        <v>486</v>
      </c>
      <c r="O44" s="152">
        <v>0</v>
      </c>
      <c r="P44" s="151">
        <v>0</v>
      </c>
      <c r="Q44" s="152">
        <v>0</v>
      </c>
      <c r="R44" s="151">
        <v>0</v>
      </c>
      <c r="S44" s="152">
        <v>0</v>
      </c>
      <c r="T44" s="151">
        <v>0</v>
      </c>
      <c r="U44" s="153">
        <v>0</v>
      </c>
      <c r="V44" t="e">
        <f>VLOOKUP(A44,'Projetos ciclo 2018-2022'!$I$7:$I$318,1,FALSE)</f>
        <v>#N/A</v>
      </c>
    </row>
    <row r="45" spans="1:22" x14ac:dyDescent="0.25">
      <c r="A45" s="21" t="s">
        <v>1223</v>
      </c>
      <c r="B45" s="154" t="s">
        <v>1224</v>
      </c>
      <c r="C45" s="154" t="s">
        <v>1225</v>
      </c>
      <c r="D45" s="155">
        <v>0</v>
      </c>
      <c r="E45" s="158">
        <v>0</v>
      </c>
      <c r="F45" s="155">
        <v>0</v>
      </c>
      <c r="G45" s="158">
        <v>82</v>
      </c>
      <c r="H45" s="155">
        <v>0</v>
      </c>
      <c r="I45" s="158">
        <v>10.290000200271606</v>
      </c>
      <c r="J45" s="155">
        <v>0</v>
      </c>
      <c r="K45" s="158">
        <v>10.290000200271606</v>
      </c>
      <c r="L45" s="155">
        <v>54.939998626708984</v>
      </c>
      <c r="M45" s="158">
        <v>65.229998826980591</v>
      </c>
      <c r="N45" s="155">
        <v>0</v>
      </c>
      <c r="O45" s="158">
        <v>0</v>
      </c>
      <c r="P45" s="155">
        <v>0</v>
      </c>
      <c r="Q45" s="158">
        <v>0</v>
      </c>
      <c r="R45" s="155">
        <v>0</v>
      </c>
      <c r="S45" s="158">
        <v>0</v>
      </c>
      <c r="T45" s="155">
        <v>0</v>
      </c>
      <c r="U45" s="157">
        <v>0</v>
      </c>
      <c r="V45" t="str">
        <f>VLOOKUP(A45,'Projetos ciclo 2018-2022'!$I$7:$I$318,1,FALSE)</f>
        <v>MG00318</v>
      </c>
    </row>
    <row r="46" spans="1:22" x14ac:dyDescent="0.25">
      <c r="A46" s="149" t="s">
        <v>2022</v>
      </c>
      <c r="B46" s="150" t="s">
        <v>2027</v>
      </c>
      <c r="C46" s="150" t="s">
        <v>2023</v>
      </c>
      <c r="D46" s="151">
        <v>0</v>
      </c>
      <c r="E46" s="152">
        <v>0</v>
      </c>
      <c r="F46" s="151">
        <v>0</v>
      </c>
      <c r="G46" s="152">
        <v>0</v>
      </c>
      <c r="H46" s="151">
        <v>0</v>
      </c>
      <c r="I46" s="152">
        <v>0</v>
      </c>
      <c r="J46" s="151">
        <v>0</v>
      </c>
      <c r="K46" s="152">
        <v>0</v>
      </c>
      <c r="L46" s="151">
        <v>0</v>
      </c>
      <c r="M46" s="152">
        <v>0</v>
      </c>
      <c r="N46" s="151">
        <v>0</v>
      </c>
      <c r="O46" s="152">
        <v>0</v>
      </c>
      <c r="P46" s="151">
        <v>0</v>
      </c>
      <c r="Q46" s="152">
        <v>0</v>
      </c>
      <c r="R46" s="151">
        <v>0</v>
      </c>
      <c r="S46" s="152">
        <v>0</v>
      </c>
      <c r="T46" s="151">
        <v>0</v>
      </c>
      <c r="U46" s="153">
        <v>0</v>
      </c>
      <c r="V46" t="str">
        <f>VLOOKUP(A46,'Projetos ciclo 2018-2022'!$I$7:$I$318,1,FALSE)</f>
        <v>MG50118</v>
      </c>
    </row>
    <row r="47" spans="1:22" x14ac:dyDescent="0.25">
      <c r="A47" s="21" t="s">
        <v>565</v>
      </c>
      <c r="B47" s="154" t="s">
        <v>1229</v>
      </c>
      <c r="C47" s="154" t="s">
        <v>59</v>
      </c>
      <c r="D47" s="155">
        <v>1297</v>
      </c>
      <c r="E47" s="158">
        <v>0</v>
      </c>
      <c r="F47" s="155">
        <v>0</v>
      </c>
      <c r="G47" s="158">
        <v>0</v>
      </c>
      <c r="H47" s="155">
        <v>0</v>
      </c>
      <c r="I47" s="158">
        <v>0</v>
      </c>
      <c r="J47" s="155">
        <v>0</v>
      </c>
      <c r="K47" s="158">
        <v>0</v>
      </c>
      <c r="L47" s="155">
        <v>0</v>
      </c>
      <c r="M47" s="158">
        <v>0</v>
      </c>
      <c r="N47" s="155">
        <v>0</v>
      </c>
      <c r="O47" s="158">
        <v>602</v>
      </c>
      <c r="P47" s="155">
        <v>498</v>
      </c>
      <c r="Q47" s="158">
        <v>197</v>
      </c>
      <c r="R47" s="155">
        <v>0</v>
      </c>
      <c r="S47" s="158">
        <v>0</v>
      </c>
      <c r="T47" s="155">
        <v>0</v>
      </c>
      <c r="U47" s="157">
        <v>0</v>
      </c>
      <c r="V47" t="str">
        <f>VLOOKUP(A47,'Projetos ciclo 2018-2022'!$I$7:$I$318,1,FALSE)</f>
        <v>NA</v>
      </c>
    </row>
    <row r="48" spans="1:22" x14ac:dyDescent="0.25">
      <c r="A48" s="149" t="s">
        <v>1230</v>
      </c>
      <c r="B48" s="150" t="s">
        <v>1231</v>
      </c>
      <c r="C48" s="150" t="s">
        <v>1232</v>
      </c>
      <c r="D48" s="151">
        <v>0</v>
      </c>
      <c r="E48" s="152">
        <v>0</v>
      </c>
      <c r="F48" s="151">
        <v>0</v>
      </c>
      <c r="G48" s="152">
        <v>74</v>
      </c>
      <c r="H48" s="151">
        <v>0</v>
      </c>
      <c r="I48" s="152">
        <v>0</v>
      </c>
      <c r="J48" s="151">
        <v>0</v>
      </c>
      <c r="K48" s="152">
        <v>0</v>
      </c>
      <c r="L48" s="151">
        <v>11.967060089111328</v>
      </c>
      <c r="M48" s="152">
        <v>11.967060089111328</v>
      </c>
      <c r="N48" s="151">
        <v>0</v>
      </c>
      <c r="O48" s="152">
        <v>0</v>
      </c>
      <c r="P48" s="151">
        <v>0</v>
      </c>
      <c r="Q48" s="152">
        <v>0</v>
      </c>
      <c r="R48" s="151">
        <v>0</v>
      </c>
      <c r="S48" s="152">
        <v>0</v>
      </c>
      <c r="T48" s="151">
        <v>0</v>
      </c>
      <c r="U48" s="153">
        <v>0</v>
      </c>
      <c r="V48" t="str">
        <f>VLOOKUP(A48,'Projetos ciclo 2018-2022'!$I$7:$I$318,1,FALSE)</f>
        <v>PO00117</v>
      </c>
    </row>
    <row r="49" spans="1:22" x14ac:dyDescent="0.25">
      <c r="A49" s="21" t="s">
        <v>1233</v>
      </c>
      <c r="B49" s="154" t="s">
        <v>1234</v>
      </c>
      <c r="C49" s="154" t="s">
        <v>1235</v>
      </c>
      <c r="D49" s="155">
        <v>0</v>
      </c>
      <c r="E49" s="158">
        <v>0</v>
      </c>
      <c r="F49" s="155">
        <v>0</v>
      </c>
      <c r="G49" s="158">
        <v>270</v>
      </c>
      <c r="H49" s="155">
        <v>0</v>
      </c>
      <c r="I49" s="158">
        <v>88.91908073425293</v>
      </c>
      <c r="J49" s="155">
        <v>0</v>
      </c>
      <c r="K49" s="158">
        <v>88.91908073425293</v>
      </c>
      <c r="L49" s="155">
        <v>89.26792049407959</v>
      </c>
      <c r="M49" s="158">
        <v>178.18700122833252</v>
      </c>
      <c r="N49" s="155">
        <v>0</v>
      </c>
      <c r="O49" s="158">
        <v>0</v>
      </c>
      <c r="P49" s="155">
        <v>0</v>
      </c>
      <c r="Q49" s="158">
        <v>0</v>
      </c>
      <c r="R49" s="155">
        <v>0</v>
      </c>
      <c r="S49" s="158">
        <v>0</v>
      </c>
      <c r="T49" s="155">
        <v>0</v>
      </c>
      <c r="U49" s="157">
        <v>0</v>
      </c>
      <c r="V49" t="str">
        <f>VLOOKUP(A49,'Projetos ciclo 2018-2022'!$I$7:$I$318,1,FALSE)</f>
        <v>PO00118</v>
      </c>
    </row>
    <row r="50" spans="1:22" x14ac:dyDescent="0.25">
      <c r="A50" s="149" t="s">
        <v>1199</v>
      </c>
      <c r="B50" s="150" t="s">
        <v>1200</v>
      </c>
      <c r="C50" s="150" t="s">
        <v>59</v>
      </c>
      <c r="D50" s="151">
        <v>92</v>
      </c>
      <c r="E50" s="152">
        <v>0</v>
      </c>
      <c r="F50" s="151">
        <v>0</v>
      </c>
      <c r="G50" s="152">
        <v>0</v>
      </c>
      <c r="H50" s="151">
        <v>0</v>
      </c>
      <c r="I50" s="152">
        <v>0</v>
      </c>
      <c r="J50" s="151">
        <v>0</v>
      </c>
      <c r="K50" s="152">
        <v>0</v>
      </c>
      <c r="L50" s="151">
        <v>0</v>
      </c>
      <c r="M50" s="152">
        <v>0</v>
      </c>
      <c r="N50" s="151">
        <v>0</v>
      </c>
      <c r="O50" s="152">
        <v>0</v>
      </c>
      <c r="P50" s="151">
        <v>0</v>
      </c>
      <c r="Q50" s="152">
        <v>0</v>
      </c>
      <c r="R50" s="151">
        <v>0</v>
      </c>
      <c r="S50" s="152">
        <v>0</v>
      </c>
      <c r="T50" s="151">
        <v>0</v>
      </c>
      <c r="U50" s="153">
        <v>0</v>
      </c>
      <c r="V50" t="e">
        <f>VLOOKUP(A50,'Projetos ciclo 2018-2022'!$I$7:$I$318,1,FALSE)</f>
        <v>#N/A</v>
      </c>
    </row>
    <row r="51" spans="1:22" x14ac:dyDescent="0.25">
      <c r="A51" s="21" t="s">
        <v>1194</v>
      </c>
      <c r="B51" s="154" t="s">
        <v>1195</v>
      </c>
      <c r="C51" s="154" t="s">
        <v>59</v>
      </c>
      <c r="D51" s="155">
        <v>0</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c r="V51" t="e">
        <f>VLOOKUP(A51,'Projetos ciclo 2018-2022'!$I$7:$I$318,1,FALSE)</f>
        <v>#N/A</v>
      </c>
    </row>
    <row r="52" spans="1:22" x14ac:dyDescent="0.25">
      <c r="A52" s="149" t="s">
        <v>1196</v>
      </c>
      <c r="B52" s="150" t="s">
        <v>1197</v>
      </c>
      <c r="C52" s="150" t="s">
        <v>59</v>
      </c>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c r="V52" t="e">
        <f>VLOOKUP(A52,'Projetos ciclo 2018-2022'!$I$7:$I$318,1,FALSE)</f>
        <v>#N/A</v>
      </c>
    </row>
    <row r="53" spans="1:22" x14ac:dyDescent="0.25">
      <c r="A53" s="21" t="s">
        <v>1453</v>
      </c>
      <c r="B53" s="154" t="s">
        <v>1454</v>
      </c>
      <c r="C53" s="154" t="s">
        <v>1455</v>
      </c>
      <c r="D53" s="155">
        <v>320</v>
      </c>
      <c r="E53" s="158">
        <v>0</v>
      </c>
      <c r="F53" s="155">
        <v>0</v>
      </c>
      <c r="G53" s="158">
        <v>0</v>
      </c>
      <c r="H53" s="155">
        <v>0</v>
      </c>
      <c r="I53" s="158">
        <v>0</v>
      </c>
      <c r="J53" s="155">
        <v>0</v>
      </c>
      <c r="K53" s="158">
        <v>0</v>
      </c>
      <c r="L53" s="155">
        <v>0</v>
      </c>
      <c r="M53" s="158">
        <v>0</v>
      </c>
      <c r="N53" s="155">
        <v>320</v>
      </c>
      <c r="O53" s="158">
        <v>0</v>
      </c>
      <c r="P53" s="155">
        <v>0</v>
      </c>
      <c r="Q53" s="158">
        <v>0</v>
      </c>
      <c r="R53" s="155">
        <v>0</v>
      </c>
      <c r="S53" s="158">
        <v>0</v>
      </c>
      <c r="T53" s="155">
        <v>0</v>
      </c>
      <c r="U53" s="157">
        <v>0</v>
      </c>
      <c r="V53" t="e">
        <f>VLOOKUP(A53,'Projetos ciclo 2018-2022'!$I$7:$I$318,1,FALSE)</f>
        <v>#N/A</v>
      </c>
    </row>
    <row r="54" spans="1:22" x14ac:dyDescent="0.25">
      <c r="A54" s="149" t="s">
        <v>565</v>
      </c>
      <c r="B54" s="150" t="s">
        <v>1198</v>
      </c>
      <c r="C54" s="150" t="s">
        <v>59</v>
      </c>
      <c r="D54" s="151">
        <v>1591</v>
      </c>
      <c r="E54" s="152">
        <v>0</v>
      </c>
      <c r="F54" s="151">
        <v>0</v>
      </c>
      <c r="G54" s="152">
        <v>0</v>
      </c>
      <c r="H54" s="151">
        <v>0</v>
      </c>
      <c r="I54" s="152">
        <v>0</v>
      </c>
      <c r="J54" s="151">
        <v>0</v>
      </c>
      <c r="K54" s="152">
        <v>0</v>
      </c>
      <c r="L54" s="151">
        <v>0</v>
      </c>
      <c r="M54" s="152">
        <v>0</v>
      </c>
      <c r="N54" s="151">
        <v>110</v>
      </c>
      <c r="O54" s="152">
        <v>204</v>
      </c>
      <c r="P54" s="151">
        <v>1251</v>
      </c>
      <c r="Q54" s="152">
        <v>26</v>
      </c>
      <c r="R54" s="151">
        <v>0</v>
      </c>
      <c r="S54" s="152">
        <v>0</v>
      </c>
      <c r="T54" s="151">
        <v>0</v>
      </c>
      <c r="U54" s="153">
        <v>0</v>
      </c>
      <c r="V54" t="str">
        <f>VLOOKUP(A54,'Projetos ciclo 2018-2022'!$I$7:$I$318,1,FALSE)</f>
        <v>NA</v>
      </c>
    </row>
    <row r="55" spans="1:22" x14ac:dyDescent="0.25">
      <c r="A55" s="21" t="s">
        <v>2021</v>
      </c>
      <c r="B55" s="154" t="s">
        <v>2028</v>
      </c>
      <c r="C55" s="154" t="s">
        <v>2029</v>
      </c>
      <c r="D55" s="155">
        <v>0</v>
      </c>
      <c r="E55" s="158">
        <v>0</v>
      </c>
      <c r="F55" s="155">
        <v>0</v>
      </c>
      <c r="G55" s="158">
        <v>0</v>
      </c>
      <c r="H55" s="155">
        <v>0</v>
      </c>
      <c r="I55" s="158">
        <v>0</v>
      </c>
      <c r="J55" s="155">
        <v>0</v>
      </c>
      <c r="K55" s="158">
        <v>0</v>
      </c>
      <c r="L55" s="155">
        <v>0</v>
      </c>
      <c r="M55" s="158">
        <v>0</v>
      </c>
      <c r="N55" s="155">
        <v>0</v>
      </c>
      <c r="O55" s="158">
        <v>0</v>
      </c>
      <c r="P55" s="155">
        <v>0</v>
      </c>
      <c r="Q55" s="158">
        <v>0</v>
      </c>
      <c r="R55" s="155">
        <v>0</v>
      </c>
      <c r="S55" s="158">
        <v>0</v>
      </c>
      <c r="T55" s="155">
        <v>0</v>
      </c>
      <c r="U55" s="157">
        <v>0</v>
      </c>
      <c r="V55" t="str">
        <f>VLOOKUP(A55,'Projetos ciclo 2018-2022'!$I$7:$I$318,1,FALSE)</f>
        <v>SC01418</v>
      </c>
    </row>
    <row r="56" spans="1:22" x14ac:dyDescent="0.25">
      <c r="A56" s="149" t="s">
        <v>1199</v>
      </c>
      <c r="B56" s="150" t="s">
        <v>1200</v>
      </c>
      <c r="C56" s="150" t="s">
        <v>59</v>
      </c>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c r="V56" t="e">
        <f>VLOOKUP(A56,'Projetos ciclo 2018-2022'!$I$7:$I$318,1,FALSE)</f>
        <v>#N/A</v>
      </c>
    </row>
    <row r="57" spans="1:22" x14ac:dyDescent="0.25">
      <c r="A57" s="21" t="s">
        <v>1194</v>
      </c>
      <c r="B57" s="154" t="s">
        <v>1201</v>
      </c>
      <c r="C57" s="154" t="s">
        <v>59</v>
      </c>
      <c r="D57" s="155">
        <v>0</v>
      </c>
      <c r="E57" s="158">
        <v>0</v>
      </c>
      <c r="F57" s="155">
        <v>0</v>
      </c>
      <c r="G57" s="158">
        <v>0</v>
      </c>
      <c r="H57" s="155">
        <v>0</v>
      </c>
      <c r="I57" s="158">
        <v>0</v>
      </c>
      <c r="J57" s="155">
        <v>0</v>
      </c>
      <c r="K57" s="158">
        <v>0</v>
      </c>
      <c r="L57" s="155">
        <v>0</v>
      </c>
      <c r="M57" s="158">
        <v>0</v>
      </c>
      <c r="N57" s="155">
        <v>0</v>
      </c>
      <c r="O57" s="158">
        <v>0</v>
      </c>
      <c r="P57" s="155">
        <v>0</v>
      </c>
      <c r="Q57" s="158">
        <v>0</v>
      </c>
      <c r="R57" s="155">
        <v>0</v>
      </c>
      <c r="S57" s="158">
        <v>0</v>
      </c>
      <c r="T57" s="155">
        <v>0</v>
      </c>
      <c r="U57" s="157">
        <v>0</v>
      </c>
      <c r="V57" t="e">
        <f>VLOOKUP(A57,'Projetos ciclo 2018-2022'!$I$7:$I$318,1,FALSE)</f>
        <v>#N/A</v>
      </c>
    </row>
    <row r="58" spans="1:22" x14ac:dyDescent="0.25">
      <c r="A58" s="149" t="s">
        <v>1196</v>
      </c>
      <c r="B58" s="150" t="s">
        <v>1197</v>
      </c>
      <c r="C58" s="150" t="s">
        <v>59</v>
      </c>
      <c r="D58" s="151">
        <v>0</v>
      </c>
      <c r="E58" s="152">
        <v>0</v>
      </c>
      <c r="F58" s="151">
        <v>0</v>
      </c>
      <c r="G58" s="152">
        <v>0</v>
      </c>
      <c r="H58" s="151">
        <v>0</v>
      </c>
      <c r="I58" s="152">
        <v>0</v>
      </c>
      <c r="J58" s="151">
        <v>0</v>
      </c>
      <c r="K58" s="152">
        <v>0</v>
      </c>
      <c r="L58" s="151">
        <v>0</v>
      </c>
      <c r="M58" s="152">
        <v>0</v>
      </c>
      <c r="N58" s="151">
        <v>0</v>
      </c>
      <c r="O58" s="152">
        <v>0</v>
      </c>
      <c r="P58" s="151">
        <v>0</v>
      </c>
      <c r="Q58" s="152">
        <v>0</v>
      </c>
      <c r="R58" s="151">
        <v>0</v>
      </c>
      <c r="S58" s="152">
        <v>0</v>
      </c>
      <c r="T58" s="151">
        <v>0</v>
      </c>
      <c r="U58" s="153">
        <v>0</v>
      </c>
      <c r="V58" t="e">
        <f>VLOOKUP(A58,'Projetos ciclo 2018-2022'!$I$7:$I$318,1,FALSE)</f>
        <v>#N/A</v>
      </c>
    </row>
    <row r="59" spans="1:22" x14ac:dyDescent="0.25">
      <c r="A59" s="21" t="s">
        <v>565</v>
      </c>
      <c r="B59" s="154" t="s">
        <v>1198</v>
      </c>
      <c r="C59" s="154" t="s">
        <v>59</v>
      </c>
      <c r="D59" s="155">
        <v>257</v>
      </c>
      <c r="E59" s="158">
        <v>0</v>
      </c>
      <c r="F59" s="155">
        <v>0</v>
      </c>
      <c r="G59" s="158">
        <v>0</v>
      </c>
      <c r="H59" s="155">
        <v>0</v>
      </c>
      <c r="I59" s="158">
        <v>0</v>
      </c>
      <c r="J59" s="155">
        <v>0</v>
      </c>
      <c r="K59" s="158">
        <v>0</v>
      </c>
      <c r="L59" s="155">
        <v>0</v>
      </c>
      <c r="M59" s="158">
        <v>0</v>
      </c>
      <c r="N59" s="155">
        <v>6</v>
      </c>
      <c r="O59" s="158">
        <v>83</v>
      </c>
      <c r="P59" s="155">
        <v>90</v>
      </c>
      <c r="Q59" s="158">
        <v>78</v>
      </c>
      <c r="R59" s="155">
        <v>0</v>
      </c>
      <c r="S59" s="158">
        <v>0</v>
      </c>
      <c r="T59" s="155">
        <v>0</v>
      </c>
      <c r="U59" s="157">
        <v>0</v>
      </c>
      <c r="V59" t="str">
        <f>VLOOKUP(A59,'Projetos ciclo 2018-2022'!$I$7:$I$318,1,FALSE)</f>
        <v>NA</v>
      </c>
    </row>
    <row r="60" spans="1:22" x14ac:dyDescent="0.25">
      <c r="A60" s="149" t="s">
        <v>1199</v>
      </c>
      <c r="B60" s="150" t="s">
        <v>1200</v>
      </c>
      <c r="C60" s="150" t="s">
        <v>59</v>
      </c>
      <c r="D60" s="151">
        <v>0</v>
      </c>
      <c r="E60" s="152">
        <v>0</v>
      </c>
      <c r="F60" s="151">
        <v>0</v>
      </c>
      <c r="G60" s="152">
        <v>0</v>
      </c>
      <c r="H60" s="151">
        <v>0</v>
      </c>
      <c r="I60" s="152">
        <v>0</v>
      </c>
      <c r="J60" s="151">
        <v>0</v>
      </c>
      <c r="K60" s="152">
        <v>0</v>
      </c>
      <c r="L60" s="151">
        <v>0</v>
      </c>
      <c r="M60" s="152">
        <v>0</v>
      </c>
      <c r="N60" s="151">
        <v>0</v>
      </c>
      <c r="O60" s="152">
        <v>0</v>
      </c>
      <c r="P60" s="151">
        <v>0</v>
      </c>
      <c r="Q60" s="152">
        <v>0</v>
      </c>
      <c r="R60" s="151">
        <v>0</v>
      </c>
      <c r="S60" s="152">
        <v>0</v>
      </c>
      <c r="T60" s="151">
        <v>0</v>
      </c>
      <c r="U60" s="153">
        <v>0</v>
      </c>
      <c r="V60" t="e">
        <f>VLOOKUP(A60,'Projetos ciclo 2018-2022'!$I$7:$I$318,1,FALSE)</f>
        <v>#N/A</v>
      </c>
    </row>
    <row r="61" spans="1:22" x14ac:dyDescent="0.25">
      <c r="A61" s="21" t="s">
        <v>1242</v>
      </c>
      <c r="B61" s="154" t="s">
        <v>1243</v>
      </c>
      <c r="C61" s="154" t="s">
        <v>1244</v>
      </c>
      <c r="D61" s="155">
        <v>182</v>
      </c>
      <c r="E61" s="158">
        <v>0</v>
      </c>
      <c r="F61" s="155">
        <v>142</v>
      </c>
      <c r="G61" s="158">
        <v>0</v>
      </c>
      <c r="H61" s="155">
        <v>0</v>
      </c>
      <c r="I61" s="158">
        <v>0</v>
      </c>
      <c r="J61" s="155">
        <v>0</v>
      </c>
      <c r="K61" s="158">
        <v>0</v>
      </c>
      <c r="L61" s="155">
        <v>0</v>
      </c>
      <c r="M61" s="158">
        <v>0</v>
      </c>
      <c r="N61" s="155">
        <v>40</v>
      </c>
      <c r="O61" s="158">
        <v>0</v>
      </c>
      <c r="P61" s="155">
        <v>0</v>
      </c>
      <c r="Q61" s="158">
        <v>0</v>
      </c>
      <c r="R61" s="155">
        <v>0</v>
      </c>
      <c r="S61" s="158">
        <v>0</v>
      </c>
      <c r="T61" s="155">
        <v>0</v>
      </c>
      <c r="U61" s="157">
        <v>0</v>
      </c>
      <c r="V61" t="e">
        <f>VLOOKUP(A61,'Projetos ciclo 2018-2022'!$I$7:$I$318,1,FALSE)</f>
        <v>#N/A</v>
      </c>
    </row>
    <row r="62" spans="1:22" x14ac:dyDescent="0.25">
      <c r="A62" s="149" t="s">
        <v>1742</v>
      </c>
      <c r="B62" s="150" t="s">
        <v>1743</v>
      </c>
      <c r="C62" s="150" t="s">
        <v>1744</v>
      </c>
      <c r="D62" s="151">
        <v>0</v>
      </c>
      <c r="E62" s="152">
        <v>0</v>
      </c>
      <c r="F62" s="151">
        <v>0</v>
      </c>
      <c r="G62" s="152">
        <v>142</v>
      </c>
      <c r="H62" s="151">
        <v>0</v>
      </c>
      <c r="I62" s="152">
        <v>0</v>
      </c>
      <c r="J62" s="151">
        <v>0</v>
      </c>
      <c r="K62" s="152">
        <v>0</v>
      </c>
      <c r="L62" s="151">
        <v>142.21935653686523</v>
      </c>
      <c r="M62" s="152">
        <v>142.21935653686523</v>
      </c>
      <c r="N62" s="151">
        <v>0</v>
      </c>
      <c r="O62" s="152">
        <v>0</v>
      </c>
      <c r="P62" s="151">
        <v>0</v>
      </c>
      <c r="Q62" s="152">
        <v>0</v>
      </c>
      <c r="R62" s="151">
        <v>0</v>
      </c>
      <c r="S62" s="152">
        <v>0</v>
      </c>
      <c r="T62" s="151">
        <v>0</v>
      </c>
      <c r="U62" s="153">
        <v>0</v>
      </c>
      <c r="V62" t="str">
        <f>VLOOKUP(A62,'Projetos ciclo 2018-2022'!$I$7:$I$318,1,FALSE)</f>
        <v>TI06618</v>
      </c>
    </row>
    <row r="63" spans="1:22" x14ac:dyDescent="0.25">
      <c r="A63" s="21" t="s">
        <v>1969</v>
      </c>
      <c r="B63" s="154" t="s">
        <v>1970</v>
      </c>
      <c r="C63" s="154" t="s">
        <v>1971</v>
      </c>
      <c r="D63" s="155">
        <v>0</v>
      </c>
      <c r="E63" s="158">
        <v>0</v>
      </c>
      <c r="F63" s="155">
        <v>0</v>
      </c>
      <c r="G63" s="158">
        <v>0</v>
      </c>
      <c r="H63" s="155">
        <v>0</v>
      </c>
      <c r="I63" s="158">
        <v>0</v>
      </c>
      <c r="J63" s="155">
        <v>0</v>
      </c>
      <c r="K63" s="158">
        <v>0</v>
      </c>
      <c r="L63" s="155">
        <v>0</v>
      </c>
      <c r="M63" s="158">
        <v>0</v>
      </c>
      <c r="N63" s="155">
        <v>0</v>
      </c>
      <c r="O63" s="158">
        <v>0</v>
      </c>
      <c r="P63" s="155">
        <v>0</v>
      </c>
      <c r="Q63" s="158">
        <v>0</v>
      </c>
      <c r="R63" s="155">
        <v>0</v>
      </c>
      <c r="S63" s="158">
        <v>0</v>
      </c>
      <c r="T63" s="155">
        <v>0</v>
      </c>
      <c r="U63" s="157">
        <v>0</v>
      </c>
      <c r="V63" t="str">
        <f>VLOOKUP(A63,'Projetos ciclo 2018-2022'!$I$7:$I$318,1,FALSE)</f>
        <v>TI07818</v>
      </c>
    </row>
    <row r="64" spans="1:22" x14ac:dyDescent="0.25">
      <c r="A64" s="149" t="s">
        <v>1194</v>
      </c>
      <c r="B64" s="150" t="s">
        <v>1245</v>
      </c>
      <c r="C64" s="150" t="s">
        <v>59</v>
      </c>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c r="V64" t="e">
        <f>VLOOKUP(A64,'Projetos ciclo 2018-2022'!$I$7:$I$318,1,FALSE)</f>
        <v>#N/A</v>
      </c>
    </row>
    <row r="65" spans="1:22" x14ac:dyDescent="0.25">
      <c r="A65" s="21" t="s">
        <v>1196</v>
      </c>
      <c r="B65" s="154" t="s">
        <v>1197</v>
      </c>
      <c r="C65" s="154" t="s">
        <v>59</v>
      </c>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c r="V65" t="e">
        <f>VLOOKUP(A65,'Projetos ciclo 2018-2022'!$I$7:$I$318,1,FALSE)</f>
        <v>#N/A</v>
      </c>
    </row>
    <row r="66" spans="1:22" x14ac:dyDescent="0.25">
      <c r="A66" s="149" t="s">
        <v>565</v>
      </c>
      <c r="B66" s="150" t="s">
        <v>1198</v>
      </c>
      <c r="C66" s="150" t="s">
        <v>59</v>
      </c>
      <c r="D66" s="151">
        <v>529</v>
      </c>
      <c r="E66" s="152">
        <v>0</v>
      </c>
      <c r="F66" s="151">
        <v>0</v>
      </c>
      <c r="G66" s="152">
        <v>0</v>
      </c>
      <c r="H66" s="151">
        <v>0</v>
      </c>
      <c r="I66" s="152">
        <v>0</v>
      </c>
      <c r="J66" s="151">
        <v>0</v>
      </c>
      <c r="K66" s="152">
        <v>0</v>
      </c>
      <c r="L66" s="151">
        <v>0</v>
      </c>
      <c r="M66" s="152">
        <v>0</v>
      </c>
      <c r="N66" s="151">
        <v>55</v>
      </c>
      <c r="O66" s="152">
        <v>209</v>
      </c>
      <c r="P66" s="151">
        <v>55</v>
      </c>
      <c r="Q66" s="152">
        <v>210</v>
      </c>
      <c r="R66" s="151">
        <v>0</v>
      </c>
      <c r="S66" s="152">
        <v>0</v>
      </c>
      <c r="T66" s="151">
        <v>0</v>
      </c>
      <c r="U66" s="153">
        <v>0</v>
      </c>
      <c r="V66" t="str">
        <f>VLOOKUP(A66,'Projetos ciclo 2018-2022'!$I$7:$I$318,1,FALSE)</f>
        <v>NA</v>
      </c>
    </row>
    <row r="67" spans="1:22" x14ac:dyDescent="0.25">
      <c r="A67" s="21" t="s">
        <v>1199</v>
      </c>
      <c r="B67" s="154" t="s">
        <v>1200</v>
      </c>
      <c r="C67" s="154" t="s">
        <v>59</v>
      </c>
      <c r="D67" s="155">
        <v>0</v>
      </c>
      <c r="E67" s="158">
        <v>0</v>
      </c>
      <c r="F67" s="155">
        <v>0</v>
      </c>
      <c r="G67" s="158">
        <v>0</v>
      </c>
      <c r="H67" s="155">
        <v>0</v>
      </c>
      <c r="I67" s="158">
        <v>0</v>
      </c>
      <c r="J67" s="155">
        <v>0</v>
      </c>
      <c r="K67" s="158">
        <v>0</v>
      </c>
      <c r="L67" s="155">
        <v>0</v>
      </c>
      <c r="M67" s="158">
        <v>0</v>
      </c>
      <c r="N67" s="155">
        <v>0</v>
      </c>
      <c r="O67" s="158">
        <v>0</v>
      </c>
      <c r="P67" s="155">
        <v>0</v>
      </c>
      <c r="Q67" s="158">
        <v>0</v>
      </c>
      <c r="R67" s="155">
        <v>0</v>
      </c>
      <c r="S67" s="158">
        <v>0</v>
      </c>
      <c r="T67" s="155">
        <v>0</v>
      </c>
      <c r="U67" s="157">
        <v>0</v>
      </c>
      <c r="V67" t="e">
        <f>VLOOKUP(A67,'Projetos ciclo 2018-2022'!$I$7:$I$318,1,FALSE)</f>
        <v>#N/A</v>
      </c>
    </row>
    <row r="68" spans="1:22" x14ac:dyDescent="0.25">
      <c r="A68" s="149" t="s">
        <v>1246</v>
      </c>
      <c r="B68" s="150" t="s">
        <v>1247</v>
      </c>
      <c r="C68" s="150" t="s">
        <v>1248</v>
      </c>
      <c r="D68" s="151">
        <v>415</v>
      </c>
      <c r="E68" s="152">
        <v>0</v>
      </c>
      <c r="F68" s="151">
        <v>415</v>
      </c>
      <c r="G68" s="152">
        <v>0</v>
      </c>
      <c r="H68" s="151">
        <v>0</v>
      </c>
      <c r="I68" s="152">
        <v>0</v>
      </c>
      <c r="J68" s="151">
        <v>0</v>
      </c>
      <c r="K68" s="152">
        <v>0</v>
      </c>
      <c r="L68" s="151">
        <v>0</v>
      </c>
      <c r="M68" s="152">
        <v>0</v>
      </c>
      <c r="N68" s="151">
        <v>0</v>
      </c>
      <c r="O68" s="152">
        <v>0</v>
      </c>
      <c r="P68" s="151">
        <v>0</v>
      </c>
      <c r="Q68" s="152">
        <v>0</v>
      </c>
      <c r="R68" s="151">
        <v>0</v>
      </c>
      <c r="S68" s="152">
        <v>0</v>
      </c>
      <c r="T68" s="151">
        <v>0</v>
      </c>
      <c r="U68" s="153">
        <v>0</v>
      </c>
      <c r="V68" t="e">
        <f>VLOOKUP(A68,'Projetos ciclo 2018-2022'!$I$7:$I$318,1,FALSE)</f>
        <v>#N/A</v>
      </c>
    </row>
    <row r="69" spans="1:22" x14ac:dyDescent="0.25">
      <c r="A69" s="21" t="s">
        <v>1477</v>
      </c>
      <c r="B69" s="154" t="s">
        <v>1463</v>
      </c>
      <c r="C69" s="154" t="s">
        <v>1478</v>
      </c>
      <c r="D69" s="155">
        <v>0</v>
      </c>
      <c r="E69" s="158">
        <v>0</v>
      </c>
      <c r="F69" s="155">
        <v>0</v>
      </c>
      <c r="G69" s="158">
        <v>415</v>
      </c>
      <c r="H69" s="155">
        <v>0</v>
      </c>
      <c r="I69" s="158">
        <v>0</v>
      </c>
      <c r="J69" s="155">
        <v>0</v>
      </c>
      <c r="K69" s="158">
        <v>0</v>
      </c>
      <c r="L69" s="155">
        <v>388.48779296875</v>
      </c>
      <c r="M69" s="158">
        <v>388.48779296875</v>
      </c>
      <c r="N69" s="155">
        <v>0</v>
      </c>
      <c r="O69" s="158">
        <v>0</v>
      </c>
      <c r="P69" s="155">
        <v>0</v>
      </c>
      <c r="Q69" s="158">
        <v>0</v>
      </c>
      <c r="R69" s="155">
        <v>0</v>
      </c>
      <c r="S69" s="158">
        <v>0</v>
      </c>
      <c r="T69" s="155">
        <v>0</v>
      </c>
      <c r="U69" s="157">
        <v>0</v>
      </c>
      <c r="V69" t="str">
        <f>VLOOKUP(A69,'Projetos ciclo 2018-2022'!$I$7:$I$318,1,FALSE)</f>
        <v>TI04418</v>
      </c>
    </row>
    <row r="70" spans="1:22" x14ac:dyDescent="0.25">
      <c r="A70" s="149" t="s">
        <v>1194</v>
      </c>
      <c r="B70" s="150" t="s">
        <v>1209</v>
      </c>
      <c r="C70" s="150" t="s">
        <v>59</v>
      </c>
      <c r="D70" s="151">
        <v>0</v>
      </c>
      <c r="E70" s="152">
        <v>0</v>
      </c>
      <c r="F70" s="151">
        <v>0</v>
      </c>
      <c r="G70" s="152">
        <v>0</v>
      </c>
      <c r="H70" s="151">
        <v>0</v>
      </c>
      <c r="I70" s="152">
        <v>0</v>
      </c>
      <c r="J70" s="151">
        <v>0</v>
      </c>
      <c r="K70" s="152">
        <v>0</v>
      </c>
      <c r="L70" s="151">
        <v>0</v>
      </c>
      <c r="M70" s="152">
        <v>0</v>
      </c>
      <c r="N70" s="151">
        <v>0</v>
      </c>
      <c r="O70" s="152">
        <v>0</v>
      </c>
      <c r="P70" s="151">
        <v>0</v>
      </c>
      <c r="Q70" s="152">
        <v>0</v>
      </c>
      <c r="R70" s="151">
        <v>0</v>
      </c>
      <c r="S70" s="152">
        <v>0</v>
      </c>
      <c r="T70" s="151">
        <v>0</v>
      </c>
      <c r="U70" s="153">
        <v>0</v>
      </c>
      <c r="V70" t="e">
        <f>VLOOKUP(A70,'Projetos ciclo 2018-2022'!$I$7:$I$318,1,FALSE)</f>
        <v>#N/A</v>
      </c>
    </row>
    <row r="71" spans="1:22" x14ac:dyDescent="0.25">
      <c r="A71" s="21" t="s">
        <v>1196</v>
      </c>
      <c r="B71" s="154" t="s">
        <v>1197</v>
      </c>
      <c r="C71" s="154" t="s">
        <v>59</v>
      </c>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c r="V71" t="e">
        <f>VLOOKUP(A71,'Projetos ciclo 2018-2022'!$I$7:$I$318,1,FALSE)</f>
        <v>#N/A</v>
      </c>
    </row>
    <row r="72" spans="1:22" x14ac:dyDescent="0.25">
      <c r="A72" s="149" t="s">
        <v>565</v>
      </c>
      <c r="B72" s="150" t="s">
        <v>1198</v>
      </c>
      <c r="C72" s="150" t="s">
        <v>59</v>
      </c>
      <c r="D72" s="151">
        <v>385.5</v>
      </c>
      <c r="E72" s="152">
        <v>0</v>
      </c>
      <c r="F72" s="151">
        <v>0</v>
      </c>
      <c r="G72" s="152">
        <v>0</v>
      </c>
      <c r="H72" s="151">
        <v>0</v>
      </c>
      <c r="I72" s="152">
        <v>0</v>
      </c>
      <c r="J72" s="151">
        <v>0</v>
      </c>
      <c r="K72" s="152">
        <v>0</v>
      </c>
      <c r="L72" s="151">
        <v>0</v>
      </c>
      <c r="M72" s="152">
        <v>0</v>
      </c>
      <c r="N72" s="151">
        <v>0</v>
      </c>
      <c r="O72" s="152">
        <v>128.5</v>
      </c>
      <c r="P72" s="151">
        <v>128.5</v>
      </c>
      <c r="Q72" s="152">
        <v>128.5</v>
      </c>
      <c r="R72" s="151">
        <v>0</v>
      </c>
      <c r="S72" s="152">
        <v>0</v>
      </c>
      <c r="T72" s="151">
        <v>0</v>
      </c>
      <c r="U72" s="153">
        <v>0</v>
      </c>
      <c r="V72" t="str">
        <f>VLOOKUP(A72,'Projetos ciclo 2018-2022'!$I$7:$I$318,1,FALSE)</f>
        <v>NA</v>
      </c>
    </row>
    <row r="73" spans="1:22" x14ac:dyDescent="0.25">
      <c r="A73" s="21" t="s">
        <v>1199</v>
      </c>
      <c r="B73" s="154" t="s">
        <v>1200</v>
      </c>
      <c r="C73" s="154" t="s">
        <v>59</v>
      </c>
      <c r="D73" s="155">
        <v>-0.5</v>
      </c>
      <c r="E73" s="158">
        <v>0</v>
      </c>
      <c r="F73" s="155">
        <v>0</v>
      </c>
      <c r="G73" s="158">
        <v>0</v>
      </c>
      <c r="H73" s="155">
        <v>0</v>
      </c>
      <c r="I73" s="158">
        <v>0</v>
      </c>
      <c r="J73" s="155">
        <v>0</v>
      </c>
      <c r="K73" s="158">
        <v>0</v>
      </c>
      <c r="L73" s="155">
        <v>0</v>
      </c>
      <c r="M73" s="158">
        <v>0</v>
      </c>
      <c r="N73" s="155">
        <v>0</v>
      </c>
      <c r="O73" s="158">
        <v>0</v>
      </c>
      <c r="P73" s="155">
        <v>0</v>
      </c>
      <c r="Q73" s="158">
        <v>0</v>
      </c>
      <c r="R73" s="155">
        <v>0</v>
      </c>
      <c r="S73" s="158">
        <v>0</v>
      </c>
      <c r="T73" s="155">
        <v>0</v>
      </c>
      <c r="U73" s="157">
        <v>0</v>
      </c>
      <c r="V73" t="e">
        <f>VLOOKUP(A73,'Projetos ciclo 2018-2022'!$I$7:$I$318,1,FALSE)</f>
        <v>#N/A</v>
      </c>
    </row>
    <row r="74" spans="1:22" x14ac:dyDescent="0.25">
      <c r="A74" s="149" t="s">
        <v>1249</v>
      </c>
      <c r="B74" s="150" t="s">
        <v>1250</v>
      </c>
      <c r="C74" s="150" t="s">
        <v>1251</v>
      </c>
      <c r="D74" s="151">
        <v>258</v>
      </c>
      <c r="E74" s="152">
        <v>0</v>
      </c>
      <c r="F74" s="151">
        <v>129</v>
      </c>
      <c r="G74" s="152">
        <v>0</v>
      </c>
      <c r="H74" s="151">
        <v>98</v>
      </c>
      <c r="I74" s="152">
        <v>0</v>
      </c>
      <c r="J74" s="151">
        <v>0</v>
      </c>
      <c r="K74" s="152">
        <v>0</v>
      </c>
      <c r="L74" s="151">
        <v>0</v>
      </c>
      <c r="M74" s="152">
        <v>0</v>
      </c>
      <c r="N74" s="151">
        <v>129</v>
      </c>
      <c r="O74" s="152">
        <v>0</v>
      </c>
      <c r="P74" s="151">
        <v>0</v>
      </c>
      <c r="Q74" s="152">
        <v>0</v>
      </c>
      <c r="R74" s="151">
        <v>0</v>
      </c>
      <c r="S74" s="152">
        <v>0</v>
      </c>
      <c r="T74" s="151">
        <v>0</v>
      </c>
      <c r="U74" s="153">
        <v>0</v>
      </c>
      <c r="V74" t="e">
        <f>VLOOKUP(A74,'Projetos ciclo 2018-2022'!$I$7:$I$318,1,FALSE)</f>
        <v>#N/A</v>
      </c>
    </row>
    <row r="75" spans="1:22" x14ac:dyDescent="0.25">
      <c r="A75" s="21" t="s">
        <v>1665</v>
      </c>
      <c r="B75" s="154" t="s">
        <v>1666</v>
      </c>
      <c r="C75" s="154" t="s">
        <v>1667</v>
      </c>
      <c r="D75" s="155">
        <v>0</v>
      </c>
      <c r="E75" s="158">
        <v>0</v>
      </c>
      <c r="F75" s="155">
        <v>0</v>
      </c>
      <c r="G75" s="158">
        <v>98</v>
      </c>
      <c r="H75" s="155">
        <v>0</v>
      </c>
      <c r="I75" s="158">
        <v>97.797317504882813</v>
      </c>
      <c r="J75" s="155">
        <v>0</v>
      </c>
      <c r="K75" s="158">
        <v>97.797317504882813</v>
      </c>
      <c r="L75" s="155">
        <v>0</v>
      </c>
      <c r="M75" s="158">
        <v>97.797317504882813</v>
      </c>
      <c r="N75" s="155">
        <v>0</v>
      </c>
      <c r="O75" s="158">
        <v>0</v>
      </c>
      <c r="P75" s="155">
        <v>0</v>
      </c>
      <c r="Q75" s="158">
        <v>0</v>
      </c>
      <c r="R75" s="155">
        <v>0</v>
      </c>
      <c r="S75" s="158">
        <v>0</v>
      </c>
      <c r="T75" s="155">
        <v>0</v>
      </c>
      <c r="U75" s="157">
        <v>0</v>
      </c>
      <c r="V75" t="str">
        <f>VLOOKUP(A75,'Projetos ciclo 2018-2022'!$I$7:$I$318,1,FALSE)</f>
        <v>TI06118</v>
      </c>
    </row>
    <row r="76" spans="1:22" x14ac:dyDescent="0.25">
      <c r="A76" s="149" t="s">
        <v>2030</v>
      </c>
      <c r="B76" s="150" t="s">
        <v>2031</v>
      </c>
      <c r="C76" s="150" t="s">
        <v>2032</v>
      </c>
      <c r="D76" s="151">
        <v>0</v>
      </c>
      <c r="E76" s="152">
        <v>0</v>
      </c>
      <c r="F76" s="151">
        <v>0</v>
      </c>
      <c r="G76" s="152">
        <v>0</v>
      </c>
      <c r="H76" s="151">
        <v>0</v>
      </c>
      <c r="I76" s="152">
        <v>0</v>
      </c>
      <c r="J76" s="151">
        <v>0</v>
      </c>
      <c r="K76" s="152">
        <v>0</v>
      </c>
      <c r="L76" s="151">
        <v>0</v>
      </c>
      <c r="M76" s="152">
        <v>0</v>
      </c>
      <c r="N76" s="151">
        <v>0</v>
      </c>
      <c r="O76" s="152">
        <v>0</v>
      </c>
      <c r="P76" s="151">
        <v>0</v>
      </c>
      <c r="Q76" s="152">
        <v>0</v>
      </c>
      <c r="R76" s="151">
        <v>0</v>
      </c>
      <c r="S76" s="152">
        <v>0</v>
      </c>
      <c r="T76" s="151">
        <v>0</v>
      </c>
      <c r="U76" s="153">
        <v>0</v>
      </c>
      <c r="V76" t="e">
        <f>VLOOKUP(A76,'Projetos ciclo 2018-2022'!$I$7:$I$318,1,FALSE)</f>
        <v>#N/A</v>
      </c>
    </row>
    <row r="77" spans="1:22" x14ac:dyDescent="0.25">
      <c r="A77" s="21" t="s">
        <v>1194</v>
      </c>
      <c r="B77" s="154" t="s">
        <v>1218</v>
      </c>
      <c r="C77" s="154" t="s">
        <v>59</v>
      </c>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c r="V77" t="e">
        <f>VLOOKUP(A77,'Projetos ciclo 2018-2022'!$I$7:$I$318,1,FALSE)</f>
        <v>#N/A</v>
      </c>
    </row>
    <row r="78" spans="1:22" x14ac:dyDescent="0.25">
      <c r="A78" s="149" t="s">
        <v>1196</v>
      </c>
      <c r="B78" s="150" t="s">
        <v>1197</v>
      </c>
      <c r="C78" s="150" t="s">
        <v>59</v>
      </c>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c r="V78" t="e">
        <f>VLOOKUP(A78,'Projetos ciclo 2018-2022'!$I$7:$I$318,1,FALSE)</f>
        <v>#N/A</v>
      </c>
    </row>
    <row r="79" spans="1:22" x14ac:dyDescent="0.25">
      <c r="A79" s="21" t="s">
        <v>1456</v>
      </c>
      <c r="B79" s="154" t="s">
        <v>1457</v>
      </c>
      <c r="C79" s="154" t="s">
        <v>1458</v>
      </c>
      <c r="D79" s="155">
        <v>3046</v>
      </c>
      <c r="E79" s="158">
        <v>0</v>
      </c>
      <c r="F79" s="155">
        <v>988</v>
      </c>
      <c r="G79" s="158">
        <v>0</v>
      </c>
      <c r="H79" s="155">
        <v>0</v>
      </c>
      <c r="I79" s="158">
        <v>0</v>
      </c>
      <c r="J79" s="155">
        <v>0</v>
      </c>
      <c r="K79" s="158">
        <v>0</v>
      </c>
      <c r="L79" s="155">
        <v>0</v>
      </c>
      <c r="M79" s="158">
        <v>0</v>
      </c>
      <c r="N79" s="155">
        <v>0</v>
      </c>
      <c r="O79" s="158">
        <v>1050</v>
      </c>
      <c r="P79" s="155">
        <v>1008</v>
      </c>
      <c r="Q79" s="158">
        <v>0</v>
      </c>
      <c r="R79" s="155">
        <v>0</v>
      </c>
      <c r="S79" s="158">
        <v>0</v>
      </c>
      <c r="T79" s="155">
        <v>0</v>
      </c>
      <c r="U79" s="157">
        <v>0</v>
      </c>
      <c r="V79" t="e">
        <f>VLOOKUP(A79,'Projetos ciclo 2018-2022'!$I$7:$I$318,1,FALSE)</f>
        <v>#N/A</v>
      </c>
    </row>
    <row r="80" spans="1:22" x14ac:dyDescent="0.25">
      <c r="A80" s="149" t="s">
        <v>1514</v>
      </c>
      <c r="B80" s="150" t="s">
        <v>1515</v>
      </c>
      <c r="C80" s="150" t="s">
        <v>1516</v>
      </c>
      <c r="D80" s="151">
        <v>0</v>
      </c>
      <c r="E80" s="152">
        <v>0</v>
      </c>
      <c r="F80" s="151">
        <v>0</v>
      </c>
      <c r="G80" s="152">
        <v>988</v>
      </c>
      <c r="H80" s="151">
        <v>0</v>
      </c>
      <c r="I80" s="152">
        <v>0</v>
      </c>
      <c r="J80" s="151">
        <v>0</v>
      </c>
      <c r="K80" s="152">
        <v>0</v>
      </c>
      <c r="L80" s="151">
        <v>988</v>
      </c>
      <c r="M80" s="152">
        <v>988</v>
      </c>
      <c r="N80" s="151">
        <v>0</v>
      </c>
      <c r="O80" s="152">
        <v>0</v>
      </c>
      <c r="P80" s="151">
        <v>0</v>
      </c>
      <c r="Q80" s="152">
        <v>0</v>
      </c>
      <c r="R80" s="151">
        <v>0</v>
      </c>
      <c r="S80" s="152">
        <v>0</v>
      </c>
      <c r="T80" s="151">
        <v>0</v>
      </c>
      <c r="U80" s="153">
        <v>0</v>
      </c>
      <c r="V80" t="str">
        <f>VLOOKUP(A80,'Projetos ciclo 2018-2022'!$I$7:$I$318,1,FALSE)</f>
        <v>MT00218</v>
      </c>
    </row>
    <row r="81" spans="1:22" x14ac:dyDescent="0.25">
      <c r="A81" s="21" t="s">
        <v>565</v>
      </c>
      <c r="B81" s="154" t="s">
        <v>1198</v>
      </c>
      <c r="C81" s="154" t="s">
        <v>59</v>
      </c>
      <c r="D81" s="155">
        <v>0</v>
      </c>
      <c r="E81" s="158">
        <v>0</v>
      </c>
      <c r="F81" s="155">
        <v>0</v>
      </c>
      <c r="G81" s="158">
        <v>0</v>
      </c>
      <c r="H81" s="155">
        <v>0</v>
      </c>
      <c r="I81" s="158">
        <v>0</v>
      </c>
      <c r="J81" s="155">
        <v>0</v>
      </c>
      <c r="K81" s="158">
        <v>0</v>
      </c>
      <c r="L81" s="155">
        <v>0</v>
      </c>
      <c r="M81" s="158">
        <v>0</v>
      </c>
      <c r="N81" s="155">
        <v>0</v>
      </c>
      <c r="O81" s="158">
        <v>0</v>
      </c>
      <c r="P81" s="155">
        <v>0</v>
      </c>
      <c r="Q81" s="158">
        <v>0</v>
      </c>
      <c r="R81" s="155">
        <v>0</v>
      </c>
      <c r="S81" s="158">
        <v>0</v>
      </c>
      <c r="T81" s="155">
        <v>0</v>
      </c>
      <c r="U81" s="157">
        <v>0</v>
      </c>
      <c r="V81" t="str">
        <f>VLOOKUP(A81,'Projetos ciclo 2018-2022'!$I$7:$I$318,1,FALSE)</f>
        <v>NA</v>
      </c>
    </row>
    <row r="82" spans="1:22" x14ac:dyDescent="0.25">
      <c r="A82" s="149" t="s">
        <v>1199</v>
      </c>
      <c r="B82" s="150" t="s">
        <v>1200</v>
      </c>
      <c r="C82" s="150" t="s">
        <v>59</v>
      </c>
      <c r="D82" s="151">
        <v>630.09999999999991</v>
      </c>
      <c r="E82" s="152">
        <v>0</v>
      </c>
      <c r="F82" s="151">
        <v>0</v>
      </c>
      <c r="G82" s="152">
        <v>0</v>
      </c>
      <c r="H82" s="151">
        <v>0</v>
      </c>
      <c r="I82" s="152">
        <v>0</v>
      </c>
      <c r="J82" s="151">
        <v>0</v>
      </c>
      <c r="K82" s="152">
        <v>0</v>
      </c>
      <c r="L82" s="151">
        <v>0</v>
      </c>
      <c r="M82" s="152">
        <v>0</v>
      </c>
      <c r="N82" s="151">
        <v>0</v>
      </c>
      <c r="O82" s="152">
        <v>0</v>
      </c>
      <c r="P82" s="151">
        <v>0</v>
      </c>
      <c r="Q82" s="152">
        <v>0</v>
      </c>
      <c r="R82" s="151">
        <v>0</v>
      </c>
      <c r="S82" s="152">
        <v>0</v>
      </c>
      <c r="T82" s="151">
        <v>0</v>
      </c>
      <c r="U82" s="153">
        <v>0</v>
      </c>
      <c r="V82" t="e">
        <f>VLOOKUP(A82,'Projetos ciclo 2018-2022'!$I$7:$I$318,1,FALSE)</f>
        <v>#N/A</v>
      </c>
    </row>
    <row r="83" spans="1:22" x14ac:dyDescent="0.25">
      <c r="A83" s="21" t="s">
        <v>1194</v>
      </c>
      <c r="B83" s="154" t="s">
        <v>1252</v>
      </c>
      <c r="C83" s="154" t="s">
        <v>59</v>
      </c>
      <c r="D83" s="155">
        <v>0</v>
      </c>
      <c r="E83" s="158">
        <v>0</v>
      </c>
      <c r="F83" s="155">
        <v>0</v>
      </c>
      <c r="G83" s="158">
        <v>0</v>
      </c>
      <c r="H83" s="155">
        <v>0</v>
      </c>
      <c r="I83" s="158">
        <v>0</v>
      </c>
      <c r="J83" s="155">
        <v>0</v>
      </c>
      <c r="K83" s="158">
        <v>0</v>
      </c>
      <c r="L83" s="155">
        <v>0</v>
      </c>
      <c r="M83" s="158">
        <v>0</v>
      </c>
      <c r="N83" s="155">
        <v>0</v>
      </c>
      <c r="O83" s="158">
        <v>0</v>
      </c>
      <c r="P83" s="155">
        <v>0</v>
      </c>
      <c r="Q83" s="158">
        <v>0</v>
      </c>
      <c r="R83" s="155">
        <v>0</v>
      </c>
      <c r="S83" s="158">
        <v>0</v>
      </c>
      <c r="T83" s="155">
        <v>0</v>
      </c>
      <c r="U83" s="157">
        <v>0</v>
      </c>
      <c r="V83" t="e">
        <f>VLOOKUP(A83,'Projetos ciclo 2018-2022'!$I$7:$I$318,1,FALSE)</f>
        <v>#N/A</v>
      </c>
    </row>
    <row r="84" spans="1:22" x14ac:dyDescent="0.25">
      <c r="A84" s="149" t="s">
        <v>1196</v>
      </c>
      <c r="B84" s="150" t="s">
        <v>1197</v>
      </c>
      <c r="C84" s="150" t="s">
        <v>59</v>
      </c>
      <c r="D84" s="151">
        <v>0</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c r="V84" t="e">
        <f>VLOOKUP(A84,'Projetos ciclo 2018-2022'!$I$7:$I$318,1,FALSE)</f>
        <v>#N/A</v>
      </c>
    </row>
    <row r="85" spans="1:22" x14ac:dyDescent="0.25">
      <c r="A85" s="21" t="s">
        <v>1459</v>
      </c>
      <c r="B85" s="154" t="s">
        <v>1460</v>
      </c>
      <c r="C85" s="154" t="s">
        <v>1461</v>
      </c>
      <c r="D85" s="155">
        <v>2113</v>
      </c>
      <c r="E85" s="158">
        <v>0</v>
      </c>
      <c r="F85" s="155">
        <v>1787</v>
      </c>
      <c r="G85" s="158">
        <v>0</v>
      </c>
      <c r="H85" s="155">
        <v>139</v>
      </c>
      <c r="I85" s="158">
        <v>0</v>
      </c>
      <c r="J85" s="155">
        <v>0</v>
      </c>
      <c r="K85" s="158">
        <v>0</v>
      </c>
      <c r="L85" s="155">
        <v>0</v>
      </c>
      <c r="M85" s="158">
        <v>0</v>
      </c>
      <c r="N85" s="155">
        <v>326</v>
      </c>
      <c r="O85" s="158">
        <v>0</v>
      </c>
      <c r="P85" s="155">
        <v>0</v>
      </c>
      <c r="Q85" s="158">
        <v>0</v>
      </c>
      <c r="R85" s="155">
        <v>0</v>
      </c>
      <c r="S85" s="158">
        <v>0</v>
      </c>
      <c r="T85" s="155">
        <v>0</v>
      </c>
      <c r="U85" s="157">
        <v>0</v>
      </c>
      <c r="V85" t="e">
        <f>VLOOKUP(A85,'Projetos ciclo 2018-2022'!$I$7:$I$318,1,FALSE)</f>
        <v>#N/A</v>
      </c>
    </row>
    <row r="86" spans="1:22" x14ac:dyDescent="0.25">
      <c r="A86" s="149" t="s">
        <v>1253</v>
      </c>
      <c r="B86" s="150" t="s">
        <v>1254</v>
      </c>
      <c r="C86" s="150" t="s">
        <v>1255</v>
      </c>
      <c r="D86" s="151">
        <v>0</v>
      </c>
      <c r="E86" s="152">
        <v>0</v>
      </c>
      <c r="F86" s="151">
        <v>0</v>
      </c>
      <c r="G86" s="152">
        <v>5</v>
      </c>
      <c r="H86" s="151">
        <v>0</v>
      </c>
      <c r="I86" s="152">
        <v>4.3380299806594849</v>
      </c>
      <c r="J86" s="151">
        <v>0</v>
      </c>
      <c r="K86" s="152">
        <v>4.3380299806594849</v>
      </c>
      <c r="L86" s="151">
        <v>5.7958297729492188</v>
      </c>
      <c r="M86" s="152">
        <v>10.133859753608704</v>
      </c>
      <c r="N86" s="151">
        <v>0</v>
      </c>
      <c r="O86" s="152">
        <v>0</v>
      </c>
      <c r="P86" s="151">
        <v>0</v>
      </c>
      <c r="Q86" s="152">
        <v>0</v>
      </c>
      <c r="R86" s="151">
        <v>0</v>
      </c>
      <c r="S86" s="152">
        <v>0</v>
      </c>
      <c r="T86" s="151">
        <v>0</v>
      </c>
      <c r="U86" s="153">
        <v>0</v>
      </c>
      <c r="V86" t="str">
        <f>VLOOKUP(A86,'Projetos ciclo 2018-2022'!$I$7:$I$318,1,FALSE)</f>
        <v>MT00516</v>
      </c>
    </row>
    <row r="87" spans="1:22" x14ac:dyDescent="0.25">
      <c r="A87" s="21" t="s">
        <v>1256</v>
      </c>
      <c r="B87" s="154" t="s">
        <v>1257</v>
      </c>
      <c r="C87" s="154" t="s">
        <v>1258</v>
      </c>
      <c r="D87" s="155">
        <v>0</v>
      </c>
      <c r="E87" s="158">
        <v>0</v>
      </c>
      <c r="F87" s="155">
        <v>0</v>
      </c>
      <c r="G87" s="158">
        <v>1082</v>
      </c>
      <c r="H87" s="155">
        <v>0</v>
      </c>
      <c r="I87" s="158">
        <v>31.809390187263489</v>
      </c>
      <c r="J87" s="155">
        <v>0</v>
      </c>
      <c r="K87" s="158">
        <v>31.809390187263489</v>
      </c>
      <c r="L87" s="155">
        <v>971.01232767105103</v>
      </c>
      <c r="M87" s="158">
        <v>1002.8217178583145</v>
      </c>
      <c r="N87" s="155">
        <v>0</v>
      </c>
      <c r="O87" s="158">
        <v>0</v>
      </c>
      <c r="P87" s="155">
        <v>0</v>
      </c>
      <c r="Q87" s="158">
        <v>0</v>
      </c>
      <c r="R87" s="155">
        <v>0</v>
      </c>
      <c r="S87" s="158">
        <v>0</v>
      </c>
      <c r="T87" s="155">
        <v>0</v>
      </c>
      <c r="U87" s="157">
        <v>0</v>
      </c>
      <c r="V87" t="str">
        <f>VLOOKUP(A87,'Projetos ciclo 2018-2022'!$I$7:$I$318,1,FALSE)</f>
        <v>MT01017</v>
      </c>
    </row>
    <row r="88" spans="1:22" x14ac:dyDescent="0.25">
      <c r="A88" s="149" t="s">
        <v>1972</v>
      </c>
      <c r="B88" s="150" t="s">
        <v>1973</v>
      </c>
      <c r="C88" s="150" t="s">
        <v>1974</v>
      </c>
      <c r="D88" s="151">
        <v>0</v>
      </c>
      <c r="E88" s="152">
        <v>0</v>
      </c>
      <c r="F88" s="151">
        <v>0</v>
      </c>
      <c r="G88" s="152">
        <v>0</v>
      </c>
      <c r="H88" s="151">
        <v>0</v>
      </c>
      <c r="I88" s="152">
        <v>0</v>
      </c>
      <c r="J88" s="151">
        <v>0</v>
      </c>
      <c r="K88" s="152">
        <v>0</v>
      </c>
      <c r="L88" s="151">
        <v>0</v>
      </c>
      <c r="M88" s="152">
        <v>0</v>
      </c>
      <c r="N88" s="151">
        <v>0</v>
      </c>
      <c r="O88" s="152">
        <v>0</v>
      </c>
      <c r="P88" s="151">
        <v>0</v>
      </c>
      <c r="Q88" s="152">
        <v>0</v>
      </c>
      <c r="R88" s="151">
        <v>0</v>
      </c>
      <c r="S88" s="152">
        <v>0</v>
      </c>
      <c r="T88" s="151">
        <v>0</v>
      </c>
      <c r="U88" s="153">
        <v>0</v>
      </c>
      <c r="V88" t="str">
        <f>VLOOKUP(A88,'Projetos ciclo 2018-2022'!$I$7:$I$318,1,FALSE)</f>
        <v>MT50118</v>
      </c>
    </row>
    <row r="89" spans="1:22" x14ac:dyDescent="0.25">
      <c r="A89" s="21" t="s">
        <v>565</v>
      </c>
      <c r="B89" s="154" t="s">
        <v>1259</v>
      </c>
      <c r="C89" s="154" t="s">
        <v>59</v>
      </c>
      <c r="D89" s="155">
        <v>4497</v>
      </c>
      <c r="E89" s="158">
        <v>0</v>
      </c>
      <c r="F89" s="155">
        <v>0</v>
      </c>
      <c r="G89" s="158">
        <v>0</v>
      </c>
      <c r="H89" s="155">
        <v>0</v>
      </c>
      <c r="I89" s="158">
        <v>0</v>
      </c>
      <c r="J89" s="155">
        <v>0</v>
      </c>
      <c r="K89" s="158">
        <v>0</v>
      </c>
      <c r="L89" s="155">
        <v>0</v>
      </c>
      <c r="M89" s="158">
        <v>0</v>
      </c>
      <c r="N89" s="155">
        <v>1170</v>
      </c>
      <c r="O89" s="158">
        <v>777</v>
      </c>
      <c r="P89" s="155">
        <v>2550</v>
      </c>
      <c r="Q89" s="158">
        <v>0</v>
      </c>
      <c r="R89" s="155">
        <v>0</v>
      </c>
      <c r="S89" s="158">
        <v>0</v>
      </c>
      <c r="T89" s="155">
        <v>0</v>
      </c>
      <c r="U89" s="157">
        <v>0</v>
      </c>
      <c r="V89" t="str">
        <f>VLOOKUP(A89,'Projetos ciclo 2018-2022'!$I$7:$I$318,1,FALSE)</f>
        <v>NA</v>
      </c>
    </row>
    <row r="90" spans="1:22" x14ac:dyDescent="0.25">
      <c r="A90" s="149" t="s">
        <v>1260</v>
      </c>
      <c r="B90" s="150" t="s">
        <v>1261</v>
      </c>
      <c r="C90" s="150" t="s">
        <v>1262</v>
      </c>
      <c r="D90" s="151">
        <v>0</v>
      </c>
      <c r="E90" s="152">
        <v>0</v>
      </c>
      <c r="F90" s="151">
        <v>0</v>
      </c>
      <c r="G90" s="152">
        <v>700</v>
      </c>
      <c r="H90" s="151">
        <v>0</v>
      </c>
      <c r="I90" s="152">
        <v>132.45830917358398</v>
      </c>
      <c r="J90" s="151">
        <v>0</v>
      </c>
      <c r="K90" s="152">
        <v>132.45830917358398</v>
      </c>
      <c r="L90" s="151">
        <v>534.56800007820129</v>
      </c>
      <c r="M90" s="152">
        <v>667.02630925178528</v>
      </c>
      <c r="N90" s="151">
        <v>0</v>
      </c>
      <c r="O90" s="152">
        <v>0</v>
      </c>
      <c r="P90" s="151">
        <v>0</v>
      </c>
      <c r="Q90" s="152">
        <v>0</v>
      </c>
      <c r="R90" s="151">
        <v>0</v>
      </c>
      <c r="S90" s="152">
        <v>0</v>
      </c>
      <c r="T90" s="151">
        <v>0</v>
      </c>
      <c r="U90" s="153">
        <v>0</v>
      </c>
      <c r="V90" t="str">
        <f>VLOOKUP(A90,'Projetos ciclo 2018-2022'!$I$7:$I$318,1,FALSE)</f>
        <v>PO00417</v>
      </c>
    </row>
    <row r="91" spans="1:22" x14ac:dyDescent="0.25">
      <c r="A91" s="21" t="s">
        <v>1199</v>
      </c>
      <c r="B91" s="154" t="s">
        <v>1200</v>
      </c>
      <c r="C91" s="154" t="s">
        <v>59</v>
      </c>
      <c r="D91" s="155">
        <v>28</v>
      </c>
      <c r="E91" s="158">
        <v>0</v>
      </c>
      <c r="F91" s="155">
        <v>0</v>
      </c>
      <c r="G91" s="158">
        <v>0</v>
      </c>
      <c r="H91" s="155">
        <v>0</v>
      </c>
      <c r="I91" s="158">
        <v>0</v>
      </c>
      <c r="J91" s="155">
        <v>0</v>
      </c>
      <c r="K91" s="158">
        <v>0</v>
      </c>
      <c r="L91" s="155">
        <v>0</v>
      </c>
      <c r="M91" s="158">
        <v>0</v>
      </c>
      <c r="N91" s="155">
        <v>0</v>
      </c>
      <c r="O91" s="158">
        <v>0</v>
      </c>
      <c r="P91" s="155">
        <v>0</v>
      </c>
      <c r="Q91" s="158">
        <v>0</v>
      </c>
      <c r="R91" s="155">
        <v>0</v>
      </c>
      <c r="S91" s="158">
        <v>0</v>
      </c>
      <c r="T91" s="155">
        <v>0</v>
      </c>
      <c r="U91" s="157">
        <v>0</v>
      </c>
      <c r="V91" t="e">
        <f>VLOOKUP(A91,'Projetos ciclo 2018-2022'!$I$7:$I$318,1,FALSE)</f>
        <v>#N/A</v>
      </c>
    </row>
    <row r="92" spans="1:22" x14ac:dyDescent="0.25">
      <c r="A92" s="149" t="s">
        <v>1905</v>
      </c>
      <c r="B92" s="150" t="s">
        <v>1906</v>
      </c>
      <c r="C92" s="150" t="s">
        <v>1904</v>
      </c>
      <c r="D92" s="151">
        <v>0</v>
      </c>
      <c r="E92" s="152">
        <v>0</v>
      </c>
      <c r="F92" s="151">
        <v>0</v>
      </c>
      <c r="G92" s="152">
        <v>53</v>
      </c>
      <c r="H92" s="151">
        <v>0</v>
      </c>
      <c r="I92" s="152">
        <v>0</v>
      </c>
      <c r="J92" s="151">
        <v>0</v>
      </c>
      <c r="K92" s="152">
        <v>0</v>
      </c>
      <c r="L92" s="151">
        <v>48.058000564575195</v>
      </c>
      <c r="M92" s="152">
        <v>48.058000564575195</v>
      </c>
      <c r="N92" s="151">
        <v>0</v>
      </c>
      <c r="O92" s="152">
        <v>0</v>
      </c>
      <c r="P92" s="151">
        <v>0</v>
      </c>
      <c r="Q92" s="152">
        <v>0</v>
      </c>
      <c r="R92" s="151">
        <v>0</v>
      </c>
      <c r="S92" s="152">
        <v>0</v>
      </c>
      <c r="T92" s="151">
        <v>0</v>
      </c>
      <c r="U92" s="153">
        <v>0</v>
      </c>
      <c r="V92" t="str">
        <f>VLOOKUP(A92,'Projetos ciclo 2018-2022'!$I$7:$I$318,1,FALSE)</f>
        <v>AD00118</v>
      </c>
    </row>
    <row r="93" spans="1:22" x14ac:dyDescent="0.25">
      <c r="A93" s="21" t="s">
        <v>2033</v>
      </c>
      <c r="B93" s="154" t="s">
        <v>2034</v>
      </c>
      <c r="C93" s="154" t="s">
        <v>2035</v>
      </c>
      <c r="D93" s="155">
        <v>0</v>
      </c>
      <c r="E93" s="158">
        <v>0</v>
      </c>
      <c r="F93" s="155">
        <v>0</v>
      </c>
      <c r="G93" s="158">
        <v>306</v>
      </c>
      <c r="H93" s="155">
        <v>0</v>
      </c>
      <c r="I93" s="158">
        <v>0</v>
      </c>
      <c r="J93" s="155">
        <v>0</v>
      </c>
      <c r="K93" s="158">
        <v>0</v>
      </c>
      <c r="L93" s="155">
        <v>302.0836181640625</v>
      </c>
      <c r="M93" s="158">
        <v>302.0836181640625</v>
      </c>
      <c r="N93" s="155">
        <v>0</v>
      </c>
      <c r="O93" s="158">
        <v>0</v>
      </c>
      <c r="P93" s="155">
        <v>0</v>
      </c>
      <c r="Q93" s="158">
        <v>0</v>
      </c>
      <c r="R93" s="155">
        <v>0</v>
      </c>
      <c r="S93" s="158">
        <v>0</v>
      </c>
      <c r="T93" s="155">
        <v>0</v>
      </c>
      <c r="U93" s="157">
        <v>0</v>
      </c>
      <c r="V93" t="str">
        <f>VLOOKUP(A93,'Projetos ciclo 2018-2022'!$I$7:$I$318,1,FALSE)</f>
        <v>AD00218</v>
      </c>
    </row>
    <row r="94" spans="1:22" x14ac:dyDescent="0.25">
      <c r="A94" s="149" t="s">
        <v>1194</v>
      </c>
      <c r="B94" s="150" t="s">
        <v>1287</v>
      </c>
      <c r="C94" s="150" t="s">
        <v>59</v>
      </c>
      <c r="D94" s="151">
        <v>0</v>
      </c>
      <c r="E94" s="152">
        <v>0</v>
      </c>
      <c r="F94" s="151">
        <v>0</v>
      </c>
      <c r="G94" s="152">
        <v>0</v>
      </c>
      <c r="H94" s="151">
        <v>0</v>
      </c>
      <c r="I94" s="152">
        <v>0</v>
      </c>
      <c r="J94" s="151">
        <v>0</v>
      </c>
      <c r="K94" s="152">
        <v>0</v>
      </c>
      <c r="L94" s="151">
        <v>0</v>
      </c>
      <c r="M94" s="152">
        <v>0</v>
      </c>
      <c r="N94" s="151">
        <v>0</v>
      </c>
      <c r="O94" s="152">
        <v>0</v>
      </c>
      <c r="P94" s="151">
        <v>0</v>
      </c>
      <c r="Q94" s="152">
        <v>0</v>
      </c>
      <c r="R94" s="151">
        <v>0</v>
      </c>
      <c r="S94" s="152">
        <v>0</v>
      </c>
      <c r="T94" s="151">
        <v>0</v>
      </c>
      <c r="U94" s="153">
        <v>0</v>
      </c>
      <c r="V94" t="e">
        <f>VLOOKUP(A94,'Projetos ciclo 2018-2022'!$I$7:$I$318,1,FALSE)</f>
        <v>#N/A</v>
      </c>
    </row>
    <row r="95" spans="1:22" x14ac:dyDescent="0.25">
      <c r="A95" s="21" t="s">
        <v>1291</v>
      </c>
      <c r="B95" s="154" t="s">
        <v>1292</v>
      </c>
      <c r="C95" s="154" t="s">
        <v>1293</v>
      </c>
      <c r="D95" s="155">
        <v>0</v>
      </c>
      <c r="E95" s="158">
        <v>0</v>
      </c>
      <c r="F95" s="155">
        <v>0</v>
      </c>
      <c r="G95" s="158">
        <v>13</v>
      </c>
      <c r="H95" s="155">
        <v>0</v>
      </c>
      <c r="I95" s="158">
        <v>11.104649901390076</v>
      </c>
      <c r="J95" s="155">
        <v>0</v>
      </c>
      <c r="K95" s="158">
        <v>11.104649901390076</v>
      </c>
      <c r="L95" s="155">
        <v>0</v>
      </c>
      <c r="M95" s="158">
        <v>11.104649901390076</v>
      </c>
      <c r="N95" s="155">
        <v>0</v>
      </c>
      <c r="O95" s="158">
        <v>0</v>
      </c>
      <c r="P95" s="155">
        <v>0</v>
      </c>
      <c r="Q95" s="158">
        <v>0</v>
      </c>
      <c r="R95" s="155">
        <v>0</v>
      </c>
      <c r="S95" s="158">
        <v>0</v>
      </c>
      <c r="T95" s="155">
        <v>0</v>
      </c>
      <c r="U95" s="157">
        <v>0</v>
      </c>
      <c r="V95" t="str">
        <f>VLOOKUP(A95,'Projetos ciclo 2018-2022'!$I$7:$I$318,1,FALSE)</f>
        <v>CD00315</v>
      </c>
    </row>
    <row r="96" spans="1:22" x14ac:dyDescent="0.25">
      <c r="A96" s="149" t="s">
        <v>1196</v>
      </c>
      <c r="B96" s="150" t="s">
        <v>1197</v>
      </c>
      <c r="C96" s="150" t="s">
        <v>59</v>
      </c>
      <c r="D96" s="151">
        <v>0</v>
      </c>
      <c r="E96" s="152">
        <v>0</v>
      </c>
      <c r="F96" s="151">
        <v>0</v>
      </c>
      <c r="G96" s="152">
        <v>0</v>
      </c>
      <c r="H96" s="151">
        <v>0</v>
      </c>
      <c r="I96" s="152">
        <v>0</v>
      </c>
      <c r="J96" s="151">
        <v>0</v>
      </c>
      <c r="K96" s="152">
        <v>0</v>
      </c>
      <c r="L96" s="151">
        <v>0</v>
      </c>
      <c r="M96" s="152">
        <v>0</v>
      </c>
      <c r="N96" s="151">
        <v>0</v>
      </c>
      <c r="O96" s="152">
        <v>0</v>
      </c>
      <c r="P96" s="151">
        <v>0</v>
      </c>
      <c r="Q96" s="152">
        <v>0</v>
      </c>
      <c r="R96" s="151">
        <v>0</v>
      </c>
      <c r="S96" s="152">
        <v>0</v>
      </c>
      <c r="T96" s="151">
        <v>0</v>
      </c>
      <c r="U96" s="153">
        <v>0</v>
      </c>
      <c r="V96" t="e">
        <f>VLOOKUP(A96,'Projetos ciclo 2018-2022'!$I$7:$I$318,1,FALSE)</f>
        <v>#N/A</v>
      </c>
    </row>
    <row r="97" spans="1:22" x14ac:dyDescent="0.25">
      <c r="A97" s="21" t="s">
        <v>1898</v>
      </c>
      <c r="B97" s="154" t="s">
        <v>1907</v>
      </c>
      <c r="C97" s="154" t="s">
        <v>1897</v>
      </c>
      <c r="D97" s="155">
        <v>0</v>
      </c>
      <c r="E97" s="158">
        <v>0</v>
      </c>
      <c r="F97" s="155">
        <v>0</v>
      </c>
      <c r="G97" s="158">
        <v>149</v>
      </c>
      <c r="H97" s="155">
        <v>0</v>
      </c>
      <c r="I97" s="158">
        <v>0</v>
      </c>
      <c r="J97" s="155">
        <v>0</v>
      </c>
      <c r="K97" s="158">
        <v>0</v>
      </c>
      <c r="L97" s="155">
        <v>137.69760131835937</v>
      </c>
      <c r="M97" s="158">
        <v>137.69760131835937</v>
      </c>
      <c r="N97" s="155">
        <v>0</v>
      </c>
      <c r="O97" s="158">
        <v>0</v>
      </c>
      <c r="P97" s="155">
        <v>0</v>
      </c>
      <c r="Q97" s="158">
        <v>0</v>
      </c>
      <c r="R97" s="155">
        <v>0</v>
      </c>
      <c r="S97" s="158">
        <v>0</v>
      </c>
      <c r="T97" s="155">
        <v>0</v>
      </c>
      <c r="U97" s="157">
        <v>0</v>
      </c>
      <c r="V97" t="str">
        <f>VLOOKUP(A97,'Projetos ciclo 2018-2022'!$I$7:$I$318,1,FALSE)</f>
        <v>EA00118</v>
      </c>
    </row>
    <row r="98" spans="1:22" x14ac:dyDescent="0.25">
      <c r="A98" s="149" t="s">
        <v>1758</v>
      </c>
      <c r="B98" s="150" t="s">
        <v>1908</v>
      </c>
      <c r="C98" s="150" t="s">
        <v>1760</v>
      </c>
      <c r="D98" s="151">
        <v>0</v>
      </c>
      <c r="E98" s="152">
        <v>0</v>
      </c>
      <c r="F98" s="151">
        <v>0</v>
      </c>
      <c r="G98" s="152">
        <v>405</v>
      </c>
      <c r="H98" s="151">
        <v>0</v>
      </c>
      <c r="I98" s="152">
        <v>0</v>
      </c>
      <c r="J98" s="151">
        <v>0</v>
      </c>
      <c r="K98" s="152">
        <v>0</v>
      </c>
      <c r="L98" s="151">
        <v>398.80000638961792</v>
      </c>
      <c r="M98" s="152">
        <v>398.80000638961792</v>
      </c>
      <c r="N98" s="151">
        <v>0</v>
      </c>
      <c r="O98" s="152">
        <v>0</v>
      </c>
      <c r="P98" s="151">
        <v>0</v>
      </c>
      <c r="Q98" s="152">
        <v>0</v>
      </c>
      <c r="R98" s="151">
        <v>0</v>
      </c>
      <c r="S98" s="152">
        <v>0</v>
      </c>
      <c r="T98" s="151">
        <v>0</v>
      </c>
      <c r="U98" s="153">
        <v>0</v>
      </c>
      <c r="V98" t="str">
        <f>VLOOKUP(A98,'Projetos ciclo 2018-2022'!$I$7:$I$318,1,FALSE)</f>
        <v>EM00118</v>
      </c>
    </row>
    <row r="99" spans="1:22" x14ac:dyDescent="0.25">
      <c r="A99" s="21" t="s">
        <v>1294</v>
      </c>
      <c r="B99" s="154" t="s">
        <v>1295</v>
      </c>
      <c r="C99" s="154" t="s">
        <v>1296</v>
      </c>
      <c r="D99" s="155">
        <v>2590</v>
      </c>
      <c r="E99" s="158">
        <v>0</v>
      </c>
      <c r="F99" s="155">
        <v>2350</v>
      </c>
      <c r="G99" s="158">
        <v>0</v>
      </c>
      <c r="H99" s="155">
        <v>26</v>
      </c>
      <c r="I99" s="158">
        <v>0</v>
      </c>
      <c r="J99" s="155">
        <v>0</v>
      </c>
      <c r="K99" s="158">
        <v>0</v>
      </c>
      <c r="L99" s="155">
        <v>0</v>
      </c>
      <c r="M99" s="158">
        <v>0</v>
      </c>
      <c r="N99" s="155">
        <v>240</v>
      </c>
      <c r="O99" s="158">
        <v>0</v>
      </c>
      <c r="P99" s="155">
        <v>0</v>
      </c>
      <c r="Q99" s="158">
        <v>0</v>
      </c>
      <c r="R99" s="155">
        <v>0</v>
      </c>
      <c r="S99" s="158">
        <v>0</v>
      </c>
      <c r="T99" s="155">
        <v>0</v>
      </c>
      <c r="U99" s="157">
        <v>0</v>
      </c>
      <c r="V99" t="e">
        <f>VLOOKUP(A99,'Projetos ciclo 2018-2022'!$I$7:$I$318,1,FALSE)</f>
        <v>#N/A</v>
      </c>
    </row>
    <row r="100" spans="1:22" x14ac:dyDescent="0.25">
      <c r="A100" s="149" t="s">
        <v>1641</v>
      </c>
      <c r="B100" s="150" t="s">
        <v>1642</v>
      </c>
      <c r="C100" s="150" t="s">
        <v>1643</v>
      </c>
      <c r="D100" s="151">
        <v>0</v>
      </c>
      <c r="E100" s="152">
        <v>0</v>
      </c>
      <c r="F100" s="151">
        <v>0</v>
      </c>
      <c r="G100" s="152">
        <v>350</v>
      </c>
      <c r="H100" s="151">
        <v>0</v>
      </c>
      <c r="I100" s="152">
        <v>0</v>
      </c>
      <c r="J100" s="151">
        <v>0</v>
      </c>
      <c r="K100" s="152">
        <v>0</v>
      </c>
      <c r="L100" s="151">
        <v>0</v>
      </c>
      <c r="M100" s="152">
        <v>0</v>
      </c>
      <c r="N100" s="151">
        <v>0</v>
      </c>
      <c r="O100" s="152">
        <v>0</v>
      </c>
      <c r="P100" s="151">
        <v>0</v>
      </c>
      <c r="Q100" s="152">
        <v>0</v>
      </c>
      <c r="R100" s="151">
        <v>0</v>
      </c>
      <c r="S100" s="152">
        <v>0</v>
      </c>
      <c r="T100" s="151">
        <v>0</v>
      </c>
      <c r="U100" s="153">
        <v>0</v>
      </c>
      <c r="V100" t="str">
        <f>VLOOKUP(A100,'Projetos ciclo 2018-2022'!$I$7:$I$318,1,FALSE)</f>
        <v>GR00118</v>
      </c>
    </row>
    <row r="101" spans="1:22" x14ac:dyDescent="0.25">
      <c r="A101" s="21" t="s">
        <v>1425</v>
      </c>
      <c r="B101" s="154" t="s">
        <v>1075</v>
      </c>
      <c r="C101" s="154" t="s">
        <v>1573</v>
      </c>
      <c r="D101" s="155">
        <v>0</v>
      </c>
      <c r="E101" s="158">
        <v>0</v>
      </c>
      <c r="F101" s="155">
        <v>0</v>
      </c>
      <c r="G101" s="158">
        <v>631</v>
      </c>
      <c r="H101" s="155">
        <v>0</v>
      </c>
      <c r="I101" s="158">
        <v>7.9200000762939453</v>
      </c>
      <c r="J101" s="155">
        <v>0</v>
      </c>
      <c r="K101" s="158">
        <v>7.9200000762939453</v>
      </c>
      <c r="L101" s="155">
        <v>350.97048950195313</v>
      </c>
      <c r="M101" s="158">
        <v>358.89048957824707</v>
      </c>
      <c r="N101" s="155">
        <v>0</v>
      </c>
      <c r="O101" s="158">
        <v>0</v>
      </c>
      <c r="P101" s="155">
        <v>0</v>
      </c>
      <c r="Q101" s="158">
        <v>0</v>
      </c>
      <c r="R101" s="155">
        <v>0</v>
      </c>
      <c r="S101" s="158">
        <v>0</v>
      </c>
      <c r="T101" s="155">
        <v>0</v>
      </c>
      <c r="U101" s="157">
        <v>0</v>
      </c>
      <c r="V101" t="str">
        <f>VLOOKUP(A101,'Projetos ciclo 2018-2022'!$I$7:$I$318,1,FALSE)</f>
        <v>MD00118</v>
      </c>
    </row>
    <row r="102" spans="1:22" x14ac:dyDescent="0.25">
      <c r="A102" s="149" t="s">
        <v>565</v>
      </c>
      <c r="B102" s="150" t="s">
        <v>1198</v>
      </c>
      <c r="C102" s="150" t="s">
        <v>59</v>
      </c>
      <c r="D102" s="151">
        <v>11427</v>
      </c>
      <c r="E102" s="152">
        <v>0</v>
      </c>
      <c r="F102" s="151">
        <v>0</v>
      </c>
      <c r="G102" s="152">
        <v>0</v>
      </c>
      <c r="H102" s="151">
        <v>0</v>
      </c>
      <c r="I102" s="152">
        <v>0</v>
      </c>
      <c r="J102" s="151">
        <v>0</v>
      </c>
      <c r="K102" s="152">
        <v>0</v>
      </c>
      <c r="L102" s="151">
        <v>0</v>
      </c>
      <c r="M102" s="152">
        <v>0</v>
      </c>
      <c r="N102" s="151">
        <v>1995</v>
      </c>
      <c r="O102" s="152">
        <v>3005</v>
      </c>
      <c r="P102" s="151">
        <v>3898</v>
      </c>
      <c r="Q102" s="152">
        <v>2529</v>
      </c>
      <c r="R102" s="151">
        <v>0</v>
      </c>
      <c r="S102" s="152">
        <v>0</v>
      </c>
      <c r="T102" s="151">
        <v>0</v>
      </c>
      <c r="U102" s="153">
        <v>0</v>
      </c>
      <c r="V102" t="str">
        <f>VLOOKUP(A102,'Projetos ciclo 2018-2022'!$I$7:$I$318,1,FALSE)</f>
        <v>NA</v>
      </c>
    </row>
    <row r="103" spans="1:22" x14ac:dyDescent="0.25">
      <c r="A103" s="21" t="s">
        <v>1570</v>
      </c>
      <c r="B103" s="154" t="s">
        <v>1590</v>
      </c>
      <c r="C103" s="154" t="s">
        <v>1591</v>
      </c>
      <c r="D103" s="155">
        <v>0</v>
      </c>
      <c r="E103" s="158">
        <v>0</v>
      </c>
      <c r="F103" s="155">
        <v>0</v>
      </c>
      <c r="G103" s="158">
        <v>254</v>
      </c>
      <c r="H103" s="155">
        <v>0</v>
      </c>
      <c r="I103" s="158">
        <v>0</v>
      </c>
      <c r="J103" s="155">
        <v>0</v>
      </c>
      <c r="K103" s="158">
        <v>0</v>
      </c>
      <c r="L103" s="155">
        <v>243.13971972465515</v>
      </c>
      <c r="M103" s="158">
        <v>243.13971972465515</v>
      </c>
      <c r="N103" s="155">
        <v>0</v>
      </c>
      <c r="O103" s="158">
        <v>0</v>
      </c>
      <c r="P103" s="155">
        <v>0</v>
      </c>
      <c r="Q103" s="158">
        <v>0</v>
      </c>
      <c r="R103" s="155">
        <v>0</v>
      </c>
      <c r="S103" s="158">
        <v>0</v>
      </c>
      <c r="T103" s="155">
        <v>0</v>
      </c>
      <c r="U103" s="157">
        <v>0</v>
      </c>
      <c r="V103" t="str">
        <f>VLOOKUP(A103,'Projetos ciclo 2018-2022'!$I$7:$I$318,1,FALSE)</f>
        <v>RH00218</v>
      </c>
    </row>
    <row r="104" spans="1:22" x14ac:dyDescent="0.25">
      <c r="A104" s="149" t="s">
        <v>1199</v>
      </c>
      <c r="B104" s="150" t="s">
        <v>1200</v>
      </c>
      <c r="C104" s="150" t="s">
        <v>59</v>
      </c>
      <c r="D104" s="151">
        <v>67</v>
      </c>
      <c r="E104" s="152">
        <v>0</v>
      </c>
      <c r="F104" s="151">
        <v>0</v>
      </c>
      <c r="G104" s="152">
        <v>0</v>
      </c>
      <c r="H104" s="151">
        <v>0</v>
      </c>
      <c r="I104" s="152">
        <v>0</v>
      </c>
      <c r="J104" s="151">
        <v>0</v>
      </c>
      <c r="K104" s="152">
        <v>0</v>
      </c>
      <c r="L104" s="151">
        <v>0</v>
      </c>
      <c r="M104" s="152">
        <v>0</v>
      </c>
      <c r="N104" s="151">
        <v>0</v>
      </c>
      <c r="O104" s="152">
        <v>0</v>
      </c>
      <c r="P104" s="151">
        <v>0</v>
      </c>
      <c r="Q104" s="152">
        <v>0</v>
      </c>
      <c r="R104" s="151">
        <v>0</v>
      </c>
      <c r="S104" s="152">
        <v>0</v>
      </c>
      <c r="T104" s="151">
        <v>0</v>
      </c>
      <c r="U104" s="153">
        <v>0</v>
      </c>
      <c r="V104" t="e">
        <f>VLOOKUP(A104,'Projetos ciclo 2018-2022'!$I$7:$I$318,1,FALSE)</f>
        <v>#N/A</v>
      </c>
    </row>
    <row r="105" spans="1:22" x14ac:dyDescent="0.25">
      <c r="A105" s="21" t="s">
        <v>1194</v>
      </c>
      <c r="B105" s="154" t="s">
        <v>1195</v>
      </c>
      <c r="C105" s="154" t="s">
        <v>59</v>
      </c>
      <c r="D105" s="155">
        <v>0</v>
      </c>
      <c r="E105" s="158">
        <v>0</v>
      </c>
      <c r="F105" s="155">
        <v>0</v>
      </c>
      <c r="G105" s="158">
        <v>0</v>
      </c>
      <c r="H105" s="155">
        <v>0</v>
      </c>
      <c r="I105" s="158">
        <v>0</v>
      </c>
      <c r="J105" s="155">
        <v>0</v>
      </c>
      <c r="K105" s="158">
        <v>0</v>
      </c>
      <c r="L105" s="155">
        <v>0</v>
      </c>
      <c r="M105" s="158">
        <v>0</v>
      </c>
      <c r="N105" s="155">
        <v>0</v>
      </c>
      <c r="O105" s="158">
        <v>0</v>
      </c>
      <c r="P105" s="155">
        <v>0</v>
      </c>
      <c r="Q105" s="158">
        <v>0</v>
      </c>
      <c r="R105" s="155">
        <v>0</v>
      </c>
      <c r="S105" s="158">
        <v>0</v>
      </c>
      <c r="T105" s="155">
        <v>0</v>
      </c>
      <c r="U105" s="157">
        <v>0</v>
      </c>
      <c r="V105" t="e">
        <f>VLOOKUP(A105,'Projetos ciclo 2018-2022'!$I$7:$I$318,1,FALSE)</f>
        <v>#N/A</v>
      </c>
    </row>
    <row r="106" spans="1:22" x14ac:dyDescent="0.25">
      <c r="A106" s="149" t="s">
        <v>1157</v>
      </c>
      <c r="B106" s="150" t="s">
        <v>1300</v>
      </c>
      <c r="C106" s="150" t="s">
        <v>1158</v>
      </c>
      <c r="D106" s="151">
        <v>0</v>
      </c>
      <c r="E106" s="152">
        <v>0</v>
      </c>
      <c r="F106" s="151">
        <v>0</v>
      </c>
      <c r="G106" s="152">
        <v>56</v>
      </c>
      <c r="H106" s="151">
        <v>0</v>
      </c>
      <c r="I106" s="152">
        <v>54.296999216079712</v>
      </c>
      <c r="J106" s="151">
        <v>0</v>
      </c>
      <c r="K106" s="152">
        <v>54.296999216079712</v>
      </c>
      <c r="L106" s="151">
        <v>0</v>
      </c>
      <c r="M106" s="152">
        <v>54.296999216079712</v>
      </c>
      <c r="N106" s="151">
        <v>0</v>
      </c>
      <c r="O106" s="152">
        <v>0</v>
      </c>
      <c r="P106" s="151">
        <v>0</v>
      </c>
      <c r="Q106" s="152">
        <v>0</v>
      </c>
      <c r="R106" s="151">
        <v>0</v>
      </c>
      <c r="S106" s="152">
        <v>0</v>
      </c>
      <c r="T106" s="151">
        <v>0</v>
      </c>
      <c r="U106" s="153">
        <v>0</v>
      </c>
      <c r="V106" t="str">
        <f>VLOOKUP(A106,'Projetos ciclo 2018-2022'!$I$7:$I$318,1,FALSE)</f>
        <v>CD00215</v>
      </c>
    </row>
    <row r="107" spans="1:22" x14ac:dyDescent="0.25">
      <c r="A107" s="21" t="s">
        <v>1662</v>
      </c>
      <c r="B107" s="154" t="s">
        <v>1745</v>
      </c>
      <c r="C107" s="154" t="s">
        <v>1663</v>
      </c>
      <c r="D107" s="155">
        <v>0</v>
      </c>
      <c r="E107" s="158">
        <v>0</v>
      </c>
      <c r="F107" s="155">
        <v>0</v>
      </c>
      <c r="G107" s="158">
        <v>92</v>
      </c>
      <c r="H107" s="155">
        <v>0</v>
      </c>
      <c r="I107" s="158">
        <v>0</v>
      </c>
      <c r="J107" s="155">
        <v>0</v>
      </c>
      <c r="K107" s="158">
        <v>0</v>
      </c>
      <c r="L107" s="155">
        <v>89.942001342773438</v>
      </c>
      <c r="M107" s="158">
        <v>89.942001342773438</v>
      </c>
      <c r="N107" s="155">
        <v>0</v>
      </c>
      <c r="O107" s="158">
        <v>0</v>
      </c>
      <c r="P107" s="155">
        <v>0</v>
      </c>
      <c r="Q107" s="158">
        <v>0</v>
      </c>
      <c r="R107" s="155">
        <v>0</v>
      </c>
      <c r="S107" s="158">
        <v>0</v>
      </c>
      <c r="T107" s="155">
        <v>0</v>
      </c>
      <c r="U107" s="157">
        <v>0</v>
      </c>
      <c r="V107" t="str">
        <f>VLOOKUP(A107,'Projetos ciclo 2018-2022'!$I$7:$I$318,1,FALSE)</f>
        <v>CE00118</v>
      </c>
    </row>
    <row r="108" spans="1:22" x14ac:dyDescent="0.25">
      <c r="A108" s="149" t="s">
        <v>1196</v>
      </c>
      <c r="B108" s="150" t="s">
        <v>1197</v>
      </c>
      <c r="C108" s="150" t="s">
        <v>59</v>
      </c>
      <c r="D108" s="151">
        <v>0</v>
      </c>
      <c r="E108" s="152">
        <v>0</v>
      </c>
      <c r="F108" s="151">
        <v>0</v>
      </c>
      <c r="G108" s="152">
        <v>0</v>
      </c>
      <c r="H108" s="151">
        <v>0</v>
      </c>
      <c r="I108" s="152">
        <v>0</v>
      </c>
      <c r="J108" s="151">
        <v>0</v>
      </c>
      <c r="K108" s="152">
        <v>0</v>
      </c>
      <c r="L108" s="151">
        <v>0</v>
      </c>
      <c r="M108" s="152">
        <v>0</v>
      </c>
      <c r="N108" s="151">
        <v>0</v>
      </c>
      <c r="O108" s="152">
        <v>0</v>
      </c>
      <c r="P108" s="151">
        <v>0</v>
      </c>
      <c r="Q108" s="152">
        <v>0</v>
      </c>
      <c r="R108" s="151">
        <v>0</v>
      </c>
      <c r="S108" s="152">
        <v>0</v>
      </c>
      <c r="T108" s="151">
        <v>0</v>
      </c>
      <c r="U108" s="153">
        <v>0</v>
      </c>
      <c r="V108" t="e">
        <f>VLOOKUP(A108,'Projetos ciclo 2018-2022'!$I$7:$I$318,1,FALSE)</f>
        <v>#N/A</v>
      </c>
    </row>
    <row r="109" spans="1:22" x14ac:dyDescent="0.25">
      <c r="A109" s="21" t="s">
        <v>1759</v>
      </c>
      <c r="B109" s="154" t="s">
        <v>1892</v>
      </c>
      <c r="C109" s="154" t="s">
        <v>1761</v>
      </c>
      <c r="D109" s="155">
        <v>0</v>
      </c>
      <c r="E109" s="158">
        <v>0</v>
      </c>
      <c r="F109" s="155">
        <v>0</v>
      </c>
      <c r="G109" s="158">
        <v>125</v>
      </c>
      <c r="H109" s="155">
        <v>0</v>
      </c>
      <c r="I109" s="158">
        <v>0</v>
      </c>
      <c r="J109" s="155">
        <v>0</v>
      </c>
      <c r="K109" s="158">
        <v>0</v>
      </c>
      <c r="L109" s="155">
        <v>115.20000123977661</v>
      </c>
      <c r="M109" s="158">
        <v>115.20000123977661</v>
      </c>
      <c r="N109" s="155">
        <v>0</v>
      </c>
      <c r="O109" s="158">
        <v>0</v>
      </c>
      <c r="P109" s="155">
        <v>0</v>
      </c>
      <c r="Q109" s="158">
        <v>0</v>
      </c>
      <c r="R109" s="155">
        <v>0</v>
      </c>
      <c r="S109" s="158">
        <v>0</v>
      </c>
      <c r="T109" s="155">
        <v>0</v>
      </c>
      <c r="U109" s="157">
        <v>0</v>
      </c>
      <c r="V109" t="str">
        <f>VLOOKUP(A109,'Projetos ciclo 2018-2022'!$I$7:$I$318,1,FALSE)</f>
        <v>EM00218</v>
      </c>
    </row>
    <row r="110" spans="1:22" x14ac:dyDescent="0.25">
      <c r="A110" s="149" t="s">
        <v>1161</v>
      </c>
      <c r="B110" s="150" t="s">
        <v>1301</v>
      </c>
      <c r="C110" s="150" t="s">
        <v>1302</v>
      </c>
      <c r="D110" s="151">
        <v>0</v>
      </c>
      <c r="E110" s="152">
        <v>0</v>
      </c>
      <c r="F110" s="151">
        <v>0</v>
      </c>
      <c r="G110" s="152">
        <v>0</v>
      </c>
      <c r="H110" s="151">
        <v>0</v>
      </c>
      <c r="I110" s="152">
        <v>-6.9145699739456177</v>
      </c>
      <c r="J110" s="151">
        <v>0</v>
      </c>
      <c r="K110" s="152">
        <v>-6.9145699739456177</v>
      </c>
      <c r="L110" s="151">
        <v>0</v>
      </c>
      <c r="M110" s="152">
        <v>-6.9145699739456177</v>
      </c>
      <c r="N110" s="151">
        <v>0</v>
      </c>
      <c r="O110" s="152">
        <v>0</v>
      </c>
      <c r="P110" s="151">
        <v>0</v>
      </c>
      <c r="Q110" s="152">
        <v>0</v>
      </c>
      <c r="R110" s="151">
        <v>0</v>
      </c>
      <c r="S110" s="152">
        <v>0</v>
      </c>
      <c r="T110" s="151">
        <v>0</v>
      </c>
      <c r="U110" s="153">
        <v>0</v>
      </c>
      <c r="V110" t="str">
        <f>VLOOKUP(A110,'Projetos ciclo 2018-2022'!$I$7:$I$318,1,FALSE)</f>
        <v>GE00214</v>
      </c>
    </row>
    <row r="111" spans="1:22" x14ac:dyDescent="0.25">
      <c r="A111" s="21" t="s">
        <v>1303</v>
      </c>
      <c r="B111" s="154" t="s">
        <v>1304</v>
      </c>
      <c r="C111" s="154" t="s">
        <v>1517</v>
      </c>
      <c r="D111" s="155">
        <v>8011</v>
      </c>
      <c r="E111" s="158">
        <v>0</v>
      </c>
      <c r="F111" s="155">
        <v>3894</v>
      </c>
      <c r="G111" s="158">
        <v>0</v>
      </c>
      <c r="H111" s="155">
        <v>167</v>
      </c>
      <c r="I111" s="158">
        <v>0</v>
      </c>
      <c r="J111" s="155">
        <v>0</v>
      </c>
      <c r="K111" s="158">
        <v>0</v>
      </c>
      <c r="L111" s="155">
        <v>0</v>
      </c>
      <c r="M111" s="158">
        <v>0</v>
      </c>
      <c r="N111" s="155">
        <v>2343</v>
      </c>
      <c r="O111" s="158">
        <v>1774</v>
      </c>
      <c r="P111" s="155">
        <v>0</v>
      </c>
      <c r="Q111" s="158">
        <v>0</v>
      </c>
      <c r="R111" s="155">
        <v>0</v>
      </c>
      <c r="S111" s="158">
        <v>0</v>
      </c>
      <c r="T111" s="155">
        <v>0</v>
      </c>
      <c r="U111" s="157">
        <v>0</v>
      </c>
      <c r="V111" t="e">
        <f>VLOOKUP(A111,'Projetos ciclo 2018-2022'!$I$7:$I$318,1,FALSE)</f>
        <v>#N/A</v>
      </c>
    </row>
    <row r="112" spans="1:22" x14ac:dyDescent="0.25">
      <c r="A112" s="149" t="s">
        <v>1613</v>
      </c>
      <c r="B112" s="150" t="s">
        <v>60</v>
      </c>
      <c r="C112" s="150" t="s">
        <v>1614</v>
      </c>
      <c r="D112" s="151">
        <v>0</v>
      </c>
      <c r="E112" s="152">
        <v>0</v>
      </c>
      <c r="F112" s="151">
        <v>0</v>
      </c>
      <c r="G112" s="152">
        <v>110</v>
      </c>
      <c r="H112" s="151">
        <v>0</v>
      </c>
      <c r="I112" s="152">
        <v>0</v>
      </c>
      <c r="J112" s="151">
        <v>0</v>
      </c>
      <c r="K112" s="152">
        <v>0</v>
      </c>
      <c r="L112" s="151">
        <v>18.359859466552734</v>
      </c>
      <c r="M112" s="152">
        <v>18.359859466552734</v>
      </c>
      <c r="N112" s="151">
        <v>0</v>
      </c>
      <c r="O112" s="152">
        <v>0</v>
      </c>
      <c r="P112" s="151">
        <v>0</v>
      </c>
      <c r="Q112" s="152">
        <v>0</v>
      </c>
      <c r="R112" s="151">
        <v>0</v>
      </c>
      <c r="S112" s="152">
        <v>0</v>
      </c>
      <c r="T112" s="151">
        <v>0</v>
      </c>
      <c r="U112" s="153">
        <v>0</v>
      </c>
      <c r="V112" t="str">
        <f>VLOOKUP(A112,'Projetos ciclo 2018-2022'!$I$7:$I$318,1,FALSE)</f>
        <v>GE01018</v>
      </c>
    </row>
    <row r="113" spans="1:22" x14ac:dyDescent="0.25">
      <c r="A113" s="21" t="s">
        <v>1672</v>
      </c>
      <c r="B113" s="154" t="s">
        <v>1823</v>
      </c>
      <c r="C113" s="154" t="s">
        <v>1824</v>
      </c>
      <c r="D113" s="155">
        <v>0</v>
      </c>
      <c r="E113" s="158">
        <v>0</v>
      </c>
      <c r="F113" s="155">
        <v>0</v>
      </c>
      <c r="G113" s="158">
        <v>81</v>
      </c>
      <c r="H113" s="155">
        <v>0</v>
      </c>
      <c r="I113" s="158">
        <v>0</v>
      </c>
      <c r="J113" s="155">
        <v>0</v>
      </c>
      <c r="K113" s="158">
        <v>0</v>
      </c>
      <c r="L113" s="155">
        <v>63.748771667480469</v>
      </c>
      <c r="M113" s="158">
        <v>63.748771667480469</v>
      </c>
      <c r="N113" s="155">
        <v>0</v>
      </c>
      <c r="O113" s="158">
        <v>0</v>
      </c>
      <c r="P113" s="155">
        <v>0</v>
      </c>
      <c r="Q113" s="158">
        <v>0</v>
      </c>
      <c r="R113" s="155">
        <v>0</v>
      </c>
      <c r="S113" s="158">
        <v>0</v>
      </c>
      <c r="T113" s="155">
        <v>0</v>
      </c>
      <c r="U113" s="157">
        <v>0</v>
      </c>
      <c r="V113" t="str">
        <f>VLOOKUP(A113,'Projetos ciclo 2018-2022'!$I$7:$I$318,1,FALSE)</f>
        <v>GE01118</v>
      </c>
    </row>
    <row r="114" spans="1:22" x14ac:dyDescent="0.25">
      <c r="A114" s="149" t="s">
        <v>1998</v>
      </c>
      <c r="B114" s="150" t="s">
        <v>2017</v>
      </c>
      <c r="C114" s="150" t="s">
        <v>1999</v>
      </c>
      <c r="D114" s="151">
        <v>0</v>
      </c>
      <c r="E114" s="152">
        <v>0</v>
      </c>
      <c r="F114" s="151">
        <v>0</v>
      </c>
      <c r="G114" s="152">
        <v>25</v>
      </c>
      <c r="H114" s="151">
        <v>0</v>
      </c>
      <c r="I114" s="152">
        <v>0</v>
      </c>
      <c r="J114" s="151">
        <v>0</v>
      </c>
      <c r="K114" s="152">
        <v>0</v>
      </c>
      <c r="L114" s="151">
        <v>0</v>
      </c>
      <c r="M114" s="152">
        <v>0</v>
      </c>
      <c r="N114" s="151">
        <v>0</v>
      </c>
      <c r="O114" s="152">
        <v>0</v>
      </c>
      <c r="P114" s="151">
        <v>0</v>
      </c>
      <c r="Q114" s="152">
        <v>0</v>
      </c>
      <c r="R114" s="151">
        <v>0</v>
      </c>
      <c r="S114" s="152">
        <v>0</v>
      </c>
      <c r="T114" s="151">
        <v>0</v>
      </c>
      <c r="U114" s="153">
        <v>0</v>
      </c>
      <c r="V114" t="str">
        <f>VLOOKUP(A114,'Projetos ciclo 2018-2022'!$I$7:$I$318,1,FALSE)</f>
        <v>GE01418</v>
      </c>
    </row>
    <row r="115" spans="1:22" x14ac:dyDescent="0.25">
      <c r="A115" s="21" t="s">
        <v>1942</v>
      </c>
      <c r="B115" s="154" t="s">
        <v>1975</v>
      </c>
      <c r="C115" s="154" t="s">
        <v>1943</v>
      </c>
      <c r="D115" s="155">
        <v>0</v>
      </c>
      <c r="E115" s="158">
        <v>0</v>
      </c>
      <c r="F115" s="155">
        <v>0</v>
      </c>
      <c r="G115" s="158">
        <v>114</v>
      </c>
      <c r="H115" s="155">
        <v>0</v>
      </c>
      <c r="I115" s="158">
        <v>0</v>
      </c>
      <c r="J115" s="155">
        <v>0</v>
      </c>
      <c r="K115" s="158">
        <v>0</v>
      </c>
      <c r="L115" s="155">
        <v>0</v>
      </c>
      <c r="M115" s="158">
        <v>0</v>
      </c>
      <c r="N115" s="155">
        <v>0</v>
      </c>
      <c r="O115" s="158">
        <v>0</v>
      </c>
      <c r="P115" s="155">
        <v>0</v>
      </c>
      <c r="Q115" s="158">
        <v>0</v>
      </c>
      <c r="R115" s="155">
        <v>0</v>
      </c>
      <c r="S115" s="158">
        <v>0</v>
      </c>
      <c r="T115" s="155">
        <v>0</v>
      </c>
      <c r="U115" s="157">
        <v>0</v>
      </c>
      <c r="V115" t="str">
        <f>VLOOKUP(A115,'Projetos ciclo 2018-2022'!$I$7:$I$318,1,FALSE)</f>
        <v>MS00118</v>
      </c>
    </row>
    <row r="116" spans="1:22" x14ac:dyDescent="0.25">
      <c r="A116" s="149" t="s">
        <v>565</v>
      </c>
      <c r="B116" s="150" t="s">
        <v>1198</v>
      </c>
      <c r="C116" s="150" t="s">
        <v>59</v>
      </c>
      <c r="D116" s="151">
        <v>30075</v>
      </c>
      <c r="E116" s="152">
        <v>0</v>
      </c>
      <c r="F116" s="151">
        <v>0</v>
      </c>
      <c r="G116" s="152">
        <v>0</v>
      </c>
      <c r="H116" s="151">
        <v>0</v>
      </c>
      <c r="I116" s="152">
        <v>0</v>
      </c>
      <c r="J116" s="151">
        <v>0</v>
      </c>
      <c r="K116" s="152">
        <v>0</v>
      </c>
      <c r="L116" s="151">
        <v>0</v>
      </c>
      <c r="M116" s="152">
        <v>0</v>
      </c>
      <c r="N116" s="151">
        <v>6360</v>
      </c>
      <c r="O116" s="152">
        <v>8062</v>
      </c>
      <c r="P116" s="151">
        <v>9596</v>
      </c>
      <c r="Q116" s="152">
        <v>6057</v>
      </c>
      <c r="R116" s="151">
        <v>0</v>
      </c>
      <c r="S116" s="152">
        <v>0</v>
      </c>
      <c r="T116" s="151">
        <v>0</v>
      </c>
      <c r="U116" s="153">
        <v>0</v>
      </c>
      <c r="V116" t="str">
        <f>VLOOKUP(A116,'Projetos ciclo 2018-2022'!$I$7:$I$318,1,FALSE)</f>
        <v>NA</v>
      </c>
    </row>
    <row r="117" spans="1:22" x14ac:dyDescent="0.25">
      <c r="A117" s="21" t="s">
        <v>1518</v>
      </c>
      <c r="B117" s="154" t="s">
        <v>1519</v>
      </c>
      <c r="C117" s="154" t="s">
        <v>1520</v>
      </c>
      <c r="D117" s="155">
        <v>0</v>
      </c>
      <c r="E117" s="158">
        <v>0</v>
      </c>
      <c r="F117" s="155">
        <v>0</v>
      </c>
      <c r="G117" s="158">
        <v>124</v>
      </c>
      <c r="H117" s="155">
        <v>0</v>
      </c>
      <c r="I117" s="158">
        <v>0</v>
      </c>
      <c r="J117" s="155">
        <v>0</v>
      </c>
      <c r="K117" s="158">
        <v>0</v>
      </c>
      <c r="L117" s="155">
        <v>103.1910982131958</v>
      </c>
      <c r="M117" s="158">
        <v>103.1910982131958</v>
      </c>
      <c r="N117" s="155">
        <v>0</v>
      </c>
      <c r="O117" s="158">
        <v>0</v>
      </c>
      <c r="P117" s="155">
        <v>0</v>
      </c>
      <c r="Q117" s="158">
        <v>0</v>
      </c>
      <c r="R117" s="155">
        <v>0</v>
      </c>
      <c r="S117" s="158">
        <v>0</v>
      </c>
      <c r="T117" s="155">
        <v>0</v>
      </c>
      <c r="U117" s="157">
        <v>0</v>
      </c>
      <c r="V117" t="str">
        <f>VLOOKUP(A117,'Projetos ciclo 2018-2022'!$I$7:$I$318,1,FALSE)</f>
        <v>RH00118</v>
      </c>
    </row>
    <row r="118" spans="1:22" x14ac:dyDescent="0.25">
      <c r="A118" s="149" t="s">
        <v>1153</v>
      </c>
      <c r="B118" s="150" t="s">
        <v>472</v>
      </c>
      <c r="C118" s="150" t="s">
        <v>1306</v>
      </c>
      <c r="D118" s="151">
        <v>0</v>
      </c>
      <c r="E118" s="152">
        <v>0</v>
      </c>
      <c r="F118" s="151">
        <v>0</v>
      </c>
      <c r="G118" s="152">
        <v>52</v>
      </c>
      <c r="H118" s="151">
        <v>0</v>
      </c>
      <c r="I118" s="152">
        <v>0</v>
      </c>
      <c r="J118" s="151">
        <v>0</v>
      </c>
      <c r="K118" s="152">
        <v>0</v>
      </c>
      <c r="L118" s="151">
        <v>51</v>
      </c>
      <c r="M118" s="152">
        <v>51</v>
      </c>
      <c r="N118" s="151">
        <v>0</v>
      </c>
      <c r="O118" s="152">
        <v>0</v>
      </c>
      <c r="P118" s="151">
        <v>0</v>
      </c>
      <c r="Q118" s="152">
        <v>0</v>
      </c>
      <c r="R118" s="151">
        <v>0</v>
      </c>
      <c r="S118" s="152">
        <v>0</v>
      </c>
      <c r="T118" s="151">
        <v>0</v>
      </c>
      <c r="U118" s="153">
        <v>0</v>
      </c>
      <c r="V118" t="str">
        <f>VLOOKUP(A118,'Projetos ciclo 2018-2022'!$I$7:$I$318,1,FALSE)</f>
        <v>SC00117</v>
      </c>
    </row>
    <row r="119" spans="1:22" x14ac:dyDescent="0.25">
      <c r="A119" s="21" t="s">
        <v>1152</v>
      </c>
      <c r="B119" s="154" t="s">
        <v>1585</v>
      </c>
      <c r="C119" s="154" t="s">
        <v>1486</v>
      </c>
      <c r="D119" s="155">
        <v>0</v>
      </c>
      <c r="E119" s="158">
        <v>0</v>
      </c>
      <c r="F119" s="155">
        <v>0</v>
      </c>
      <c r="G119" s="158">
        <v>30</v>
      </c>
      <c r="H119" s="155">
        <v>0</v>
      </c>
      <c r="I119" s="158">
        <v>0</v>
      </c>
      <c r="J119" s="155">
        <v>0</v>
      </c>
      <c r="K119" s="158">
        <v>0</v>
      </c>
      <c r="L119" s="155">
        <v>0</v>
      </c>
      <c r="M119" s="158">
        <v>0</v>
      </c>
      <c r="N119" s="155">
        <v>0</v>
      </c>
      <c r="O119" s="158">
        <v>0</v>
      </c>
      <c r="P119" s="155">
        <v>0</v>
      </c>
      <c r="Q119" s="158">
        <v>0</v>
      </c>
      <c r="R119" s="155">
        <v>0</v>
      </c>
      <c r="S119" s="158">
        <v>0</v>
      </c>
      <c r="T119" s="155">
        <v>0</v>
      </c>
      <c r="U119" s="157">
        <v>0</v>
      </c>
      <c r="V119" t="str">
        <f>VLOOKUP(A119,'Projetos ciclo 2018-2022'!$I$7:$I$318,1,FALSE)</f>
        <v>SC00118</v>
      </c>
    </row>
    <row r="120" spans="1:22" x14ac:dyDescent="0.25">
      <c r="A120" s="149" t="s">
        <v>1534</v>
      </c>
      <c r="B120" s="150" t="s">
        <v>1586</v>
      </c>
      <c r="C120" s="150" t="s">
        <v>1535</v>
      </c>
      <c r="D120" s="151">
        <v>0</v>
      </c>
      <c r="E120" s="152">
        <v>0</v>
      </c>
      <c r="F120" s="151">
        <v>0</v>
      </c>
      <c r="G120" s="152">
        <v>153</v>
      </c>
      <c r="H120" s="151">
        <v>0</v>
      </c>
      <c r="I120" s="152">
        <v>78.618400573730469</v>
      </c>
      <c r="J120" s="151">
        <v>0</v>
      </c>
      <c r="K120" s="152">
        <v>78.618400573730469</v>
      </c>
      <c r="L120" s="151">
        <v>50.271249771118164</v>
      </c>
      <c r="M120" s="152">
        <v>128.88965034484863</v>
      </c>
      <c r="N120" s="151">
        <v>0</v>
      </c>
      <c r="O120" s="152">
        <v>0</v>
      </c>
      <c r="P120" s="151">
        <v>0</v>
      </c>
      <c r="Q120" s="152">
        <v>0</v>
      </c>
      <c r="R120" s="151">
        <v>0</v>
      </c>
      <c r="S120" s="152">
        <v>0</v>
      </c>
      <c r="T120" s="151">
        <v>0</v>
      </c>
      <c r="U120" s="153">
        <v>0</v>
      </c>
      <c r="V120" t="str">
        <f>VLOOKUP(A120,'Projetos ciclo 2018-2022'!$I$7:$I$318,1,FALSE)</f>
        <v>SC00418</v>
      </c>
    </row>
    <row r="121" spans="1:22" x14ac:dyDescent="0.25">
      <c r="A121" s="21" t="s">
        <v>1619</v>
      </c>
      <c r="B121" s="154" t="s">
        <v>1644</v>
      </c>
      <c r="C121" s="154" t="s">
        <v>1620</v>
      </c>
      <c r="D121" s="155">
        <v>0</v>
      </c>
      <c r="E121" s="158">
        <v>0</v>
      </c>
      <c r="F121" s="155">
        <v>0</v>
      </c>
      <c r="G121" s="158">
        <v>23</v>
      </c>
      <c r="H121" s="155">
        <v>0</v>
      </c>
      <c r="I121" s="158">
        <v>0</v>
      </c>
      <c r="J121" s="155">
        <v>0</v>
      </c>
      <c r="K121" s="158">
        <v>0</v>
      </c>
      <c r="L121" s="155">
        <v>21.78000020980835</v>
      </c>
      <c r="M121" s="158">
        <v>21.78000020980835</v>
      </c>
      <c r="N121" s="155">
        <v>0</v>
      </c>
      <c r="O121" s="158">
        <v>0</v>
      </c>
      <c r="P121" s="155">
        <v>0</v>
      </c>
      <c r="Q121" s="158">
        <v>0</v>
      </c>
      <c r="R121" s="155">
        <v>0</v>
      </c>
      <c r="S121" s="158">
        <v>0</v>
      </c>
      <c r="T121" s="155">
        <v>0</v>
      </c>
      <c r="U121" s="157">
        <v>0</v>
      </c>
      <c r="V121" t="str">
        <f>VLOOKUP(A121,'Projetos ciclo 2018-2022'!$I$7:$I$318,1,FALSE)</f>
        <v>SC00518</v>
      </c>
    </row>
    <row r="122" spans="1:22" x14ac:dyDescent="0.25">
      <c r="A122" s="149" t="s">
        <v>1654</v>
      </c>
      <c r="B122" s="150" t="s">
        <v>1825</v>
      </c>
      <c r="C122" s="150" t="s">
        <v>1655</v>
      </c>
      <c r="D122" s="151">
        <v>0</v>
      </c>
      <c r="E122" s="152">
        <v>0</v>
      </c>
      <c r="F122" s="151">
        <v>0</v>
      </c>
      <c r="G122" s="152">
        <v>1209</v>
      </c>
      <c r="H122" s="151">
        <v>0</v>
      </c>
      <c r="I122" s="152">
        <v>0</v>
      </c>
      <c r="J122" s="151">
        <v>0</v>
      </c>
      <c r="K122" s="152">
        <v>0</v>
      </c>
      <c r="L122" s="151">
        <v>1206</v>
      </c>
      <c r="M122" s="152">
        <v>1206</v>
      </c>
      <c r="N122" s="151">
        <v>0</v>
      </c>
      <c r="O122" s="152">
        <v>0</v>
      </c>
      <c r="P122" s="151">
        <v>0</v>
      </c>
      <c r="Q122" s="152">
        <v>0</v>
      </c>
      <c r="R122" s="151">
        <v>0</v>
      </c>
      <c r="S122" s="152">
        <v>0</v>
      </c>
      <c r="T122" s="151">
        <v>0</v>
      </c>
      <c r="U122" s="153">
        <v>0</v>
      </c>
      <c r="V122" t="str">
        <f>VLOOKUP(A122,'Projetos ciclo 2018-2022'!$I$7:$I$318,1,FALSE)</f>
        <v>SC00618</v>
      </c>
    </row>
    <row r="123" spans="1:22" x14ac:dyDescent="0.25">
      <c r="A123" s="21" t="s">
        <v>1657</v>
      </c>
      <c r="B123" s="154" t="s">
        <v>1659</v>
      </c>
      <c r="C123" s="154" t="s">
        <v>1658</v>
      </c>
      <c r="D123" s="155">
        <v>0</v>
      </c>
      <c r="E123" s="158">
        <v>0</v>
      </c>
      <c r="F123" s="155">
        <v>0</v>
      </c>
      <c r="G123" s="158">
        <v>16</v>
      </c>
      <c r="H123" s="155">
        <v>0</v>
      </c>
      <c r="I123" s="158">
        <v>10.799999952316284</v>
      </c>
      <c r="J123" s="155">
        <v>0</v>
      </c>
      <c r="K123" s="158">
        <v>10.799999952316284</v>
      </c>
      <c r="L123" s="155">
        <v>0</v>
      </c>
      <c r="M123" s="158">
        <v>10.799999952316284</v>
      </c>
      <c r="N123" s="155">
        <v>0</v>
      </c>
      <c r="O123" s="158">
        <v>0</v>
      </c>
      <c r="P123" s="155">
        <v>0</v>
      </c>
      <c r="Q123" s="158">
        <v>0</v>
      </c>
      <c r="R123" s="155">
        <v>0</v>
      </c>
      <c r="S123" s="158">
        <v>0</v>
      </c>
      <c r="T123" s="155">
        <v>0</v>
      </c>
      <c r="U123" s="157">
        <v>0</v>
      </c>
      <c r="V123" t="str">
        <f>VLOOKUP(A123,'Projetos ciclo 2018-2022'!$I$7:$I$318,1,FALSE)</f>
        <v>SC00718</v>
      </c>
    </row>
    <row r="124" spans="1:22" x14ac:dyDescent="0.25">
      <c r="A124" s="149" t="s">
        <v>1927</v>
      </c>
      <c r="B124" s="150" t="s">
        <v>1945</v>
      </c>
      <c r="C124" s="150" t="s">
        <v>1928</v>
      </c>
      <c r="D124" s="151">
        <v>0</v>
      </c>
      <c r="E124" s="152">
        <v>0</v>
      </c>
      <c r="F124" s="151">
        <v>0</v>
      </c>
      <c r="G124" s="152">
        <v>7</v>
      </c>
      <c r="H124" s="151">
        <v>0</v>
      </c>
      <c r="I124" s="152">
        <v>2.8900001049041748</v>
      </c>
      <c r="J124" s="151">
        <v>0</v>
      </c>
      <c r="K124" s="152">
        <v>2.8900001049041748</v>
      </c>
      <c r="L124" s="151">
        <v>0</v>
      </c>
      <c r="M124" s="152">
        <v>2.8900001049041748</v>
      </c>
      <c r="N124" s="151">
        <v>0</v>
      </c>
      <c r="O124" s="152">
        <v>0</v>
      </c>
      <c r="P124" s="151">
        <v>0</v>
      </c>
      <c r="Q124" s="152">
        <v>0</v>
      </c>
      <c r="R124" s="151">
        <v>0</v>
      </c>
      <c r="S124" s="152">
        <v>0</v>
      </c>
      <c r="T124" s="151">
        <v>0</v>
      </c>
      <c r="U124" s="153">
        <v>0</v>
      </c>
      <c r="V124" t="str">
        <f>VLOOKUP(A124,'Projetos ciclo 2018-2022'!$I$7:$I$318,1,FALSE)</f>
        <v>SC00818</v>
      </c>
    </row>
    <row r="125" spans="1:22" x14ac:dyDescent="0.25">
      <c r="A125" s="21" t="s">
        <v>1925</v>
      </c>
      <c r="B125" s="154" t="s">
        <v>1946</v>
      </c>
      <c r="C125" s="154" t="s">
        <v>2036</v>
      </c>
      <c r="D125" s="155">
        <v>0</v>
      </c>
      <c r="E125" s="158">
        <v>0</v>
      </c>
      <c r="F125" s="155">
        <v>0</v>
      </c>
      <c r="G125" s="158">
        <v>9</v>
      </c>
      <c r="H125" s="155">
        <v>0</v>
      </c>
      <c r="I125" s="158">
        <v>0</v>
      </c>
      <c r="J125" s="155">
        <v>0</v>
      </c>
      <c r="K125" s="158">
        <v>0</v>
      </c>
      <c r="L125" s="155">
        <v>9.25</v>
      </c>
      <c r="M125" s="158">
        <v>9.25</v>
      </c>
      <c r="N125" s="155">
        <v>0</v>
      </c>
      <c r="O125" s="158">
        <v>0</v>
      </c>
      <c r="P125" s="155">
        <v>0</v>
      </c>
      <c r="Q125" s="158">
        <v>0</v>
      </c>
      <c r="R125" s="155">
        <v>0</v>
      </c>
      <c r="S125" s="158">
        <v>0</v>
      </c>
      <c r="T125" s="155">
        <v>0</v>
      </c>
      <c r="U125" s="157">
        <v>0</v>
      </c>
      <c r="V125" t="str">
        <f>VLOOKUP(A125,'Projetos ciclo 2018-2022'!$I$7:$I$318,1,FALSE)</f>
        <v>SC00918</v>
      </c>
    </row>
    <row r="126" spans="1:22" x14ac:dyDescent="0.25">
      <c r="A126" s="149" t="s">
        <v>1199</v>
      </c>
      <c r="B126" s="150" t="s">
        <v>1200</v>
      </c>
      <c r="C126" s="150" t="s">
        <v>59</v>
      </c>
      <c r="D126" s="151">
        <v>2365.5</v>
      </c>
      <c r="E126" s="152">
        <v>0</v>
      </c>
      <c r="F126" s="151">
        <v>0</v>
      </c>
      <c r="G126" s="152">
        <v>0</v>
      </c>
      <c r="H126" s="151">
        <v>0</v>
      </c>
      <c r="I126" s="152">
        <v>0</v>
      </c>
      <c r="J126" s="151">
        <v>0</v>
      </c>
      <c r="K126" s="152">
        <v>0</v>
      </c>
      <c r="L126" s="151">
        <v>0</v>
      </c>
      <c r="M126" s="152">
        <v>0</v>
      </c>
      <c r="N126" s="151">
        <v>0</v>
      </c>
      <c r="O126" s="152">
        <v>0</v>
      </c>
      <c r="P126" s="151">
        <v>0</v>
      </c>
      <c r="Q126" s="152">
        <v>0</v>
      </c>
      <c r="R126" s="151">
        <v>0</v>
      </c>
      <c r="S126" s="152">
        <v>0</v>
      </c>
      <c r="T126" s="151">
        <v>0</v>
      </c>
      <c r="U126" s="153">
        <v>0</v>
      </c>
      <c r="V126" t="e">
        <f>VLOOKUP(A126,'Projetos ciclo 2018-2022'!$I$7:$I$318,1,FALSE)</f>
        <v>#N/A</v>
      </c>
    </row>
    <row r="127" spans="1:22" x14ac:dyDescent="0.25">
      <c r="A127" s="21" t="s">
        <v>1538</v>
      </c>
      <c r="B127" s="154" t="s">
        <v>1549</v>
      </c>
      <c r="C127" s="154" t="s">
        <v>1539</v>
      </c>
      <c r="D127" s="155">
        <v>0</v>
      </c>
      <c r="E127" s="158">
        <v>0</v>
      </c>
      <c r="F127" s="155">
        <v>0</v>
      </c>
      <c r="G127" s="158">
        <v>20</v>
      </c>
      <c r="H127" s="155">
        <v>0</v>
      </c>
      <c r="I127" s="158">
        <v>11.725610017776489</v>
      </c>
      <c r="J127" s="155">
        <v>0</v>
      </c>
      <c r="K127" s="158">
        <v>11.725610017776489</v>
      </c>
      <c r="L127" s="155">
        <v>0</v>
      </c>
      <c r="M127" s="158">
        <v>11.725610017776489</v>
      </c>
      <c r="N127" s="155">
        <v>0</v>
      </c>
      <c r="O127" s="158">
        <v>0</v>
      </c>
      <c r="P127" s="155">
        <v>0</v>
      </c>
      <c r="Q127" s="158">
        <v>0</v>
      </c>
      <c r="R127" s="155">
        <v>0</v>
      </c>
      <c r="S127" s="158">
        <v>0</v>
      </c>
      <c r="T127" s="155">
        <v>0</v>
      </c>
      <c r="U127" s="157">
        <v>0</v>
      </c>
      <c r="V127" t="str">
        <f>VLOOKUP(A127,'Projetos ciclo 2018-2022'!$I$7:$I$318,1,FALSE)</f>
        <v>TI05018</v>
      </c>
    </row>
    <row r="128" spans="1:22" x14ac:dyDescent="0.25">
      <c r="A128" s="149" t="s">
        <v>1194</v>
      </c>
      <c r="B128" s="150" t="s">
        <v>1307</v>
      </c>
      <c r="C128" s="150" t="s">
        <v>59</v>
      </c>
      <c r="D128" s="151">
        <v>0</v>
      </c>
      <c r="E128" s="152">
        <v>0</v>
      </c>
      <c r="F128" s="151">
        <v>0</v>
      </c>
      <c r="G128" s="152">
        <v>0</v>
      </c>
      <c r="H128" s="151">
        <v>0</v>
      </c>
      <c r="I128" s="152">
        <v>0</v>
      </c>
      <c r="J128" s="151">
        <v>0</v>
      </c>
      <c r="K128" s="152">
        <v>0</v>
      </c>
      <c r="L128" s="151">
        <v>0</v>
      </c>
      <c r="M128" s="152">
        <v>0</v>
      </c>
      <c r="N128" s="151">
        <v>0</v>
      </c>
      <c r="O128" s="152">
        <v>0</v>
      </c>
      <c r="P128" s="151">
        <v>0</v>
      </c>
      <c r="Q128" s="152">
        <v>0</v>
      </c>
      <c r="R128" s="151">
        <v>0</v>
      </c>
      <c r="S128" s="152">
        <v>0</v>
      </c>
      <c r="T128" s="151">
        <v>0</v>
      </c>
      <c r="U128" s="153">
        <v>0</v>
      </c>
      <c r="V128" t="e">
        <f>VLOOKUP(A128,'Projetos ciclo 2018-2022'!$I$7:$I$318,1,FALSE)</f>
        <v>#N/A</v>
      </c>
    </row>
    <row r="129" spans="1:22" x14ac:dyDescent="0.25">
      <c r="A129" s="21" t="s">
        <v>1196</v>
      </c>
      <c r="B129" s="154" t="s">
        <v>1197</v>
      </c>
      <c r="C129" s="154" t="s">
        <v>59</v>
      </c>
      <c r="D129" s="155">
        <v>0</v>
      </c>
      <c r="E129" s="158">
        <v>0</v>
      </c>
      <c r="F129" s="155">
        <v>0</v>
      </c>
      <c r="G129" s="158">
        <v>0</v>
      </c>
      <c r="H129" s="155">
        <v>0</v>
      </c>
      <c r="I129" s="158">
        <v>0</v>
      </c>
      <c r="J129" s="155">
        <v>0</v>
      </c>
      <c r="K129" s="158">
        <v>0</v>
      </c>
      <c r="L129" s="155">
        <v>0</v>
      </c>
      <c r="M129" s="158">
        <v>0</v>
      </c>
      <c r="N129" s="155">
        <v>0</v>
      </c>
      <c r="O129" s="158">
        <v>0</v>
      </c>
      <c r="P129" s="155">
        <v>0</v>
      </c>
      <c r="Q129" s="158">
        <v>0</v>
      </c>
      <c r="R129" s="155">
        <v>0</v>
      </c>
      <c r="S129" s="158">
        <v>0</v>
      </c>
      <c r="T129" s="155">
        <v>0</v>
      </c>
      <c r="U129" s="157">
        <v>0</v>
      </c>
      <c r="V129" t="e">
        <f>VLOOKUP(A129,'Projetos ciclo 2018-2022'!$I$7:$I$318,1,FALSE)</f>
        <v>#N/A</v>
      </c>
    </row>
    <row r="130" spans="1:22" x14ac:dyDescent="0.25">
      <c r="A130" s="149" t="s">
        <v>565</v>
      </c>
      <c r="B130" s="150" t="s">
        <v>1198</v>
      </c>
      <c r="C130" s="150" t="s">
        <v>59</v>
      </c>
      <c r="D130" s="151">
        <v>30051</v>
      </c>
      <c r="E130" s="152">
        <v>0</v>
      </c>
      <c r="F130" s="151">
        <v>0</v>
      </c>
      <c r="G130" s="152">
        <v>0</v>
      </c>
      <c r="H130" s="151">
        <v>0</v>
      </c>
      <c r="I130" s="152">
        <v>0</v>
      </c>
      <c r="J130" s="151">
        <v>0</v>
      </c>
      <c r="K130" s="152">
        <v>0</v>
      </c>
      <c r="L130" s="151">
        <v>0</v>
      </c>
      <c r="M130" s="152">
        <v>0</v>
      </c>
      <c r="N130" s="151">
        <v>5003</v>
      </c>
      <c r="O130" s="152">
        <v>8113</v>
      </c>
      <c r="P130" s="151">
        <v>9847</v>
      </c>
      <c r="Q130" s="152">
        <v>7088</v>
      </c>
      <c r="R130" s="151">
        <v>0</v>
      </c>
      <c r="S130" s="152">
        <v>0</v>
      </c>
      <c r="T130" s="151">
        <v>0</v>
      </c>
      <c r="U130" s="153">
        <v>0</v>
      </c>
      <c r="V130" t="str">
        <f>VLOOKUP(A130,'Projetos ciclo 2018-2022'!$I$7:$I$318,1,FALSE)</f>
        <v>NA</v>
      </c>
    </row>
    <row r="131" spans="1:22" x14ac:dyDescent="0.25">
      <c r="A131" s="21" t="s">
        <v>1199</v>
      </c>
      <c r="B131" s="154" t="s">
        <v>1200</v>
      </c>
      <c r="C131" s="154" t="s">
        <v>59</v>
      </c>
      <c r="D131" s="155">
        <v>-1</v>
      </c>
      <c r="E131" s="158">
        <v>0</v>
      </c>
      <c r="F131" s="155">
        <v>0</v>
      </c>
      <c r="G131" s="158">
        <v>0</v>
      </c>
      <c r="H131" s="155">
        <v>0</v>
      </c>
      <c r="I131" s="158">
        <v>0</v>
      </c>
      <c r="J131" s="155">
        <v>0</v>
      </c>
      <c r="K131" s="158">
        <v>0</v>
      </c>
      <c r="L131" s="155">
        <v>0</v>
      </c>
      <c r="M131" s="158">
        <v>0</v>
      </c>
      <c r="N131" s="155">
        <v>0</v>
      </c>
      <c r="O131" s="158">
        <v>0</v>
      </c>
      <c r="P131" s="155">
        <v>0</v>
      </c>
      <c r="Q131" s="158">
        <v>0</v>
      </c>
      <c r="R131" s="155">
        <v>0</v>
      </c>
      <c r="S131" s="158">
        <v>0</v>
      </c>
      <c r="T131" s="155">
        <v>0</v>
      </c>
      <c r="U131" s="157">
        <v>0</v>
      </c>
      <c r="V131" t="e">
        <f>VLOOKUP(A131,'Projetos ciclo 2018-2022'!$I$7:$I$318,1,FALSE)</f>
        <v>#N/A</v>
      </c>
    </row>
    <row r="132" spans="1:22" x14ac:dyDescent="0.25">
      <c r="A132" s="149" t="s">
        <v>1308</v>
      </c>
      <c r="B132" s="150" t="s">
        <v>1309</v>
      </c>
      <c r="C132" s="150" t="s">
        <v>1310</v>
      </c>
      <c r="D132" s="151">
        <v>4512</v>
      </c>
      <c r="E132" s="152">
        <v>0</v>
      </c>
      <c r="F132" s="151">
        <v>4112</v>
      </c>
      <c r="G132" s="152">
        <v>0</v>
      </c>
      <c r="H132" s="151">
        <v>0</v>
      </c>
      <c r="I132" s="152">
        <v>0</v>
      </c>
      <c r="J132" s="151">
        <v>0</v>
      </c>
      <c r="K132" s="152">
        <v>0</v>
      </c>
      <c r="L132" s="151">
        <v>0</v>
      </c>
      <c r="M132" s="152">
        <v>0</v>
      </c>
      <c r="N132" s="151">
        <v>200</v>
      </c>
      <c r="O132" s="152">
        <v>200</v>
      </c>
      <c r="P132" s="151">
        <v>0</v>
      </c>
      <c r="Q132" s="152">
        <v>0</v>
      </c>
      <c r="R132" s="151">
        <v>0</v>
      </c>
      <c r="S132" s="152">
        <v>0</v>
      </c>
      <c r="T132" s="151">
        <v>0</v>
      </c>
      <c r="U132" s="153">
        <v>0</v>
      </c>
      <c r="V132" t="e">
        <f>VLOOKUP(A132,'Projetos ciclo 2018-2022'!$I$7:$I$318,1,FALSE)</f>
        <v>#N/A</v>
      </c>
    </row>
    <row r="133" spans="1:22" x14ac:dyDescent="0.25">
      <c r="A133" s="21" t="s">
        <v>1192</v>
      </c>
      <c r="B133" s="154" t="s">
        <v>1311</v>
      </c>
      <c r="C133" s="154" t="s">
        <v>1193</v>
      </c>
      <c r="D133" s="155">
        <v>0</v>
      </c>
      <c r="E133" s="158">
        <v>0</v>
      </c>
      <c r="F133" s="155">
        <v>0</v>
      </c>
      <c r="G133" s="158">
        <v>367</v>
      </c>
      <c r="H133" s="155">
        <v>0</v>
      </c>
      <c r="I133" s="158">
        <v>0</v>
      </c>
      <c r="J133" s="155">
        <v>0</v>
      </c>
      <c r="K133" s="158">
        <v>0</v>
      </c>
      <c r="L133" s="155">
        <v>356.9999942779541</v>
      </c>
      <c r="M133" s="158">
        <v>356.9999942779541</v>
      </c>
      <c r="N133" s="155">
        <v>0</v>
      </c>
      <c r="O133" s="158">
        <v>0</v>
      </c>
      <c r="P133" s="155">
        <v>0</v>
      </c>
      <c r="Q133" s="158">
        <v>0</v>
      </c>
      <c r="R133" s="155">
        <v>0</v>
      </c>
      <c r="S133" s="158">
        <v>0</v>
      </c>
      <c r="T133" s="155">
        <v>0</v>
      </c>
      <c r="U133" s="157">
        <v>0</v>
      </c>
      <c r="V133" t="str">
        <f>VLOOKUP(A133,'Projetos ciclo 2018-2022'!$I$7:$I$318,1,FALSE)</f>
        <v>TI02918</v>
      </c>
    </row>
    <row r="134" spans="1:22" x14ac:dyDescent="0.25">
      <c r="A134" s="149" t="s">
        <v>1312</v>
      </c>
      <c r="B134" s="150" t="s">
        <v>1313</v>
      </c>
      <c r="C134" s="150" t="s">
        <v>1314</v>
      </c>
      <c r="D134" s="151">
        <v>0</v>
      </c>
      <c r="E134" s="152">
        <v>0</v>
      </c>
      <c r="F134" s="151">
        <v>0</v>
      </c>
      <c r="G134" s="152">
        <v>108</v>
      </c>
      <c r="H134" s="151">
        <v>0</v>
      </c>
      <c r="I134" s="152">
        <v>16.879440307617187</v>
      </c>
      <c r="J134" s="151">
        <v>0</v>
      </c>
      <c r="K134" s="152">
        <v>16.879440307617187</v>
      </c>
      <c r="L134" s="151">
        <v>0</v>
      </c>
      <c r="M134" s="152">
        <v>16.879440307617187</v>
      </c>
      <c r="N134" s="151">
        <v>0</v>
      </c>
      <c r="O134" s="152">
        <v>0</v>
      </c>
      <c r="P134" s="151">
        <v>0</v>
      </c>
      <c r="Q134" s="152">
        <v>0</v>
      </c>
      <c r="R134" s="151">
        <v>0</v>
      </c>
      <c r="S134" s="152">
        <v>0</v>
      </c>
      <c r="T134" s="151">
        <v>0</v>
      </c>
      <c r="U134" s="153">
        <v>0</v>
      </c>
      <c r="V134" t="str">
        <f>VLOOKUP(A134,'Projetos ciclo 2018-2022'!$I$7:$I$318,1,FALSE)</f>
        <v>TI03118</v>
      </c>
    </row>
    <row r="135" spans="1:22" x14ac:dyDescent="0.25">
      <c r="A135" s="21" t="s">
        <v>1521</v>
      </c>
      <c r="B135" s="154" t="s">
        <v>1000</v>
      </c>
      <c r="C135" s="154" t="s">
        <v>1522</v>
      </c>
      <c r="D135" s="155">
        <v>0</v>
      </c>
      <c r="E135" s="158">
        <v>0</v>
      </c>
      <c r="F135" s="155">
        <v>0</v>
      </c>
      <c r="G135" s="158">
        <v>200</v>
      </c>
      <c r="H135" s="155">
        <v>0</v>
      </c>
      <c r="I135" s="158">
        <v>0</v>
      </c>
      <c r="J135" s="155">
        <v>0</v>
      </c>
      <c r="K135" s="158">
        <v>0</v>
      </c>
      <c r="L135" s="155">
        <v>192.89999389648437</v>
      </c>
      <c r="M135" s="158">
        <v>192.89999389648437</v>
      </c>
      <c r="N135" s="155">
        <v>0</v>
      </c>
      <c r="O135" s="158">
        <v>0</v>
      </c>
      <c r="P135" s="155">
        <v>0</v>
      </c>
      <c r="Q135" s="158">
        <v>0</v>
      </c>
      <c r="R135" s="155">
        <v>0</v>
      </c>
      <c r="S135" s="158">
        <v>0</v>
      </c>
      <c r="T135" s="155">
        <v>0</v>
      </c>
      <c r="U135" s="157">
        <v>0</v>
      </c>
      <c r="V135" t="str">
        <f>VLOOKUP(A135,'Projetos ciclo 2018-2022'!$I$7:$I$318,1,FALSE)</f>
        <v>TI05118</v>
      </c>
    </row>
    <row r="136" spans="1:22" x14ac:dyDescent="0.25">
      <c r="A136" s="149" t="s">
        <v>1668</v>
      </c>
      <c r="B136" s="150" t="s">
        <v>745</v>
      </c>
      <c r="C136" s="150" t="s">
        <v>1669</v>
      </c>
      <c r="D136" s="151">
        <v>0</v>
      </c>
      <c r="E136" s="152">
        <v>0</v>
      </c>
      <c r="F136" s="151">
        <v>0</v>
      </c>
      <c r="G136" s="152">
        <v>2214</v>
      </c>
      <c r="H136" s="151">
        <v>0</v>
      </c>
      <c r="I136" s="152">
        <v>19.600669860839844</v>
      </c>
      <c r="J136" s="151">
        <v>0</v>
      </c>
      <c r="K136" s="152">
        <v>19.600669860839844</v>
      </c>
      <c r="L136" s="151">
        <v>486.5678918659687</v>
      </c>
      <c r="M136" s="152">
        <v>506.16856172680855</v>
      </c>
      <c r="N136" s="151">
        <v>0</v>
      </c>
      <c r="O136" s="152">
        <v>0</v>
      </c>
      <c r="P136" s="151">
        <v>0</v>
      </c>
      <c r="Q136" s="152">
        <v>0</v>
      </c>
      <c r="R136" s="151">
        <v>0</v>
      </c>
      <c r="S136" s="152">
        <v>0</v>
      </c>
      <c r="T136" s="151">
        <v>0</v>
      </c>
      <c r="U136" s="153">
        <v>0</v>
      </c>
      <c r="V136" t="str">
        <f>VLOOKUP(A136,'Projetos ciclo 2018-2022'!$I$7:$I$318,1,FALSE)</f>
        <v>TI05918</v>
      </c>
    </row>
    <row r="137" spans="1:22" x14ac:dyDescent="0.25">
      <c r="A137" s="21" t="s">
        <v>1893</v>
      </c>
      <c r="B137" s="154" t="s">
        <v>1894</v>
      </c>
      <c r="C137" s="154" t="s">
        <v>1895</v>
      </c>
      <c r="D137" s="155">
        <v>0</v>
      </c>
      <c r="E137" s="158">
        <v>0</v>
      </c>
      <c r="F137" s="155">
        <v>0</v>
      </c>
      <c r="G137" s="158">
        <v>80</v>
      </c>
      <c r="H137" s="155">
        <v>0</v>
      </c>
      <c r="I137" s="158">
        <v>0</v>
      </c>
      <c r="J137" s="155">
        <v>0</v>
      </c>
      <c r="K137" s="158">
        <v>0</v>
      </c>
      <c r="L137" s="155">
        <v>0</v>
      </c>
      <c r="M137" s="158">
        <v>0</v>
      </c>
      <c r="N137" s="155">
        <v>0</v>
      </c>
      <c r="O137" s="158">
        <v>0</v>
      </c>
      <c r="P137" s="155">
        <v>0</v>
      </c>
      <c r="Q137" s="158">
        <v>0</v>
      </c>
      <c r="R137" s="155">
        <v>0</v>
      </c>
      <c r="S137" s="158">
        <v>0</v>
      </c>
      <c r="T137" s="155">
        <v>0</v>
      </c>
      <c r="U137" s="157">
        <v>0</v>
      </c>
      <c r="V137" t="str">
        <f>VLOOKUP(A137,'Projetos ciclo 2018-2022'!$I$7:$I$318,1,FALSE)</f>
        <v>TI07318</v>
      </c>
    </row>
    <row r="138" spans="1:22" x14ac:dyDescent="0.25">
      <c r="A138" s="149" t="s">
        <v>1976</v>
      </c>
      <c r="B138" s="150" t="s">
        <v>1977</v>
      </c>
      <c r="C138" s="150" t="s">
        <v>1978</v>
      </c>
      <c r="D138" s="151">
        <v>0</v>
      </c>
      <c r="E138" s="152">
        <v>0</v>
      </c>
      <c r="F138" s="151">
        <v>0</v>
      </c>
      <c r="G138" s="152">
        <v>280</v>
      </c>
      <c r="H138" s="151">
        <v>0</v>
      </c>
      <c r="I138" s="152">
        <v>0</v>
      </c>
      <c r="J138" s="151">
        <v>0</v>
      </c>
      <c r="K138" s="152">
        <v>0</v>
      </c>
      <c r="L138" s="151">
        <v>271.89999544620514</v>
      </c>
      <c r="M138" s="152">
        <v>271.89999544620514</v>
      </c>
      <c r="N138" s="151">
        <v>0</v>
      </c>
      <c r="O138" s="152">
        <v>0</v>
      </c>
      <c r="P138" s="151">
        <v>0</v>
      </c>
      <c r="Q138" s="152">
        <v>0</v>
      </c>
      <c r="R138" s="151">
        <v>0</v>
      </c>
      <c r="S138" s="152">
        <v>0</v>
      </c>
      <c r="T138" s="151">
        <v>0</v>
      </c>
      <c r="U138" s="153">
        <v>0</v>
      </c>
      <c r="V138" t="str">
        <f>VLOOKUP(A138,'Projetos ciclo 2018-2022'!$I$7:$I$318,1,FALSE)</f>
        <v>TI07718</v>
      </c>
    </row>
    <row r="139" spans="1:22" x14ac:dyDescent="0.25">
      <c r="A139" s="21" t="s">
        <v>1936</v>
      </c>
      <c r="B139" s="154" t="s">
        <v>724</v>
      </c>
      <c r="C139" s="154" t="s">
        <v>1937</v>
      </c>
      <c r="D139" s="155">
        <v>0</v>
      </c>
      <c r="E139" s="158">
        <v>0</v>
      </c>
      <c r="F139" s="155">
        <v>0</v>
      </c>
      <c r="G139" s="158">
        <v>711</v>
      </c>
      <c r="H139" s="155">
        <v>0</v>
      </c>
      <c r="I139" s="158">
        <v>146.51003949344158</v>
      </c>
      <c r="J139" s="155">
        <v>0</v>
      </c>
      <c r="K139" s="158">
        <v>146.51003949344158</v>
      </c>
      <c r="L139" s="155">
        <v>0</v>
      </c>
      <c r="M139" s="158">
        <v>146.51003949344158</v>
      </c>
      <c r="N139" s="155">
        <v>0</v>
      </c>
      <c r="O139" s="158">
        <v>0</v>
      </c>
      <c r="P139" s="155">
        <v>0</v>
      </c>
      <c r="Q139" s="158">
        <v>0</v>
      </c>
      <c r="R139" s="155">
        <v>0</v>
      </c>
      <c r="S139" s="158">
        <v>0</v>
      </c>
      <c r="T139" s="155">
        <v>0</v>
      </c>
      <c r="U139" s="157">
        <v>0</v>
      </c>
      <c r="V139" t="str">
        <f>VLOOKUP(A139,'Projetos ciclo 2018-2022'!$I$7:$I$318,1,FALSE)</f>
        <v>TI07918</v>
      </c>
    </row>
    <row r="140" spans="1:22" x14ac:dyDescent="0.25">
      <c r="A140" s="149" t="s">
        <v>1194</v>
      </c>
      <c r="B140" s="150" t="s">
        <v>1315</v>
      </c>
      <c r="C140" s="150" t="s">
        <v>59</v>
      </c>
      <c r="D140" s="151">
        <v>0</v>
      </c>
      <c r="E140" s="152">
        <v>0</v>
      </c>
      <c r="F140" s="151">
        <v>0</v>
      </c>
      <c r="G140" s="152">
        <v>0</v>
      </c>
      <c r="H140" s="151">
        <v>0</v>
      </c>
      <c r="I140" s="152">
        <v>0</v>
      </c>
      <c r="J140" s="151">
        <v>0</v>
      </c>
      <c r="K140" s="152">
        <v>0</v>
      </c>
      <c r="L140" s="151">
        <v>0</v>
      </c>
      <c r="M140" s="152">
        <v>0</v>
      </c>
      <c r="N140" s="151">
        <v>0</v>
      </c>
      <c r="O140" s="152">
        <v>0</v>
      </c>
      <c r="P140" s="151">
        <v>0</v>
      </c>
      <c r="Q140" s="152">
        <v>0</v>
      </c>
      <c r="R140" s="151">
        <v>0</v>
      </c>
      <c r="S140" s="152">
        <v>0</v>
      </c>
      <c r="T140" s="151">
        <v>0</v>
      </c>
      <c r="U140" s="153">
        <v>0</v>
      </c>
      <c r="V140" t="e">
        <f>VLOOKUP(A140,'Projetos ciclo 2018-2022'!$I$7:$I$318,1,FALSE)</f>
        <v>#N/A</v>
      </c>
    </row>
    <row r="141" spans="1:22" x14ac:dyDescent="0.25">
      <c r="A141" s="21" t="s">
        <v>1196</v>
      </c>
      <c r="B141" s="154" t="s">
        <v>1197</v>
      </c>
      <c r="C141" s="154" t="s">
        <v>59</v>
      </c>
      <c r="D141" s="155">
        <v>0</v>
      </c>
      <c r="E141" s="158">
        <v>0</v>
      </c>
      <c r="F141" s="155">
        <v>0</v>
      </c>
      <c r="G141" s="158">
        <v>0</v>
      </c>
      <c r="H141" s="155">
        <v>0</v>
      </c>
      <c r="I141" s="158">
        <v>0</v>
      </c>
      <c r="J141" s="155">
        <v>0</v>
      </c>
      <c r="K141" s="158">
        <v>0</v>
      </c>
      <c r="L141" s="155">
        <v>0</v>
      </c>
      <c r="M141" s="158">
        <v>0</v>
      </c>
      <c r="N141" s="155">
        <v>0</v>
      </c>
      <c r="O141" s="158">
        <v>0</v>
      </c>
      <c r="P141" s="155">
        <v>0</v>
      </c>
      <c r="Q141" s="158">
        <v>0</v>
      </c>
      <c r="R141" s="155">
        <v>0</v>
      </c>
      <c r="S141" s="158">
        <v>0</v>
      </c>
      <c r="T141" s="155">
        <v>0</v>
      </c>
      <c r="U141" s="157">
        <v>0</v>
      </c>
      <c r="V141" t="e">
        <f>VLOOKUP(A141,'Projetos ciclo 2018-2022'!$I$7:$I$318,1,FALSE)</f>
        <v>#N/A</v>
      </c>
    </row>
    <row r="142" spans="1:22" x14ac:dyDescent="0.25">
      <c r="A142" s="149" t="s">
        <v>565</v>
      </c>
      <c r="B142" s="150" t="s">
        <v>1316</v>
      </c>
      <c r="C142" s="150" t="s">
        <v>59</v>
      </c>
      <c r="D142" s="151">
        <v>20900</v>
      </c>
      <c r="E142" s="152">
        <v>0</v>
      </c>
      <c r="F142" s="151">
        <v>0</v>
      </c>
      <c r="G142" s="152">
        <v>0</v>
      </c>
      <c r="H142" s="151">
        <v>0</v>
      </c>
      <c r="I142" s="152">
        <v>0</v>
      </c>
      <c r="J142" s="151">
        <v>0</v>
      </c>
      <c r="K142" s="152">
        <v>0</v>
      </c>
      <c r="L142" s="151">
        <v>0</v>
      </c>
      <c r="M142" s="152">
        <v>0</v>
      </c>
      <c r="N142" s="151">
        <v>15190</v>
      </c>
      <c r="O142" s="152">
        <v>2660</v>
      </c>
      <c r="P142" s="151">
        <v>390</v>
      </c>
      <c r="Q142" s="152">
        <v>2660</v>
      </c>
      <c r="R142" s="151">
        <v>0</v>
      </c>
      <c r="S142" s="152">
        <v>0</v>
      </c>
      <c r="T142" s="151">
        <v>0</v>
      </c>
      <c r="U142" s="153">
        <v>0</v>
      </c>
      <c r="V142" t="str">
        <f>VLOOKUP(A142,'Projetos ciclo 2018-2022'!$I$7:$I$318,1,FALSE)</f>
        <v>NA</v>
      </c>
    </row>
    <row r="143" spans="1:22" x14ac:dyDescent="0.25">
      <c r="A143" s="21" t="s">
        <v>1199</v>
      </c>
      <c r="B143" s="154" t="s">
        <v>1200</v>
      </c>
      <c r="C143" s="154" t="s">
        <v>59</v>
      </c>
      <c r="D143" s="155">
        <v>0</v>
      </c>
      <c r="E143" s="158">
        <v>0</v>
      </c>
      <c r="F143" s="155">
        <v>0</v>
      </c>
      <c r="G143" s="158">
        <v>0</v>
      </c>
      <c r="H143" s="155">
        <v>0</v>
      </c>
      <c r="I143" s="158">
        <v>0</v>
      </c>
      <c r="J143" s="155">
        <v>0</v>
      </c>
      <c r="K143" s="158">
        <v>0</v>
      </c>
      <c r="L143" s="155">
        <v>0</v>
      </c>
      <c r="M143" s="158">
        <v>0</v>
      </c>
      <c r="N143" s="155">
        <v>0</v>
      </c>
      <c r="O143" s="158">
        <v>0</v>
      </c>
      <c r="P143" s="155">
        <v>0</v>
      </c>
      <c r="Q143" s="158">
        <v>0</v>
      </c>
      <c r="R143" s="155">
        <v>0</v>
      </c>
      <c r="S143" s="158">
        <v>0</v>
      </c>
      <c r="T143" s="155">
        <v>0</v>
      </c>
      <c r="U143" s="157">
        <v>0</v>
      </c>
      <c r="V143" t="e">
        <f>VLOOKUP(A143,'Projetos ciclo 2018-2022'!$I$7:$I$318,1,FALSE)</f>
        <v>#N/A</v>
      </c>
    </row>
    <row r="144" spans="1:22" x14ac:dyDescent="0.25">
      <c r="A144" s="149" t="s">
        <v>1317</v>
      </c>
      <c r="B144" s="150" t="s">
        <v>1318</v>
      </c>
      <c r="C144" s="150" t="s">
        <v>1319</v>
      </c>
      <c r="D144" s="151">
        <v>4964</v>
      </c>
      <c r="E144" s="152">
        <v>0</v>
      </c>
      <c r="F144" s="151">
        <v>4684</v>
      </c>
      <c r="G144" s="152">
        <v>0</v>
      </c>
      <c r="H144" s="151">
        <v>0</v>
      </c>
      <c r="I144" s="152">
        <v>0</v>
      </c>
      <c r="J144" s="151">
        <v>0</v>
      </c>
      <c r="K144" s="152">
        <v>0</v>
      </c>
      <c r="L144" s="151">
        <v>0</v>
      </c>
      <c r="M144" s="152">
        <v>0</v>
      </c>
      <c r="N144" s="151">
        <v>280</v>
      </c>
      <c r="O144" s="152">
        <v>0</v>
      </c>
      <c r="P144" s="151">
        <v>0</v>
      </c>
      <c r="Q144" s="152">
        <v>0</v>
      </c>
      <c r="R144" s="151">
        <v>0</v>
      </c>
      <c r="S144" s="152">
        <v>0</v>
      </c>
      <c r="T144" s="151">
        <v>0</v>
      </c>
      <c r="U144" s="153">
        <v>0</v>
      </c>
      <c r="V144" t="e">
        <f>VLOOKUP(A144,'Projetos ciclo 2018-2022'!$I$7:$I$318,1,FALSE)</f>
        <v>#N/A</v>
      </c>
    </row>
    <row r="145" spans="1:22" x14ac:dyDescent="0.25">
      <c r="A145" s="21" t="s">
        <v>711</v>
      </c>
      <c r="B145" s="154" t="s">
        <v>1320</v>
      </c>
      <c r="C145" s="154" t="s">
        <v>1321</v>
      </c>
      <c r="D145" s="155">
        <v>0</v>
      </c>
      <c r="E145" s="158">
        <v>0</v>
      </c>
      <c r="F145" s="155">
        <v>0</v>
      </c>
      <c r="G145" s="158">
        <v>0</v>
      </c>
      <c r="H145" s="155">
        <v>0</v>
      </c>
      <c r="I145" s="158">
        <v>0</v>
      </c>
      <c r="J145" s="155">
        <v>0</v>
      </c>
      <c r="K145" s="158">
        <v>0</v>
      </c>
      <c r="L145" s="155">
        <v>0</v>
      </c>
      <c r="M145" s="158">
        <v>0</v>
      </c>
      <c r="N145" s="155">
        <v>0</v>
      </c>
      <c r="O145" s="158">
        <v>0</v>
      </c>
      <c r="P145" s="155">
        <v>0</v>
      </c>
      <c r="Q145" s="158">
        <v>0</v>
      </c>
      <c r="R145" s="155">
        <v>0</v>
      </c>
      <c r="S145" s="158">
        <v>0</v>
      </c>
      <c r="T145" s="155">
        <v>0</v>
      </c>
      <c r="U145" s="157">
        <v>0</v>
      </c>
      <c r="V145" t="str">
        <f>VLOOKUP(A145,'Projetos ciclo 2018-2022'!$I$7:$I$318,1,FALSE)</f>
        <v>TI01816</v>
      </c>
    </row>
    <row r="146" spans="1:22" x14ac:dyDescent="0.25">
      <c r="A146" s="149" t="s">
        <v>1462</v>
      </c>
      <c r="B146" s="150" t="s">
        <v>1463</v>
      </c>
      <c r="C146" s="150" t="s">
        <v>1464</v>
      </c>
      <c r="D146" s="151">
        <v>0</v>
      </c>
      <c r="E146" s="152">
        <v>0</v>
      </c>
      <c r="F146" s="151">
        <v>0</v>
      </c>
      <c r="G146" s="152">
        <v>4684</v>
      </c>
      <c r="H146" s="151">
        <v>0</v>
      </c>
      <c r="I146" s="152">
        <v>0</v>
      </c>
      <c r="J146" s="151">
        <v>0</v>
      </c>
      <c r="K146" s="152">
        <v>0</v>
      </c>
      <c r="L146" s="151">
        <v>4650.193359375</v>
      </c>
      <c r="M146" s="152">
        <v>4650.193359375</v>
      </c>
      <c r="N146" s="151">
        <v>0</v>
      </c>
      <c r="O146" s="152">
        <v>0</v>
      </c>
      <c r="P146" s="151">
        <v>0</v>
      </c>
      <c r="Q146" s="152">
        <v>0</v>
      </c>
      <c r="R146" s="151">
        <v>0</v>
      </c>
      <c r="S146" s="152">
        <v>0</v>
      </c>
      <c r="T146" s="151">
        <v>0</v>
      </c>
      <c r="U146" s="153">
        <v>0</v>
      </c>
      <c r="V146" t="str">
        <f>VLOOKUP(A146,'Projetos ciclo 2018-2022'!$I$7:$I$318,1,FALSE)</f>
        <v>TI04318</v>
      </c>
    </row>
    <row r="147" spans="1:22" x14ac:dyDescent="0.25">
      <c r="A147" s="21" t="s">
        <v>1523</v>
      </c>
      <c r="B147" s="154" t="s">
        <v>1524</v>
      </c>
      <c r="C147" s="154" t="s">
        <v>1525</v>
      </c>
      <c r="D147" s="155">
        <v>0</v>
      </c>
      <c r="E147" s="158">
        <v>0</v>
      </c>
      <c r="F147" s="155">
        <v>0</v>
      </c>
      <c r="G147" s="158">
        <v>55</v>
      </c>
      <c r="H147" s="155">
        <v>0</v>
      </c>
      <c r="I147" s="158">
        <v>46.814499855041504</v>
      </c>
      <c r="J147" s="155">
        <v>0</v>
      </c>
      <c r="K147" s="158">
        <v>46.814499855041504</v>
      </c>
      <c r="L147" s="155">
        <v>5.0538201332092285</v>
      </c>
      <c r="M147" s="158">
        <v>51.868319988250732</v>
      </c>
      <c r="N147" s="155">
        <v>0</v>
      </c>
      <c r="O147" s="158">
        <v>0</v>
      </c>
      <c r="P147" s="155">
        <v>0</v>
      </c>
      <c r="Q147" s="158">
        <v>0</v>
      </c>
      <c r="R147" s="155">
        <v>0</v>
      </c>
      <c r="S147" s="158">
        <v>0</v>
      </c>
      <c r="T147" s="155">
        <v>0</v>
      </c>
      <c r="U147" s="157">
        <v>0</v>
      </c>
      <c r="V147" t="str">
        <f>VLOOKUP(A147,'Projetos ciclo 2018-2022'!$I$7:$I$318,1,FALSE)</f>
        <v>3211/12</v>
      </c>
    </row>
    <row r="148" spans="1:22" x14ac:dyDescent="0.25">
      <c r="A148" s="149" t="s">
        <v>1194</v>
      </c>
      <c r="B148" s="150" t="s">
        <v>1322</v>
      </c>
      <c r="C148" s="150" t="s">
        <v>59</v>
      </c>
      <c r="D148" s="151">
        <v>0</v>
      </c>
      <c r="E148" s="152">
        <v>0</v>
      </c>
      <c r="F148" s="151">
        <v>0</v>
      </c>
      <c r="G148" s="152">
        <v>0</v>
      </c>
      <c r="H148" s="151">
        <v>0</v>
      </c>
      <c r="I148" s="152">
        <v>0</v>
      </c>
      <c r="J148" s="151">
        <v>0</v>
      </c>
      <c r="K148" s="152">
        <v>0</v>
      </c>
      <c r="L148" s="151">
        <v>0</v>
      </c>
      <c r="M148" s="152">
        <v>0</v>
      </c>
      <c r="N148" s="151">
        <v>0</v>
      </c>
      <c r="O148" s="152">
        <v>0</v>
      </c>
      <c r="P148" s="151">
        <v>0</v>
      </c>
      <c r="Q148" s="152">
        <v>0</v>
      </c>
      <c r="R148" s="151">
        <v>0</v>
      </c>
      <c r="S148" s="152">
        <v>0</v>
      </c>
      <c r="T148" s="151">
        <v>0</v>
      </c>
      <c r="U148" s="153">
        <v>0</v>
      </c>
      <c r="V148" t="e">
        <f>VLOOKUP(A148,'Projetos ciclo 2018-2022'!$I$7:$I$318,1,FALSE)</f>
        <v>#N/A</v>
      </c>
    </row>
    <row r="149" spans="1:22" x14ac:dyDescent="0.25">
      <c r="A149" s="21" t="s">
        <v>1196</v>
      </c>
      <c r="B149" s="154" t="s">
        <v>1197</v>
      </c>
      <c r="C149" s="154" t="s">
        <v>59</v>
      </c>
      <c r="D149" s="155">
        <v>0</v>
      </c>
      <c r="E149" s="158">
        <v>0</v>
      </c>
      <c r="F149" s="155">
        <v>0</v>
      </c>
      <c r="G149" s="158">
        <v>0</v>
      </c>
      <c r="H149" s="155">
        <v>0</v>
      </c>
      <c r="I149" s="158">
        <v>0</v>
      </c>
      <c r="J149" s="155">
        <v>0</v>
      </c>
      <c r="K149" s="158">
        <v>0</v>
      </c>
      <c r="L149" s="155">
        <v>0</v>
      </c>
      <c r="M149" s="158">
        <v>0</v>
      </c>
      <c r="N149" s="155">
        <v>0</v>
      </c>
      <c r="O149" s="158">
        <v>0</v>
      </c>
      <c r="P149" s="155">
        <v>0</v>
      </c>
      <c r="Q149" s="158">
        <v>0</v>
      </c>
      <c r="R149" s="155">
        <v>0</v>
      </c>
      <c r="S149" s="158">
        <v>0</v>
      </c>
      <c r="T149" s="155">
        <v>0</v>
      </c>
      <c r="U149" s="157">
        <v>0</v>
      </c>
      <c r="V149" t="e">
        <f>VLOOKUP(A149,'Projetos ciclo 2018-2022'!$I$7:$I$318,1,FALSE)</f>
        <v>#N/A</v>
      </c>
    </row>
    <row r="150" spans="1:22" x14ac:dyDescent="0.25">
      <c r="A150" s="149" t="s">
        <v>565</v>
      </c>
      <c r="B150" s="150" t="s">
        <v>1323</v>
      </c>
      <c r="C150" s="150" t="s">
        <v>59</v>
      </c>
      <c r="D150" s="151">
        <v>116047</v>
      </c>
      <c r="E150" s="152">
        <v>0</v>
      </c>
      <c r="F150" s="151">
        <v>0</v>
      </c>
      <c r="G150" s="152">
        <v>0</v>
      </c>
      <c r="H150" s="151">
        <v>0</v>
      </c>
      <c r="I150" s="152">
        <v>0</v>
      </c>
      <c r="J150" s="151">
        <v>0</v>
      </c>
      <c r="K150" s="152">
        <v>0</v>
      </c>
      <c r="L150" s="151">
        <v>0</v>
      </c>
      <c r="M150" s="152">
        <v>0</v>
      </c>
      <c r="N150" s="151">
        <v>31599</v>
      </c>
      <c r="O150" s="152">
        <v>38899</v>
      </c>
      <c r="P150" s="151">
        <v>19202</v>
      </c>
      <c r="Q150" s="152">
        <v>26347</v>
      </c>
      <c r="R150" s="151">
        <v>0</v>
      </c>
      <c r="S150" s="152">
        <v>0</v>
      </c>
      <c r="T150" s="151">
        <v>0</v>
      </c>
      <c r="U150" s="153">
        <v>0</v>
      </c>
      <c r="V150" t="str">
        <f>VLOOKUP(A150,'Projetos ciclo 2018-2022'!$I$7:$I$318,1,FALSE)</f>
        <v>NA</v>
      </c>
    </row>
    <row r="151" spans="1:22" x14ac:dyDescent="0.25">
      <c r="A151" s="21" t="s">
        <v>1199</v>
      </c>
      <c r="B151" s="154" t="s">
        <v>1200</v>
      </c>
      <c r="C151" s="154" t="s">
        <v>59</v>
      </c>
      <c r="D151" s="155">
        <v>0</v>
      </c>
      <c r="E151" s="158">
        <v>0</v>
      </c>
      <c r="F151" s="155">
        <v>0</v>
      </c>
      <c r="G151" s="158">
        <v>0</v>
      </c>
      <c r="H151" s="155">
        <v>0</v>
      </c>
      <c r="I151" s="158">
        <v>0</v>
      </c>
      <c r="J151" s="155">
        <v>0</v>
      </c>
      <c r="K151" s="158">
        <v>0</v>
      </c>
      <c r="L151" s="155">
        <v>0</v>
      </c>
      <c r="M151" s="158">
        <v>0</v>
      </c>
      <c r="N151" s="155">
        <v>0</v>
      </c>
      <c r="O151" s="158">
        <v>0</v>
      </c>
      <c r="P151" s="155">
        <v>0</v>
      </c>
      <c r="Q151" s="158">
        <v>0</v>
      </c>
      <c r="R151" s="155">
        <v>0</v>
      </c>
      <c r="S151" s="158">
        <v>0</v>
      </c>
      <c r="T151" s="155">
        <v>0</v>
      </c>
      <c r="U151" s="157">
        <v>0</v>
      </c>
      <c r="V151" t="e">
        <f>VLOOKUP(A151,'Projetos ciclo 2018-2022'!$I$7:$I$318,1,FALSE)</f>
        <v>#N/A</v>
      </c>
    </row>
    <row r="152" spans="1:22" x14ac:dyDescent="0.25">
      <c r="A152" s="149" t="s">
        <v>1136</v>
      </c>
      <c r="B152" s="150" t="s">
        <v>1210</v>
      </c>
      <c r="C152" s="150" t="s">
        <v>1324</v>
      </c>
      <c r="D152" s="151">
        <v>0</v>
      </c>
      <c r="E152" s="152">
        <v>0</v>
      </c>
      <c r="F152" s="151">
        <v>0</v>
      </c>
      <c r="G152" s="152">
        <v>479</v>
      </c>
      <c r="H152" s="151">
        <v>0</v>
      </c>
      <c r="I152" s="152">
        <v>479.32675170898437</v>
      </c>
      <c r="J152" s="151">
        <v>0</v>
      </c>
      <c r="K152" s="152">
        <v>479.32675170898437</v>
      </c>
      <c r="L152" s="151">
        <v>0</v>
      </c>
      <c r="M152" s="152">
        <v>479.32675170898437</v>
      </c>
      <c r="N152" s="151">
        <v>0</v>
      </c>
      <c r="O152" s="152">
        <v>0</v>
      </c>
      <c r="P152" s="151">
        <v>0</v>
      </c>
      <c r="Q152" s="152">
        <v>0</v>
      </c>
      <c r="R152" s="151">
        <v>0</v>
      </c>
      <c r="S152" s="152">
        <v>0</v>
      </c>
      <c r="T152" s="151">
        <v>0</v>
      </c>
      <c r="U152" s="153">
        <v>0</v>
      </c>
      <c r="V152" t="str">
        <f>VLOOKUP(A152,'Projetos ciclo 2018-2022'!$I$7:$I$318,1,FALSE)</f>
        <v>TI00118</v>
      </c>
    </row>
    <row r="153" spans="1:22" x14ac:dyDescent="0.25">
      <c r="A153" s="21" t="s">
        <v>1177</v>
      </c>
      <c r="B153" s="154" t="s">
        <v>1179</v>
      </c>
      <c r="C153" s="154" t="s">
        <v>1178</v>
      </c>
      <c r="D153" s="155">
        <v>0</v>
      </c>
      <c r="E153" s="158">
        <v>0</v>
      </c>
      <c r="F153" s="155">
        <v>0</v>
      </c>
      <c r="G153" s="158">
        <v>14</v>
      </c>
      <c r="H153" s="155">
        <v>0</v>
      </c>
      <c r="I153" s="158">
        <v>14.010740280151367</v>
      </c>
      <c r="J153" s="155">
        <v>0</v>
      </c>
      <c r="K153" s="158">
        <v>14.010740280151367</v>
      </c>
      <c r="L153" s="155">
        <v>0</v>
      </c>
      <c r="M153" s="158">
        <v>14.010740280151367</v>
      </c>
      <c r="N153" s="155">
        <v>0</v>
      </c>
      <c r="O153" s="158">
        <v>0</v>
      </c>
      <c r="P153" s="155">
        <v>0</v>
      </c>
      <c r="Q153" s="158">
        <v>0</v>
      </c>
      <c r="R153" s="155">
        <v>0</v>
      </c>
      <c r="S153" s="158">
        <v>0</v>
      </c>
      <c r="T153" s="155">
        <v>0</v>
      </c>
      <c r="U153" s="157">
        <v>0</v>
      </c>
      <c r="V153" t="str">
        <f>VLOOKUP(A153,'Projetos ciclo 2018-2022'!$I$7:$I$318,1,FALSE)</f>
        <v>TI00216</v>
      </c>
    </row>
    <row r="154" spans="1:22" x14ac:dyDescent="0.25">
      <c r="A154" s="149" t="s">
        <v>1185</v>
      </c>
      <c r="B154" s="150" t="s">
        <v>1187</v>
      </c>
      <c r="C154" s="150" t="s">
        <v>1186</v>
      </c>
      <c r="D154" s="151">
        <v>0</v>
      </c>
      <c r="E154" s="152">
        <v>0</v>
      </c>
      <c r="F154" s="151">
        <v>0</v>
      </c>
      <c r="G154" s="152">
        <v>10</v>
      </c>
      <c r="H154" s="151">
        <v>0</v>
      </c>
      <c r="I154" s="152">
        <v>9.5870800018310547</v>
      </c>
      <c r="J154" s="151">
        <v>0</v>
      </c>
      <c r="K154" s="152">
        <v>9.5870800018310547</v>
      </c>
      <c r="L154" s="151">
        <v>0</v>
      </c>
      <c r="M154" s="152">
        <v>9.5870800018310547</v>
      </c>
      <c r="N154" s="151">
        <v>0</v>
      </c>
      <c r="O154" s="152">
        <v>0</v>
      </c>
      <c r="P154" s="151">
        <v>0</v>
      </c>
      <c r="Q154" s="152">
        <v>0</v>
      </c>
      <c r="R154" s="151">
        <v>0</v>
      </c>
      <c r="S154" s="152">
        <v>0</v>
      </c>
      <c r="T154" s="151">
        <v>0</v>
      </c>
      <c r="U154" s="153">
        <v>0</v>
      </c>
      <c r="V154" t="str">
        <f>VLOOKUP(A154,'Projetos ciclo 2018-2022'!$I$7:$I$318,1,FALSE)</f>
        <v>TI00316</v>
      </c>
    </row>
    <row r="155" spans="1:22" x14ac:dyDescent="0.25">
      <c r="A155" s="21" t="s">
        <v>1181</v>
      </c>
      <c r="B155" s="154" t="s">
        <v>1183</v>
      </c>
      <c r="C155" s="154" t="s">
        <v>1182</v>
      </c>
      <c r="D155" s="155">
        <v>0</v>
      </c>
      <c r="E155" s="158">
        <v>0</v>
      </c>
      <c r="F155" s="155">
        <v>0</v>
      </c>
      <c r="G155" s="158">
        <v>11</v>
      </c>
      <c r="H155" s="155">
        <v>0</v>
      </c>
      <c r="I155" s="158">
        <v>10.502650260925293</v>
      </c>
      <c r="J155" s="155">
        <v>0</v>
      </c>
      <c r="K155" s="158">
        <v>10.502650260925293</v>
      </c>
      <c r="L155" s="155">
        <v>0</v>
      </c>
      <c r="M155" s="158">
        <v>10.502650260925293</v>
      </c>
      <c r="N155" s="155">
        <v>0</v>
      </c>
      <c r="O155" s="158">
        <v>0</v>
      </c>
      <c r="P155" s="155">
        <v>0</v>
      </c>
      <c r="Q155" s="158">
        <v>0</v>
      </c>
      <c r="R155" s="155">
        <v>0</v>
      </c>
      <c r="S155" s="158">
        <v>0</v>
      </c>
      <c r="T155" s="155">
        <v>0</v>
      </c>
      <c r="U155" s="157">
        <v>0</v>
      </c>
      <c r="V155" t="str">
        <f>VLOOKUP(A155,'Projetos ciclo 2018-2022'!$I$7:$I$318,1,FALSE)</f>
        <v>TI00416</v>
      </c>
    </row>
    <row r="156" spans="1:22" x14ac:dyDescent="0.25">
      <c r="A156" s="149" t="s">
        <v>758</v>
      </c>
      <c r="B156" s="150" t="s">
        <v>1325</v>
      </c>
      <c r="C156" s="150" t="s">
        <v>1326</v>
      </c>
      <c r="D156" s="151">
        <v>0</v>
      </c>
      <c r="E156" s="152">
        <v>0</v>
      </c>
      <c r="F156" s="151">
        <v>0</v>
      </c>
      <c r="G156" s="152">
        <v>102</v>
      </c>
      <c r="H156" s="151">
        <v>0</v>
      </c>
      <c r="I156" s="152">
        <v>101.37385904788971</v>
      </c>
      <c r="J156" s="151">
        <v>0</v>
      </c>
      <c r="K156" s="152">
        <v>101.37385904788971</v>
      </c>
      <c r="L156" s="151">
        <v>0</v>
      </c>
      <c r="M156" s="152">
        <v>101.37385904788971</v>
      </c>
      <c r="N156" s="151">
        <v>0</v>
      </c>
      <c r="O156" s="152">
        <v>0</v>
      </c>
      <c r="P156" s="151">
        <v>0</v>
      </c>
      <c r="Q156" s="152">
        <v>0</v>
      </c>
      <c r="R156" s="151">
        <v>0</v>
      </c>
      <c r="S156" s="152">
        <v>0</v>
      </c>
      <c r="T156" s="151">
        <v>0</v>
      </c>
      <c r="U156" s="153">
        <v>0</v>
      </c>
      <c r="V156" t="str">
        <f>VLOOKUP(A156,'Projetos ciclo 2018-2022'!$I$7:$I$318,1,FALSE)</f>
        <v>TI00417</v>
      </c>
    </row>
    <row r="157" spans="1:22" x14ac:dyDescent="0.25">
      <c r="A157" s="21" t="s">
        <v>757</v>
      </c>
      <c r="B157" s="154" t="s">
        <v>341</v>
      </c>
      <c r="C157" s="154" t="s">
        <v>1330</v>
      </c>
      <c r="D157" s="155">
        <v>0</v>
      </c>
      <c r="E157" s="158">
        <v>0</v>
      </c>
      <c r="F157" s="155">
        <v>0</v>
      </c>
      <c r="G157" s="158">
        <v>122</v>
      </c>
      <c r="H157" s="155">
        <v>0</v>
      </c>
      <c r="I157" s="158">
        <v>103.01386070251465</v>
      </c>
      <c r="J157" s="155">
        <v>0</v>
      </c>
      <c r="K157" s="158">
        <v>103.01386070251465</v>
      </c>
      <c r="L157" s="155">
        <v>14.492839813232422</v>
      </c>
      <c r="M157" s="158">
        <v>117.50670051574707</v>
      </c>
      <c r="N157" s="155">
        <v>0</v>
      </c>
      <c r="O157" s="158">
        <v>0</v>
      </c>
      <c r="P157" s="155">
        <v>0</v>
      </c>
      <c r="Q157" s="158">
        <v>0</v>
      </c>
      <c r="R157" s="155">
        <v>0</v>
      </c>
      <c r="S157" s="158">
        <v>0</v>
      </c>
      <c r="T157" s="155">
        <v>0</v>
      </c>
      <c r="U157" s="157">
        <v>0</v>
      </c>
      <c r="V157" t="str">
        <f>VLOOKUP(A157,'Projetos ciclo 2018-2022'!$I$7:$I$318,1,FALSE)</f>
        <v>TI00517</v>
      </c>
    </row>
    <row r="158" spans="1:22" x14ac:dyDescent="0.25">
      <c r="A158" s="149" t="s">
        <v>755</v>
      </c>
      <c r="B158" s="150" t="s">
        <v>1331</v>
      </c>
      <c r="C158" s="150" t="s">
        <v>1332</v>
      </c>
      <c r="D158" s="151">
        <v>0</v>
      </c>
      <c r="E158" s="152">
        <v>0</v>
      </c>
      <c r="F158" s="151">
        <v>0</v>
      </c>
      <c r="G158" s="152">
        <v>440</v>
      </c>
      <c r="H158" s="151">
        <v>0</v>
      </c>
      <c r="I158" s="152">
        <v>275.21786499023437</v>
      </c>
      <c r="J158" s="151">
        <v>0</v>
      </c>
      <c r="K158" s="152">
        <v>275.21786499023437</v>
      </c>
      <c r="L158" s="151">
        <v>162.94331359863281</v>
      </c>
      <c r="M158" s="152">
        <v>438.16117858886719</v>
      </c>
      <c r="N158" s="151">
        <v>0</v>
      </c>
      <c r="O158" s="152">
        <v>0</v>
      </c>
      <c r="P158" s="151">
        <v>0</v>
      </c>
      <c r="Q158" s="152">
        <v>0</v>
      </c>
      <c r="R158" s="151">
        <v>0</v>
      </c>
      <c r="S158" s="152">
        <v>0</v>
      </c>
      <c r="T158" s="151">
        <v>0</v>
      </c>
      <c r="U158" s="153">
        <v>0</v>
      </c>
      <c r="V158" t="str">
        <f>VLOOKUP(A158,'Projetos ciclo 2018-2022'!$I$7:$I$318,1,FALSE)</f>
        <v>TI00617</v>
      </c>
    </row>
    <row r="159" spans="1:22" x14ac:dyDescent="0.25">
      <c r="A159" s="21" t="s">
        <v>1336</v>
      </c>
      <c r="B159" s="154" t="s">
        <v>823</v>
      </c>
      <c r="C159" s="154" t="s">
        <v>1337</v>
      </c>
      <c r="D159" s="155">
        <v>0</v>
      </c>
      <c r="E159" s="158">
        <v>0</v>
      </c>
      <c r="F159" s="155">
        <v>0</v>
      </c>
      <c r="G159" s="158">
        <v>0</v>
      </c>
      <c r="H159" s="155">
        <v>0</v>
      </c>
      <c r="I159" s="158">
        <v>0</v>
      </c>
      <c r="J159" s="155">
        <v>0</v>
      </c>
      <c r="K159" s="158">
        <v>0</v>
      </c>
      <c r="L159" s="155">
        <v>0</v>
      </c>
      <c r="M159" s="158">
        <v>0</v>
      </c>
      <c r="N159" s="155">
        <v>0</v>
      </c>
      <c r="O159" s="158">
        <v>0</v>
      </c>
      <c r="P159" s="155">
        <v>0</v>
      </c>
      <c r="Q159" s="158">
        <v>0</v>
      </c>
      <c r="R159" s="155">
        <v>0</v>
      </c>
      <c r="S159" s="158">
        <v>0</v>
      </c>
      <c r="T159" s="155">
        <v>0</v>
      </c>
      <c r="U159" s="157">
        <v>0</v>
      </c>
      <c r="V159" t="str">
        <f>VLOOKUP(A159,'Projetos ciclo 2018-2022'!$I$7:$I$318,1,FALSE)</f>
        <v>TI00818</v>
      </c>
    </row>
    <row r="160" spans="1:22" x14ac:dyDescent="0.25">
      <c r="A160" s="149" t="s">
        <v>1189</v>
      </c>
      <c r="B160" s="150" t="s">
        <v>1338</v>
      </c>
      <c r="C160" s="150" t="s">
        <v>1190</v>
      </c>
      <c r="D160" s="151">
        <v>0</v>
      </c>
      <c r="E160" s="152">
        <v>0</v>
      </c>
      <c r="F160" s="151">
        <v>0</v>
      </c>
      <c r="G160" s="152">
        <v>1</v>
      </c>
      <c r="H160" s="151">
        <v>0</v>
      </c>
      <c r="I160" s="152">
        <v>0.70901525020599365</v>
      </c>
      <c r="J160" s="151">
        <v>0</v>
      </c>
      <c r="K160" s="152">
        <v>0.70901525020599365</v>
      </c>
      <c r="L160" s="151">
        <v>0</v>
      </c>
      <c r="M160" s="152">
        <v>0.70901525020599365</v>
      </c>
      <c r="N160" s="151">
        <v>0</v>
      </c>
      <c r="O160" s="152">
        <v>0</v>
      </c>
      <c r="P160" s="151">
        <v>0</v>
      </c>
      <c r="Q160" s="152">
        <v>0</v>
      </c>
      <c r="R160" s="151">
        <v>0</v>
      </c>
      <c r="S160" s="152">
        <v>0</v>
      </c>
      <c r="T160" s="151">
        <v>0</v>
      </c>
      <c r="U160" s="153">
        <v>0</v>
      </c>
      <c r="V160" t="str">
        <f>VLOOKUP(A160,'Projetos ciclo 2018-2022'!$I$7:$I$318,1,FALSE)</f>
        <v>TI00914</v>
      </c>
    </row>
    <row r="161" spans="1:22" x14ac:dyDescent="0.25">
      <c r="A161" s="21" t="s">
        <v>1339</v>
      </c>
      <c r="B161" s="154" t="s">
        <v>1003</v>
      </c>
      <c r="C161" s="154" t="s">
        <v>1340</v>
      </c>
      <c r="D161" s="155">
        <v>0</v>
      </c>
      <c r="E161" s="158">
        <v>0</v>
      </c>
      <c r="F161" s="155">
        <v>0</v>
      </c>
      <c r="G161" s="158">
        <v>0</v>
      </c>
      <c r="H161" s="155">
        <v>0</v>
      </c>
      <c r="I161" s="158">
        <v>0</v>
      </c>
      <c r="J161" s="155">
        <v>0</v>
      </c>
      <c r="K161" s="158">
        <v>0</v>
      </c>
      <c r="L161" s="155">
        <v>0</v>
      </c>
      <c r="M161" s="158">
        <v>0</v>
      </c>
      <c r="N161" s="155">
        <v>0</v>
      </c>
      <c r="O161" s="158">
        <v>0</v>
      </c>
      <c r="P161" s="155">
        <v>0</v>
      </c>
      <c r="Q161" s="158">
        <v>0</v>
      </c>
      <c r="R161" s="155">
        <v>0</v>
      </c>
      <c r="S161" s="158">
        <v>0</v>
      </c>
      <c r="T161" s="155">
        <v>0</v>
      </c>
      <c r="U161" s="157">
        <v>0</v>
      </c>
      <c r="V161" t="str">
        <f>VLOOKUP(A161,'Projetos ciclo 2018-2022'!$I$7:$I$318,1,FALSE)</f>
        <v>TI00918</v>
      </c>
    </row>
    <row r="162" spans="1:22" x14ac:dyDescent="0.25">
      <c r="A162" s="149" t="s">
        <v>564</v>
      </c>
      <c r="B162" s="150" t="s">
        <v>1341</v>
      </c>
      <c r="C162" s="150" t="s">
        <v>1342</v>
      </c>
      <c r="D162" s="151">
        <v>0</v>
      </c>
      <c r="E162" s="152">
        <v>0</v>
      </c>
      <c r="F162" s="151">
        <v>0</v>
      </c>
      <c r="G162" s="152">
        <v>2954</v>
      </c>
      <c r="H162" s="151">
        <v>0</v>
      </c>
      <c r="I162" s="152">
        <v>199.91008186340332</v>
      </c>
      <c r="J162" s="151">
        <v>0</v>
      </c>
      <c r="K162" s="152">
        <v>199.91008186340332</v>
      </c>
      <c r="L162" s="151">
        <v>713.10650634765625</v>
      </c>
      <c r="M162" s="152">
        <v>913.01658821105957</v>
      </c>
      <c r="N162" s="151">
        <v>0</v>
      </c>
      <c r="O162" s="152">
        <v>0</v>
      </c>
      <c r="P162" s="151">
        <v>0</v>
      </c>
      <c r="Q162" s="152">
        <v>0</v>
      </c>
      <c r="R162" s="151">
        <v>0</v>
      </c>
      <c r="S162" s="152">
        <v>0</v>
      </c>
      <c r="T162" s="151">
        <v>0</v>
      </c>
      <c r="U162" s="153">
        <v>0</v>
      </c>
      <c r="V162" t="str">
        <f>VLOOKUP(A162,'Projetos ciclo 2018-2022'!$I$7:$I$318,1,FALSE)</f>
        <v>TI01016</v>
      </c>
    </row>
    <row r="163" spans="1:22" x14ac:dyDescent="0.25">
      <c r="A163" s="21" t="s">
        <v>1343</v>
      </c>
      <c r="B163" s="154" t="s">
        <v>1344</v>
      </c>
      <c r="C163" s="154" t="s">
        <v>1345</v>
      </c>
      <c r="D163" s="155">
        <v>0</v>
      </c>
      <c r="E163" s="158">
        <v>0</v>
      </c>
      <c r="F163" s="155">
        <v>0</v>
      </c>
      <c r="G163" s="158">
        <v>0</v>
      </c>
      <c r="H163" s="155">
        <v>0</v>
      </c>
      <c r="I163" s="158">
        <v>0</v>
      </c>
      <c r="J163" s="155">
        <v>0</v>
      </c>
      <c r="K163" s="158">
        <v>0</v>
      </c>
      <c r="L163" s="155">
        <v>0</v>
      </c>
      <c r="M163" s="158">
        <v>0</v>
      </c>
      <c r="N163" s="155">
        <v>0</v>
      </c>
      <c r="O163" s="158">
        <v>0</v>
      </c>
      <c r="P163" s="155">
        <v>0</v>
      </c>
      <c r="Q163" s="158">
        <v>0</v>
      </c>
      <c r="R163" s="155">
        <v>0</v>
      </c>
      <c r="S163" s="158">
        <v>0</v>
      </c>
      <c r="T163" s="155">
        <v>0</v>
      </c>
      <c r="U163" s="157">
        <v>0</v>
      </c>
      <c r="V163" t="str">
        <f>VLOOKUP(A163,'Projetos ciclo 2018-2022'!$I$7:$I$318,1,FALSE)</f>
        <v>TI01018</v>
      </c>
    </row>
    <row r="164" spans="1:22" x14ac:dyDescent="0.25">
      <c r="A164" s="149" t="s">
        <v>1167</v>
      </c>
      <c r="B164" s="150" t="s">
        <v>1346</v>
      </c>
      <c r="C164" s="150" t="s">
        <v>1168</v>
      </c>
      <c r="D164" s="151">
        <v>0</v>
      </c>
      <c r="E164" s="152">
        <v>0</v>
      </c>
      <c r="F164" s="151">
        <v>0</v>
      </c>
      <c r="G164" s="152">
        <v>1606</v>
      </c>
      <c r="H164" s="151">
        <v>0</v>
      </c>
      <c r="I164" s="152">
        <v>1236.459716796875</v>
      </c>
      <c r="J164" s="151">
        <v>0</v>
      </c>
      <c r="K164" s="152">
        <v>1236.459716796875</v>
      </c>
      <c r="L164" s="151">
        <v>0</v>
      </c>
      <c r="M164" s="152">
        <v>1236.459716796875</v>
      </c>
      <c r="N164" s="151">
        <v>0</v>
      </c>
      <c r="O164" s="152">
        <v>0</v>
      </c>
      <c r="P164" s="151">
        <v>0</v>
      </c>
      <c r="Q164" s="152">
        <v>0</v>
      </c>
      <c r="R164" s="151">
        <v>0</v>
      </c>
      <c r="S164" s="152">
        <v>0</v>
      </c>
      <c r="T164" s="151">
        <v>0</v>
      </c>
      <c r="U164" s="153">
        <v>0</v>
      </c>
      <c r="V164" t="str">
        <f>VLOOKUP(A164,'Projetos ciclo 2018-2022'!$I$7:$I$318,1,FALSE)</f>
        <v>TI01118</v>
      </c>
    </row>
    <row r="165" spans="1:22" x14ac:dyDescent="0.25">
      <c r="A165" s="21" t="s">
        <v>1350</v>
      </c>
      <c r="B165" s="154" t="s">
        <v>1351</v>
      </c>
      <c r="C165" s="154" t="s">
        <v>1352</v>
      </c>
      <c r="D165" s="155">
        <v>0</v>
      </c>
      <c r="E165" s="158">
        <v>0</v>
      </c>
      <c r="F165" s="155">
        <v>0</v>
      </c>
      <c r="G165" s="158">
        <v>0</v>
      </c>
      <c r="H165" s="155">
        <v>0</v>
      </c>
      <c r="I165" s="158">
        <v>0</v>
      </c>
      <c r="J165" s="155">
        <v>0</v>
      </c>
      <c r="K165" s="158">
        <v>0</v>
      </c>
      <c r="L165" s="155">
        <v>0</v>
      </c>
      <c r="M165" s="158">
        <v>0</v>
      </c>
      <c r="N165" s="155">
        <v>0</v>
      </c>
      <c r="O165" s="158">
        <v>0</v>
      </c>
      <c r="P165" s="155">
        <v>0</v>
      </c>
      <c r="Q165" s="158">
        <v>0</v>
      </c>
      <c r="R165" s="155">
        <v>0</v>
      </c>
      <c r="S165" s="158">
        <v>0</v>
      </c>
      <c r="T165" s="155">
        <v>0</v>
      </c>
      <c r="U165" s="157">
        <v>0</v>
      </c>
      <c r="V165" t="str">
        <f>VLOOKUP(A165,'Projetos ciclo 2018-2022'!$I$7:$I$318,1,FALSE)</f>
        <v>TI01218</v>
      </c>
    </row>
    <row r="166" spans="1:22" x14ac:dyDescent="0.25">
      <c r="A166" s="149" t="s">
        <v>759</v>
      </c>
      <c r="B166" s="150" t="s">
        <v>347</v>
      </c>
      <c r="C166" s="150" t="s">
        <v>1353</v>
      </c>
      <c r="D166" s="151">
        <v>0</v>
      </c>
      <c r="E166" s="152">
        <v>0</v>
      </c>
      <c r="F166" s="151">
        <v>0</v>
      </c>
      <c r="G166" s="152">
        <v>217</v>
      </c>
      <c r="H166" s="151">
        <v>0</v>
      </c>
      <c r="I166" s="152">
        <v>199.38568115234375</v>
      </c>
      <c r="J166" s="151">
        <v>0</v>
      </c>
      <c r="K166" s="152">
        <v>199.38568115234375</v>
      </c>
      <c r="L166" s="151">
        <v>17.50554084777832</v>
      </c>
      <c r="M166" s="152">
        <v>216.89122200012207</v>
      </c>
      <c r="N166" s="151">
        <v>0</v>
      </c>
      <c r="O166" s="152">
        <v>0</v>
      </c>
      <c r="P166" s="151">
        <v>0</v>
      </c>
      <c r="Q166" s="152">
        <v>0</v>
      </c>
      <c r="R166" s="151">
        <v>0</v>
      </c>
      <c r="S166" s="152">
        <v>0</v>
      </c>
      <c r="T166" s="151">
        <v>0</v>
      </c>
      <c r="U166" s="153">
        <v>0</v>
      </c>
      <c r="V166" t="str">
        <f>VLOOKUP(A166,'Projetos ciclo 2018-2022'!$I$7:$I$318,1,FALSE)</f>
        <v>TI01317</v>
      </c>
    </row>
    <row r="167" spans="1:22" x14ac:dyDescent="0.25">
      <c r="A167" s="21" t="s">
        <v>1354</v>
      </c>
      <c r="B167" s="154" t="s">
        <v>1355</v>
      </c>
      <c r="C167" s="154" t="s">
        <v>1356</v>
      </c>
      <c r="D167" s="155">
        <v>88048</v>
      </c>
      <c r="E167" s="158">
        <v>0</v>
      </c>
      <c r="F167" s="155">
        <v>54226</v>
      </c>
      <c r="G167" s="158">
        <v>0</v>
      </c>
      <c r="H167" s="155">
        <v>14612</v>
      </c>
      <c r="I167" s="158">
        <v>0</v>
      </c>
      <c r="J167" s="155">
        <v>0</v>
      </c>
      <c r="K167" s="158">
        <v>0</v>
      </c>
      <c r="L167" s="155">
        <v>0</v>
      </c>
      <c r="M167" s="158">
        <v>0</v>
      </c>
      <c r="N167" s="155">
        <v>19712</v>
      </c>
      <c r="O167" s="158">
        <v>10722</v>
      </c>
      <c r="P167" s="155">
        <v>3388</v>
      </c>
      <c r="Q167" s="158">
        <v>0</v>
      </c>
      <c r="R167" s="155">
        <v>0</v>
      </c>
      <c r="S167" s="158">
        <v>0</v>
      </c>
      <c r="T167" s="155">
        <v>0</v>
      </c>
      <c r="U167" s="157">
        <v>0</v>
      </c>
      <c r="V167" t="e">
        <f>VLOOKUP(A167,'Projetos ciclo 2018-2022'!$I$7:$I$318,1,FALSE)</f>
        <v>#N/A</v>
      </c>
    </row>
    <row r="168" spans="1:22" x14ac:dyDescent="0.25">
      <c r="A168" s="149" t="s">
        <v>752</v>
      </c>
      <c r="B168" s="150" t="s">
        <v>329</v>
      </c>
      <c r="C168" s="150" t="s">
        <v>1360</v>
      </c>
      <c r="D168" s="151">
        <v>0</v>
      </c>
      <c r="E168" s="152">
        <v>0</v>
      </c>
      <c r="F168" s="151">
        <v>0</v>
      </c>
      <c r="G168" s="152">
        <v>8624</v>
      </c>
      <c r="H168" s="151">
        <v>0</v>
      </c>
      <c r="I168" s="152">
        <v>5092.7049396038055</v>
      </c>
      <c r="J168" s="151">
        <v>0</v>
      </c>
      <c r="K168" s="152">
        <v>5092.7049396038055</v>
      </c>
      <c r="L168" s="151">
        <v>3217.0104273068719</v>
      </c>
      <c r="M168" s="152">
        <v>8309.7153669106774</v>
      </c>
      <c r="N168" s="151">
        <v>0</v>
      </c>
      <c r="O168" s="152">
        <v>0</v>
      </c>
      <c r="P168" s="151">
        <v>0</v>
      </c>
      <c r="Q168" s="152">
        <v>0</v>
      </c>
      <c r="R168" s="151">
        <v>0</v>
      </c>
      <c r="S168" s="152">
        <v>0</v>
      </c>
      <c r="T168" s="151">
        <v>0</v>
      </c>
      <c r="U168" s="153">
        <v>0</v>
      </c>
      <c r="V168" t="str">
        <f>VLOOKUP(A168,'Projetos ciclo 2018-2022'!$I$7:$I$318,1,FALSE)</f>
        <v>TI01715</v>
      </c>
    </row>
    <row r="169" spans="1:22" x14ac:dyDescent="0.25">
      <c r="A169" s="21" t="s">
        <v>763</v>
      </c>
      <c r="B169" s="154" t="s">
        <v>1361</v>
      </c>
      <c r="C169" s="154" t="s">
        <v>1362</v>
      </c>
      <c r="D169" s="155">
        <v>0</v>
      </c>
      <c r="E169" s="158">
        <v>0</v>
      </c>
      <c r="F169" s="155">
        <v>0</v>
      </c>
      <c r="G169" s="158">
        <v>684</v>
      </c>
      <c r="H169" s="155">
        <v>0</v>
      </c>
      <c r="I169" s="158">
        <v>435.61255645751953</v>
      </c>
      <c r="J169" s="155">
        <v>0</v>
      </c>
      <c r="K169" s="158">
        <v>435.61255645751953</v>
      </c>
      <c r="L169" s="155">
        <v>0</v>
      </c>
      <c r="M169" s="158">
        <v>435.61255645751953</v>
      </c>
      <c r="N169" s="155">
        <v>0</v>
      </c>
      <c r="O169" s="158">
        <v>0</v>
      </c>
      <c r="P169" s="155">
        <v>0</v>
      </c>
      <c r="Q169" s="158">
        <v>0</v>
      </c>
      <c r="R169" s="155">
        <v>0</v>
      </c>
      <c r="S169" s="158">
        <v>0</v>
      </c>
      <c r="T169" s="155">
        <v>0</v>
      </c>
      <c r="U169" s="157">
        <v>0</v>
      </c>
      <c r="V169" t="str">
        <f>VLOOKUP(A169,'Projetos ciclo 2018-2022'!$I$7:$I$318,1,FALSE)</f>
        <v>TI01813</v>
      </c>
    </row>
    <row r="170" spans="1:22" x14ac:dyDescent="0.25">
      <c r="A170" s="149" t="s">
        <v>563</v>
      </c>
      <c r="B170" s="150" t="s">
        <v>1363</v>
      </c>
      <c r="C170" s="150" t="s">
        <v>1364</v>
      </c>
      <c r="D170" s="151">
        <v>0</v>
      </c>
      <c r="E170" s="152">
        <v>0</v>
      </c>
      <c r="F170" s="151">
        <v>0</v>
      </c>
      <c r="G170" s="152">
        <v>6163</v>
      </c>
      <c r="H170" s="151">
        <v>0</v>
      </c>
      <c r="I170" s="152">
        <v>1291.7284393310547</v>
      </c>
      <c r="J170" s="151">
        <v>0</v>
      </c>
      <c r="K170" s="152">
        <v>1291.7284393310547</v>
      </c>
      <c r="L170" s="151">
        <v>71.105120658874512</v>
      </c>
      <c r="M170" s="152">
        <v>1362.8335599899292</v>
      </c>
      <c r="N170" s="151">
        <v>0</v>
      </c>
      <c r="O170" s="152">
        <v>0</v>
      </c>
      <c r="P170" s="151">
        <v>0</v>
      </c>
      <c r="Q170" s="152">
        <v>0</v>
      </c>
      <c r="R170" s="151">
        <v>0</v>
      </c>
      <c r="S170" s="152">
        <v>0</v>
      </c>
      <c r="T170" s="151">
        <v>0</v>
      </c>
      <c r="U170" s="153">
        <v>0</v>
      </c>
      <c r="V170" t="str">
        <f>VLOOKUP(A170,'Projetos ciclo 2018-2022'!$I$7:$I$318,1,FALSE)</f>
        <v>TI02115</v>
      </c>
    </row>
    <row r="171" spans="1:22" x14ac:dyDescent="0.25">
      <c r="A171" s="21" t="s">
        <v>767</v>
      </c>
      <c r="B171" s="154" t="s">
        <v>768</v>
      </c>
      <c r="C171" s="154" t="s">
        <v>1365</v>
      </c>
      <c r="D171" s="155">
        <v>0</v>
      </c>
      <c r="E171" s="158">
        <v>0</v>
      </c>
      <c r="F171" s="155">
        <v>0</v>
      </c>
      <c r="G171" s="158">
        <v>120</v>
      </c>
      <c r="H171" s="155">
        <v>0</v>
      </c>
      <c r="I171" s="158">
        <v>67.199996948242187</v>
      </c>
      <c r="J171" s="155">
        <v>0</v>
      </c>
      <c r="K171" s="158">
        <v>67.199996948242187</v>
      </c>
      <c r="L171" s="155">
        <v>52.799999237060547</v>
      </c>
      <c r="M171" s="158">
        <v>119.99999618530273</v>
      </c>
      <c r="N171" s="155">
        <v>0</v>
      </c>
      <c r="O171" s="158">
        <v>0</v>
      </c>
      <c r="P171" s="155">
        <v>0</v>
      </c>
      <c r="Q171" s="158">
        <v>0</v>
      </c>
      <c r="R171" s="155">
        <v>0</v>
      </c>
      <c r="S171" s="158">
        <v>0</v>
      </c>
      <c r="T171" s="155">
        <v>0</v>
      </c>
      <c r="U171" s="157">
        <v>0</v>
      </c>
      <c r="V171" t="str">
        <f>VLOOKUP(A171,'Projetos ciclo 2018-2022'!$I$7:$I$318,1,FALSE)</f>
        <v>TI02217</v>
      </c>
    </row>
    <row r="172" spans="1:22" x14ac:dyDescent="0.25">
      <c r="A172" s="149" t="s">
        <v>1175</v>
      </c>
      <c r="B172" s="150" t="s">
        <v>1173</v>
      </c>
      <c r="C172" s="150" t="s">
        <v>1176</v>
      </c>
      <c r="D172" s="151">
        <v>0</v>
      </c>
      <c r="E172" s="152">
        <v>0</v>
      </c>
      <c r="F172" s="151">
        <v>0</v>
      </c>
      <c r="G172" s="152">
        <v>142</v>
      </c>
      <c r="H172" s="151">
        <v>0</v>
      </c>
      <c r="I172" s="152">
        <v>0</v>
      </c>
      <c r="J172" s="151">
        <v>0</v>
      </c>
      <c r="K172" s="152">
        <v>0</v>
      </c>
      <c r="L172" s="151">
        <v>141.69599914550781</v>
      </c>
      <c r="M172" s="152">
        <v>141.69599914550781</v>
      </c>
      <c r="N172" s="151">
        <v>0</v>
      </c>
      <c r="O172" s="152">
        <v>0</v>
      </c>
      <c r="P172" s="151">
        <v>0</v>
      </c>
      <c r="Q172" s="152">
        <v>0</v>
      </c>
      <c r="R172" s="151">
        <v>0</v>
      </c>
      <c r="S172" s="152">
        <v>0</v>
      </c>
      <c r="T172" s="151">
        <v>0</v>
      </c>
      <c r="U172" s="153">
        <v>0</v>
      </c>
      <c r="V172" t="str">
        <f>VLOOKUP(A172,'Projetos ciclo 2018-2022'!$I$7:$I$318,1,FALSE)</f>
        <v>TI02318</v>
      </c>
    </row>
    <row r="173" spans="1:22" x14ac:dyDescent="0.25">
      <c r="A173" s="21" t="s">
        <v>1368</v>
      </c>
      <c r="B173" s="154" t="s">
        <v>1369</v>
      </c>
      <c r="C173" s="154" t="s">
        <v>1370</v>
      </c>
      <c r="D173" s="155">
        <v>0</v>
      </c>
      <c r="E173" s="158">
        <v>0</v>
      </c>
      <c r="F173" s="155">
        <v>0</v>
      </c>
      <c r="G173" s="158">
        <v>373</v>
      </c>
      <c r="H173" s="155">
        <v>0</v>
      </c>
      <c r="I173" s="158">
        <v>73.648349761962891</v>
      </c>
      <c r="J173" s="155">
        <v>0</v>
      </c>
      <c r="K173" s="158">
        <v>73.648349761962891</v>
      </c>
      <c r="L173" s="155">
        <v>176.40750122070312</v>
      </c>
      <c r="M173" s="158">
        <v>250.05585098266602</v>
      </c>
      <c r="N173" s="155">
        <v>0</v>
      </c>
      <c r="O173" s="158">
        <v>0</v>
      </c>
      <c r="P173" s="155">
        <v>0</v>
      </c>
      <c r="Q173" s="158">
        <v>0</v>
      </c>
      <c r="R173" s="155">
        <v>0</v>
      </c>
      <c r="S173" s="158">
        <v>0</v>
      </c>
      <c r="T173" s="155">
        <v>0</v>
      </c>
      <c r="U173" s="157">
        <v>0</v>
      </c>
      <c r="V173" t="str">
        <f>VLOOKUP(A173,'Projetos ciclo 2018-2022'!$I$7:$I$318,1,FALSE)</f>
        <v>TI02416</v>
      </c>
    </row>
    <row r="174" spans="1:22" x14ac:dyDescent="0.25">
      <c r="A174" s="149" t="s">
        <v>1171</v>
      </c>
      <c r="B174" s="150" t="s">
        <v>764</v>
      </c>
      <c r="C174" s="150" t="s">
        <v>1172</v>
      </c>
      <c r="D174" s="151">
        <v>0</v>
      </c>
      <c r="E174" s="152">
        <v>0</v>
      </c>
      <c r="F174" s="151">
        <v>0</v>
      </c>
      <c r="G174" s="152">
        <v>693</v>
      </c>
      <c r="H174" s="151">
        <v>0</v>
      </c>
      <c r="I174" s="152">
        <v>693.4403076171875</v>
      </c>
      <c r="J174" s="151">
        <v>0</v>
      </c>
      <c r="K174" s="152">
        <v>693.4403076171875</v>
      </c>
      <c r="L174" s="151">
        <v>0</v>
      </c>
      <c r="M174" s="152">
        <v>693.4403076171875</v>
      </c>
      <c r="N174" s="151">
        <v>0</v>
      </c>
      <c r="O174" s="152">
        <v>0</v>
      </c>
      <c r="P174" s="151">
        <v>0</v>
      </c>
      <c r="Q174" s="152">
        <v>0</v>
      </c>
      <c r="R174" s="151">
        <v>0</v>
      </c>
      <c r="S174" s="152">
        <v>0</v>
      </c>
      <c r="T174" s="151">
        <v>0</v>
      </c>
      <c r="U174" s="153">
        <v>0</v>
      </c>
      <c r="V174" t="str">
        <f>VLOOKUP(A174,'Projetos ciclo 2018-2022'!$I$7:$I$318,1,FALSE)</f>
        <v>TI02418</v>
      </c>
    </row>
    <row r="175" spans="1:22" x14ac:dyDescent="0.25">
      <c r="A175" s="21" t="s">
        <v>753</v>
      </c>
      <c r="B175" s="154" t="s">
        <v>1371</v>
      </c>
      <c r="C175" s="154" t="s">
        <v>1372</v>
      </c>
      <c r="D175" s="155">
        <v>0</v>
      </c>
      <c r="E175" s="158">
        <v>0</v>
      </c>
      <c r="F175" s="155">
        <v>0</v>
      </c>
      <c r="G175" s="158">
        <v>350</v>
      </c>
      <c r="H175" s="155">
        <v>0</v>
      </c>
      <c r="I175" s="158">
        <v>44.140701055526733</v>
      </c>
      <c r="J175" s="155">
        <v>0</v>
      </c>
      <c r="K175" s="158">
        <v>44.140701055526733</v>
      </c>
      <c r="L175" s="155">
        <v>78.574318170547485</v>
      </c>
      <c r="M175" s="158">
        <v>122.71501922607422</v>
      </c>
      <c r="N175" s="155">
        <v>0</v>
      </c>
      <c r="O175" s="158">
        <v>0</v>
      </c>
      <c r="P175" s="155">
        <v>0</v>
      </c>
      <c r="Q175" s="158">
        <v>0</v>
      </c>
      <c r="R175" s="155">
        <v>0</v>
      </c>
      <c r="S175" s="158">
        <v>0</v>
      </c>
      <c r="T175" s="155">
        <v>0</v>
      </c>
      <c r="U175" s="157">
        <v>0</v>
      </c>
      <c r="V175" t="str">
        <f>VLOOKUP(A175,'Projetos ciclo 2018-2022'!$I$7:$I$318,1,FALSE)</f>
        <v>TI02515</v>
      </c>
    </row>
    <row r="176" spans="1:22" x14ac:dyDescent="0.25">
      <c r="A176" s="149" t="s">
        <v>566</v>
      </c>
      <c r="B176" s="150" t="s">
        <v>1373</v>
      </c>
      <c r="C176" s="150" t="s">
        <v>1374</v>
      </c>
      <c r="D176" s="151">
        <v>0</v>
      </c>
      <c r="E176" s="152">
        <v>0</v>
      </c>
      <c r="F176" s="151">
        <v>0</v>
      </c>
      <c r="G176" s="152">
        <v>149</v>
      </c>
      <c r="H176" s="151">
        <v>0</v>
      </c>
      <c r="I176" s="152">
        <v>0</v>
      </c>
      <c r="J176" s="151">
        <v>0</v>
      </c>
      <c r="K176" s="152">
        <v>0</v>
      </c>
      <c r="L176" s="151">
        <v>148.70700073242187</v>
      </c>
      <c r="M176" s="152">
        <v>148.70700073242187</v>
      </c>
      <c r="N176" s="151">
        <v>0</v>
      </c>
      <c r="O176" s="152">
        <v>0</v>
      </c>
      <c r="P176" s="151">
        <v>0</v>
      </c>
      <c r="Q176" s="152">
        <v>0</v>
      </c>
      <c r="R176" s="151">
        <v>0</v>
      </c>
      <c r="S176" s="152">
        <v>0</v>
      </c>
      <c r="T176" s="151">
        <v>0</v>
      </c>
      <c r="U176" s="153">
        <v>0</v>
      </c>
      <c r="V176" t="str">
        <f>VLOOKUP(A176,'Projetos ciclo 2018-2022'!$I$7:$I$318,1,FALSE)</f>
        <v>TI02516</v>
      </c>
    </row>
    <row r="177" spans="1:22" x14ac:dyDescent="0.25">
      <c r="A177" s="21" t="s">
        <v>568</v>
      </c>
      <c r="B177" s="154" t="s">
        <v>567</v>
      </c>
      <c r="C177" s="154" t="s">
        <v>1375</v>
      </c>
      <c r="D177" s="155">
        <v>0</v>
      </c>
      <c r="E177" s="158">
        <v>0</v>
      </c>
      <c r="F177" s="155">
        <v>0</v>
      </c>
      <c r="G177" s="158">
        <v>55</v>
      </c>
      <c r="H177" s="155">
        <v>0</v>
      </c>
      <c r="I177" s="158">
        <v>0</v>
      </c>
      <c r="J177" s="155">
        <v>0</v>
      </c>
      <c r="K177" s="158">
        <v>0</v>
      </c>
      <c r="L177" s="155">
        <v>34.817581176757813</v>
      </c>
      <c r="M177" s="158">
        <v>34.817581176757813</v>
      </c>
      <c r="N177" s="155">
        <v>0</v>
      </c>
      <c r="O177" s="158">
        <v>0</v>
      </c>
      <c r="P177" s="155">
        <v>0</v>
      </c>
      <c r="Q177" s="158">
        <v>0</v>
      </c>
      <c r="R177" s="155">
        <v>0</v>
      </c>
      <c r="S177" s="158">
        <v>0</v>
      </c>
      <c r="T177" s="155">
        <v>0</v>
      </c>
      <c r="U177" s="157">
        <v>0</v>
      </c>
      <c r="V177" t="str">
        <f>VLOOKUP(A177,'Projetos ciclo 2018-2022'!$I$7:$I$318,1,FALSE)</f>
        <v>TI02616</v>
      </c>
    </row>
    <row r="178" spans="1:22" x14ac:dyDescent="0.25">
      <c r="A178" s="149" t="s">
        <v>1164</v>
      </c>
      <c r="B178" s="150" t="s">
        <v>1376</v>
      </c>
      <c r="C178" s="150" t="s">
        <v>1165</v>
      </c>
      <c r="D178" s="151">
        <v>0</v>
      </c>
      <c r="E178" s="152">
        <v>0</v>
      </c>
      <c r="F178" s="151">
        <v>0</v>
      </c>
      <c r="G178" s="152">
        <v>1225</v>
      </c>
      <c r="H178" s="151">
        <v>0</v>
      </c>
      <c r="I178" s="152">
        <v>0</v>
      </c>
      <c r="J178" s="151">
        <v>0</v>
      </c>
      <c r="K178" s="152">
        <v>0</v>
      </c>
      <c r="L178" s="151">
        <v>969.04043579101562</v>
      </c>
      <c r="M178" s="152">
        <v>969.04043579101562</v>
      </c>
      <c r="N178" s="151">
        <v>0</v>
      </c>
      <c r="O178" s="152">
        <v>0</v>
      </c>
      <c r="P178" s="151">
        <v>0</v>
      </c>
      <c r="Q178" s="152">
        <v>0</v>
      </c>
      <c r="R178" s="151">
        <v>0</v>
      </c>
      <c r="S178" s="152">
        <v>0</v>
      </c>
      <c r="T178" s="151">
        <v>0</v>
      </c>
      <c r="U178" s="153">
        <v>0</v>
      </c>
      <c r="V178" t="str">
        <f>VLOOKUP(A178,'Projetos ciclo 2018-2022'!$I$7:$I$318,1,FALSE)</f>
        <v>TI02618</v>
      </c>
    </row>
    <row r="179" spans="1:22" x14ac:dyDescent="0.25">
      <c r="A179" s="21" t="s">
        <v>1377</v>
      </c>
      <c r="B179" s="154" t="s">
        <v>1378</v>
      </c>
      <c r="C179" s="154" t="s">
        <v>1379</v>
      </c>
      <c r="D179" s="155">
        <v>0</v>
      </c>
      <c r="E179" s="158">
        <v>0</v>
      </c>
      <c r="F179" s="155">
        <v>0</v>
      </c>
      <c r="G179" s="158">
        <v>3223</v>
      </c>
      <c r="H179" s="155">
        <v>0</v>
      </c>
      <c r="I179" s="158">
        <v>267.26645660400391</v>
      </c>
      <c r="J179" s="155">
        <v>0</v>
      </c>
      <c r="K179" s="158">
        <v>267.26645660400391</v>
      </c>
      <c r="L179" s="155">
        <v>2627.8525381088257</v>
      </c>
      <c r="M179" s="158">
        <v>2895.1189947128296</v>
      </c>
      <c r="N179" s="155">
        <v>0</v>
      </c>
      <c r="O179" s="158">
        <v>0</v>
      </c>
      <c r="P179" s="155">
        <v>0</v>
      </c>
      <c r="Q179" s="158">
        <v>0</v>
      </c>
      <c r="R179" s="155">
        <v>0</v>
      </c>
      <c r="S179" s="158">
        <v>0</v>
      </c>
      <c r="T179" s="155">
        <v>0</v>
      </c>
      <c r="U179" s="157">
        <v>0</v>
      </c>
      <c r="V179" t="str">
        <f>VLOOKUP(A179,'Projetos ciclo 2018-2022'!$I$7:$I$318,1,FALSE)</f>
        <v>TI02718</v>
      </c>
    </row>
    <row r="180" spans="1:22" x14ac:dyDescent="0.25">
      <c r="A180" s="149" t="s">
        <v>1010</v>
      </c>
      <c r="B180" s="150" t="s">
        <v>1011</v>
      </c>
      <c r="C180" s="150" t="s">
        <v>1380</v>
      </c>
      <c r="D180" s="151">
        <v>0</v>
      </c>
      <c r="E180" s="152">
        <v>0</v>
      </c>
      <c r="F180" s="151">
        <v>0</v>
      </c>
      <c r="G180" s="152">
        <v>600</v>
      </c>
      <c r="H180" s="151">
        <v>0</v>
      </c>
      <c r="I180" s="152">
        <v>599.97772216796875</v>
      </c>
      <c r="J180" s="151">
        <v>0</v>
      </c>
      <c r="K180" s="152">
        <v>599.97772216796875</v>
      </c>
      <c r="L180" s="151">
        <v>0</v>
      </c>
      <c r="M180" s="152">
        <v>599.97772216796875</v>
      </c>
      <c r="N180" s="151">
        <v>0</v>
      </c>
      <c r="O180" s="152">
        <v>0</v>
      </c>
      <c r="P180" s="151">
        <v>0</v>
      </c>
      <c r="Q180" s="152">
        <v>0</v>
      </c>
      <c r="R180" s="151">
        <v>0</v>
      </c>
      <c r="S180" s="152">
        <v>0</v>
      </c>
      <c r="T180" s="151">
        <v>0</v>
      </c>
      <c r="U180" s="153">
        <v>0</v>
      </c>
      <c r="V180" t="str">
        <f>VLOOKUP(A180,'Projetos ciclo 2018-2022'!$I$7:$I$318,1,FALSE)</f>
        <v>TI02817</v>
      </c>
    </row>
    <row r="181" spans="1:22" x14ac:dyDescent="0.25">
      <c r="A181" s="21" t="s">
        <v>1163</v>
      </c>
      <c r="B181" s="154" t="s">
        <v>335</v>
      </c>
      <c r="C181" s="154" t="s">
        <v>1381</v>
      </c>
      <c r="D181" s="155">
        <v>0</v>
      </c>
      <c r="E181" s="158">
        <v>0</v>
      </c>
      <c r="F181" s="155">
        <v>0</v>
      </c>
      <c r="G181" s="158">
        <v>504</v>
      </c>
      <c r="H181" s="155">
        <v>0</v>
      </c>
      <c r="I181" s="158">
        <v>175.63199806213379</v>
      </c>
      <c r="J181" s="155">
        <v>0</v>
      </c>
      <c r="K181" s="158">
        <v>175.63199806213379</v>
      </c>
      <c r="L181" s="155">
        <v>328.54609346389771</v>
      </c>
      <c r="M181" s="158">
        <v>504.17809152603149</v>
      </c>
      <c r="N181" s="155">
        <v>0</v>
      </c>
      <c r="O181" s="158">
        <v>0</v>
      </c>
      <c r="P181" s="155">
        <v>0</v>
      </c>
      <c r="Q181" s="158">
        <v>0</v>
      </c>
      <c r="R181" s="155">
        <v>0</v>
      </c>
      <c r="S181" s="158">
        <v>0</v>
      </c>
      <c r="T181" s="155">
        <v>0</v>
      </c>
      <c r="U181" s="157">
        <v>0</v>
      </c>
      <c r="V181" t="str">
        <f>VLOOKUP(A181,'Projetos ciclo 2018-2022'!$I$7:$I$318,1,FALSE)</f>
        <v>TI03015</v>
      </c>
    </row>
    <row r="182" spans="1:22" x14ac:dyDescent="0.25">
      <c r="A182" s="149" t="s">
        <v>1938</v>
      </c>
      <c r="B182" s="150" t="s">
        <v>1939</v>
      </c>
      <c r="C182" s="150" t="s">
        <v>1940</v>
      </c>
      <c r="D182" s="151">
        <v>0</v>
      </c>
      <c r="E182" s="152">
        <v>0</v>
      </c>
      <c r="F182" s="151">
        <v>0</v>
      </c>
      <c r="G182" s="152">
        <v>166</v>
      </c>
      <c r="H182" s="151">
        <v>0</v>
      </c>
      <c r="I182" s="152">
        <v>5.8700799942016602</v>
      </c>
      <c r="J182" s="151">
        <v>0</v>
      </c>
      <c r="K182" s="152">
        <v>5.8700799942016602</v>
      </c>
      <c r="L182" s="151">
        <v>160</v>
      </c>
      <c r="M182" s="152">
        <v>165.87007999420166</v>
      </c>
      <c r="N182" s="151">
        <v>0</v>
      </c>
      <c r="O182" s="152">
        <v>0</v>
      </c>
      <c r="P182" s="151">
        <v>0</v>
      </c>
      <c r="Q182" s="152">
        <v>0</v>
      </c>
      <c r="R182" s="151">
        <v>0</v>
      </c>
      <c r="S182" s="152">
        <v>0</v>
      </c>
      <c r="T182" s="151">
        <v>0</v>
      </c>
      <c r="U182" s="153">
        <v>0</v>
      </c>
      <c r="V182" t="str">
        <f>VLOOKUP(A182,'Projetos ciclo 2018-2022'!$I$7:$I$318,1,FALSE)</f>
        <v>TI03017</v>
      </c>
    </row>
    <row r="183" spans="1:22" x14ac:dyDescent="0.25">
      <c r="A183" s="21" t="s">
        <v>1144</v>
      </c>
      <c r="B183" s="154" t="s">
        <v>1382</v>
      </c>
      <c r="C183" s="154" t="s">
        <v>1383</v>
      </c>
      <c r="D183" s="155">
        <v>0</v>
      </c>
      <c r="E183" s="158">
        <v>0</v>
      </c>
      <c r="F183" s="155">
        <v>0</v>
      </c>
      <c r="G183" s="158">
        <v>216</v>
      </c>
      <c r="H183" s="155">
        <v>0</v>
      </c>
      <c r="I183" s="158">
        <v>60.324001312255859</v>
      </c>
      <c r="J183" s="155">
        <v>0</v>
      </c>
      <c r="K183" s="158">
        <v>60.324001312255859</v>
      </c>
      <c r="L183" s="155">
        <v>155.67599487304687</v>
      </c>
      <c r="M183" s="158">
        <v>215.99999618530273</v>
      </c>
      <c r="N183" s="155">
        <v>0</v>
      </c>
      <c r="O183" s="158">
        <v>0</v>
      </c>
      <c r="P183" s="155">
        <v>0</v>
      </c>
      <c r="Q183" s="158">
        <v>0</v>
      </c>
      <c r="R183" s="155">
        <v>0</v>
      </c>
      <c r="S183" s="158">
        <v>0</v>
      </c>
      <c r="T183" s="155">
        <v>0</v>
      </c>
      <c r="U183" s="157">
        <v>0</v>
      </c>
      <c r="V183" t="str">
        <f>VLOOKUP(A183,'Projetos ciclo 2018-2022'!$I$7:$I$318,1,FALSE)</f>
        <v>TI03117</v>
      </c>
    </row>
    <row r="184" spans="1:22" x14ac:dyDescent="0.25">
      <c r="A184" s="149" t="s">
        <v>1049</v>
      </c>
      <c r="B184" s="150" t="s">
        <v>1338</v>
      </c>
      <c r="C184" s="150" t="s">
        <v>1384</v>
      </c>
      <c r="D184" s="151">
        <v>0</v>
      </c>
      <c r="E184" s="152">
        <v>0</v>
      </c>
      <c r="F184" s="151">
        <v>0</v>
      </c>
      <c r="G184" s="152">
        <v>2100</v>
      </c>
      <c r="H184" s="151">
        <v>0</v>
      </c>
      <c r="I184" s="152">
        <v>341.49017333984375</v>
      </c>
      <c r="J184" s="151">
        <v>0</v>
      </c>
      <c r="K184" s="152">
        <v>341.49017333984375</v>
      </c>
      <c r="L184" s="151">
        <v>1154.5678939819336</v>
      </c>
      <c r="M184" s="152">
        <v>1496.0580673217773</v>
      </c>
      <c r="N184" s="151">
        <v>0</v>
      </c>
      <c r="O184" s="152">
        <v>0</v>
      </c>
      <c r="P184" s="151">
        <v>0</v>
      </c>
      <c r="Q184" s="152">
        <v>0</v>
      </c>
      <c r="R184" s="151">
        <v>0</v>
      </c>
      <c r="S184" s="152">
        <v>0</v>
      </c>
      <c r="T184" s="151">
        <v>0</v>
      </c>
      <c r="U184" s="153">
        <v>0</v>
      </c>
      <c r="V184" t="str">
        <f>VLOOKUP(A184,'Projetos ciclo 2018-2022'!$I$7:$I$318,1,FALSE)</f>
        <v>TI03217</v>
      </c>
    </row>
    <row r="185" spans="1:22" x14ac:dyDescent="0.25">
      <c r="A185" s="21" t="s">
        <v>1051</v>
      </c>
      <c r="B185" s="154" t="s">
        <v>1024</v>
      </c>
      <c r="C185" s="154" t="s">
        <v>1385</v>
      </c>
      <c r="D185" s="155">
        <v>0</v>
      </c>
      <c r="E185" s="158">
        <v>0</v>
      </c>
      <c r="F185" s="155">
        <v>0</v>
      </c>
      <c r="G185" s="158">
        <v>278</v>
      </c>
      <c r="H185" s="155">
        <v>0</v>
      </c>
      <c r="I185" s="158">
        <v>108.51967239379883</v>
      </c>
      <c r="J185" s="155">
        <v>0</v>
      </c>
      <c r="K185" s="158">
        <v>108.51967239379883</v>
      </c>
      <c r="L185" s="155">
        <v>169.582275390625</v>
      </c>
      <c r="M185" s="158">
        <v>278.10194778442383</v>
      </c>
      <c r="N185" s="155">
        <v>0</v>
      </c>
      <c r="O185" s="158">
        <v>0</v>
      </c>
      <c r="P185" s="155">
        <v>0</v>
      </c>
      <c r="Q185" s="158">
        <v>0</v>
      </c>
      <c r="R185" s="155">
        <v>0</v>
      </c>
      <c r="S185" s="158">
        <v>0</v>
      </c>
      <c r="T185" s="155">
        <v>0</v>
      </c>
      <c r="U185" s="157">
        <v>0</v>
      </c>
      <c r="V185" t="str">
        <f>VLOOKUP(A185,'Projetos ciclo 2018-2022'!$I$7:$I$318,1,FALSE)</f>
        <v>TI03317</v>
      </c>
    </row>
    <row r="186" spans="1:22" x14ac:dyDescent="0.25">
      <c r="A186" s="149" t="s">
        <v>1465</v>
      </c>
      <c r="B186" s="150" t="s">
        <v>1466</v>
      </c>
      <c r="C186" s="150" t="s">
        <v>1467</v>
      </c>
      <c r="D186" s="151">
        <v>0</v>
      </c>
      <c r="E186" s="152">
        <v>0</v>
      </c>
      <c r="F186" s="151">
        <v>0</v>
      </c>
      <c r="G186" s="152">
        <v>245</v>
      </c>
      <c r="H186" s="151">
        <v>0</v>
      </c>
      <c r="I186" s="152">
        <v>232.37596130371094</v>
      </c>
      <c r="J186" s="151">
        <v>0</v>
      </c>
      <c r="K186" s="152">
        <v>232.37596130371094</v>
      </c>
      <c r="L186" s="151">
        <v>0</v>
      </c>
      <c r="M186" s="152">
        <v>232.37596130371094</v>
      </c>
      <c r="N186" s="151">
        <v>0</v>
      </c>
      <c r="O186" s="152">
        <v>0</v>
      </c>
      <c r="P186" s="151">
        <v>0</v>
      </c>
      <c r="Q186" s="152">
        <v>0</v>
      </c>
      <c r="R186" s="151">
        <v>0</v>
      </c>
      <c r="S186" s="152">
        <v>0</v>
      </c>
      <c r="T186" s="151">
        <v>0</v>
      </c>
      <c r="U186" s="153">
        <v>0</v>
      </c>
      <c r="V186" t="str">
        <f>VLOOKUP(A186,'Projetos ciclo 2018-2022'!$I$7:$I$318,1,FALSE)</f>
        <v>TI03318</v>
      </c>
    </row>
    <row r="187" spans="1:22" x14ac:dyDescent="0.25">
      <c r="A187" s="21" t="s">
        <v>1140</v>
      </c>
      <c r="B187" s="154" t="s">
        <v>1386</v>
      </c>
      <c r="C187" s="154" t="s">
        <v>1387</v>
      </c>
      <c r="D187" s="155">
        <v>0</v>
      </c>
      <c r="E187" s="158">
        <v>0</v>
      </c>
      <c r="F187" s="155">
        <v>0</v>
      </c>
      <c r="G187" s="158">
        <v>900</v>
      </c>
      <c r="H187" s="155">
        <v>0</v>
      </c>
      <c r="I187" s="158">
        <v>899.99990081787109</v>
      </c>
      <c r="J187" s="155">
        <v>0</v>
      </c>
      <c r="K187" s="158">
        <v>899.99990081787109</v>
      </c>
      <c r="L187" s="155">
        <v>0</v>
      </c>
      <c r="M187" s="158">
        <v>899.99990081787109</v>
      </c>
      <c r="N187" s="155">
        <v>0</v>
      </c>
      <c r="O187" s="158">
        <v>0</v>
      </c>
      <c r="P187" s="155">
        <v>0</v>
      </c>
      <c r="Q187" s="158">
        <v>0</v>
      </c>
      <c r="R187" s="155">
        <v>0</v>
      </c>
      <c r="S187" s="158">
        <v>0</v>
      </c>
      <c r="T187" s="155">
        <v>0</v>
      </c>
      <c r="U187" s="157">
        <v>0</v>
      </c>
      <c r="V187" t="str">
        <f>VLOOKUP(A187,'Projetos ciclo 2018-2022'!$I$7:$I$318,1,FALSE)</f>
        <v>TI03417</v>
      </c>
    </row>
    <row r="188" spans="1:22" x14ac:dyDescent="0.25">
      <c r="A188" s="149" t="s">
        <v>1147</v>
      </c>
      <c r="B188" s="150" t="s">
        <v>1023</v>
      </c>
      <c r="C188" s="150" t="s">
        <v>1388</v>
      </c>
      <c r="D188" s="151">
        <v>0</v>
      </c>
      <c r="E188" s="152">
        <v>0</v>
      </c>
      <c r="F188" s="151">
        <v>0</v>
      </c>
      <c r="G188" s="152">
        <v>155</v>
      </c>
      <c r="H188" s="151">
        <v>0</v>
      </c>
      <c r="I188" s="152">
        <v>0</v>
      </c>
      <c r="J188" s="151">
        <v>0</v>
      </c>
      <c r="K188" s="152">
        <v>0</v>
      </c>
      <c r="L188" s="151">
        <v>154.5</v>
      </c>
      <c r="M188" s="152">
        <v>154.5</v>
      </c>
      <c r="N188" s="151">
        <v>0</v>
      </c>
      <c r="O188" s="152">
        <v>0</v>
      </c>
      <c r="P188" s="151">
        <v>0</v>
      </c>
      <c r="Q188" s="152">
        <v>0</v>
      </c>
      <c r="R188" s="151">
        <v>0</v>
      </c>
      <c r="S188" s="152">
        <v>0</v>
      </c>
      <c r="T188" s="151">
        <v>0</v>
      </c>
      <c r="U188" s="153">
        <v>0</v>
      </c>
      <c r="V188" t="str">
        <f>VLOOKUP(A188,'Projetos ciclo 2018-2022'!$I$7:$I$318,1,FALSE)</f>
        <v>TI03517</v>
      </c>
    </row>
    <row r="189" spans="1:22" x14ac:dyDescent="0.25">
      <c r="A189" s="21" t="s">
        <v>1050</v>
      </c>
      <c r="B189" s="154" t="s">
        <v>1022</v>
      </c>
      <c r="C189" s="154" t="s">
        <v>1389</v>
      </c>
      <c r="D189" s="155">
        <v>0</v>
      </c>
      <c r="E189" s="158">
        <v>0</v>
      </c>
      <c r="F189" s="155">
        <v>0</v>
      </c>
      <c r="G189" s="158">
        <v>247</v>
      </c>
      <c r="H189" s="155">
        <v>0</v>
      </c>
      <c r="I189" s="158">
        <v>110.67523956298828</v>
      </c>
      <c r="J189" s="155">
        <v>0</v>
      </c>
      <c r="K189" s="158">
        <v>110.67523956298828</v>
      </c>
      <c r="L189" s="155">
        <v>136.52476501464844</v>
      </c>
      <c r="M189" s="158">
        <v>247.20000457763672</v>
      </c>
      <c r="N189" s="155">
        <v>0</v>
      </c>
      <c r="O189" s="158">
        <v>0</v>
      </c>
      <c r="P189" s="155">
        <v>0</v>
      </c>
      <c r="Q189" s="158">
        <v>0</v>
      </c>
      <c r="R189" s="155">
        <v>0</v>
      </c>
      <c r="S189" s="158">
        <v>0</v>
      </c>
      <c r="T189" s="155">
        <v>0</v>
      </c>
      <c r="U189" s="157">
        <v>0</v>
      </c>
      <c r="V189" t="str">
        <f>VLOOKUP(A189,'Projetos ciclo 2018-2022'!$I$7:$I$318,1,FALSE)</f>
        <v>TI03617</v>
      </c>
    </row>
    <row r="190" spans="1:22" x14ac:dyDescent="0.25">
      <c r="A190" s="149" t="s">
        <v>1143</v>
      </c>
      <c r="B190" s="150" t="s">
        <v>1390</v>
      </c>
      <c r="C190" s="150" t="s">
        <v>1391</v>
      </c>
      <c r="D190" s="151">
        <v>0</v>
      </c>
      <c r="E190" s="152">
        <v>0</v>
      </c>
      <c r="F190" s="151">
        <v>0</v>
      </c>
      <c r="G190" s="152">
        <v>871</v>
      </c>
      <c r="H190" s="151">
        <v>0</v>
      </c>
      <c r="I190" s="152">
        <v>15.5</v>
      </c>
      <c r="J190" s="151">
        <v>0</v>
      </c>
      <c r="K190" s="152">
        <v>15.5</v>
      </c>
      <c r="L190" s="151">
        <v>384.39999389648437</v>
      </c>
      <c r="M190" s="152">
        <v>399.89999389648437</v>
      </c>
      <c r="N190" s="151">
        <v>0</v>
      </c>
      <c r="O190" s="152">
        <v>0</v>
      </c>
      <c r="P190" s="151">
        <v>0</v>
      </c>
      <c r="Q190" s="152">
        <v>0</v>
      </c>
      <c r="R190" s="151">
        <v>0</v>
      </c>
      <c r="S190" s="152">
        <v>0</v>
      </c>
      <c r="T190" s="151">
        <v>0</v>
      </c>
      <c r="U190" s="153">
        <v>0</v>
      </c>
      <c r="V190" t="str">
        <f>VLOOKUP(A190,'Projetos ciclo 2018-2022'!$I$7:$I$318,1,FALSE)</f>
        <v>TI04117</v>
      </c>
    </row>
    <row r="191" spans="1:22" x14ac:dyDescent="0.25">
      <c r="A191" s="21" t="s">
        <v>1550</v>
      </c>
      <c r="B191" s="154" t="s">
        <v>1551</v>
      </c>
      <c r="C191" s="154" t="s">
        <v>1552</v>
      </c>
      <c r="D191" s="155">
        <v>0</v>
      </c>
      <c r="E191" s="158">
        <v>0</v>
      </c>
      <c r="F191" s="155">
        <v>0</v>
      </c>
      <c r="G191" s="158">
        <v>150</v>
      </c>
      <c r="H191" s="155">
        <v>0</v>
      </c>
      <c r="I191" s="158">
        <v>0</v>
      </c>
      <c r="J191" s="155">
        <v>0</v>
      </c>
      <c r="K191" s="158">
        <v>0</v>
      </c>
      <c r="L191" s="155">
        <v>149</v>
      </c>
      <c r="M191" s="158">
        <v>149</v>
      </c>
      <c r="N191" s="155">
        <v>0</v>
      </c>
      <c r="O191" s="158">
        <v>0</v>
      </c>
      <c r="P191" s="155">
        <v>0</v>
      </c>
      <c r="Q191" s="158">
        <v>0</v>
      </c>
      <c r="R191" s="155">
        <v>0</v>
      </c>
      <c r="S191" s="158">
        <v>0</v>
      </c>
      <c r="T191" s="155">
        <v>0</v>
      </c>
      <c r="U191" s="157">
        <v>0</v>
      </c>
      <c r="V191" t="str">
        <f>VLOOKUP(A191,'Projetos ciclo 2018-2022'!$I$7:$I$318,1,FALSE)</f>
        <v>TI04618</v>
      </c>
    </row>
    <row r="192" spans="1:22" x14ac:dyDescent="0.25">
      <c r="A192" s="149" t="s">
        <v>1479</v>
      </c>
      <c r="B192" s="150" t="s">
        <v>1480</v>
      </c>
      <c r="C192" s="150" t="s">
        <v>1481</v>
      </c>
      <c r="D192" s="151">
        <v>0</v>
      </c>
      <c r="E192" s="152">
        <v>0</v>
      </c>
      <c r="F192" s="151">
        <v>0</v>
      </c>
      <c r="G192" s="152">
        <v>141</v>
      </c>
      <c r="H192" s="151">
        <v>0</v>
      </c>
      <c r="I192" s="152">
        <v>25.882419586181641</v>
      </c>
      <c r="J192" s="151">
        <v>0</v>
      </c>
      <c r="K192" s="152">
        <v>25.882419586181641</v>
      </c>
      <c r="L192" s="151">
        <v>115.34107971191406</v>
      </c>
      <c r="M192" s="152">
        <v>141.2234992980957</v>
      </c>
      <c r="N192" s="151">
        <v>0</v>
      </c>
      <c r="O192" s="152">
        <v>0</v>
      </c>
      <c r="P192" s="151">
        <v>0</v>
      </c>
      <c r="Q192" s="152">
        <v>0</v>
      </c>
      <c r="R192" s="151">
        <v>0</v>
      </c>
      <c r="S192" s="152">
        <v>0</v>
      </c>
      <c r="T192" s="151">
        <v>0</v>
      </c>
      <c r="U192" s="153">
        <v>0</v>
      </c>
      <c r="V192" t="str">
        <f>VLOOKUP(A192,'Projetos ciclo 2018-2022'!$I$7:$I$318,1,FALSE)</f>
        <v>TI04718</v>
      </c>
    </row>
    <row r="193" spans="1:22" x14ac:dyDescent="0.25">
      <c r="A193" s="21" t="s">
        <v>1587</v>
      </c>
      <c r="B193" s="154" t="s">
        <v>1588</v>
      </c>
      <c r="C193" s="154" t="s">
        <v>1589</v>
      </c>
      <c r="D193" s="155">
        <v>0</v>
      </c>
      <c r="E193" s="158">
        <v>0</v>
      </c>
      <c r="F193" s="155">
        <v>0</v>
      </c>
      <c r="G193" s="158">
        <v>420</v>
      </c>
      <c r="H193" s="155">
        <v>0</v>
      </c>
      <c r="I193" s="158">
        <v>0</v>
      </c>
      <c r="J193" s="155">
        <v>0</v>
      </c>
      <c r="K193" s="158">
        <v>0</v>
      </c>
      <c r="L193" s="155">
        <v>420.44839477539062</v>
      </c>
      <c r="M193" s="158">
        <v>420.44839477539062</v>
      </c>
      <c r="N193" s="155">
        <v>0</v>
      </c>
      <c r="O193" s="158">
        <v>0</v>
      </c>
      <c r="P193" s="155">
        <v>0</v>
      </c>
      <c r="Q193" s="158">
        <v>0</v>
      </c>
      <c r="R193" s="155">
        <v>0</v>
      </c>
      <c r="S193" s="158">
        <v>0</v>
      </c>
      <c r="T193" s="155">
        <v>0</v>
      </c>
      <c r="U193" s="157">
        <v>0</v>
      </c>
      <c r="V193" t="str">
        <f>VLOOKUP(A193,'Projetos ciclo 2018-2022'!$I$7:$I$318,1,FALSE)</f>
        <v>TI05218</v>
      </c>
    </row>
    <row r="194" spans="1:22" x14ac:dyDescent="0.25">
      <c r="A194" s="149" t="s">
        <v>1615</v>
      </c>
      <c r="B194" s="150" t="s">
        <v>1616</v>
      </c>
      <c r="C194" s="150" t="s">
        <v>1617</v>
      </c>
      <c r="D194" s="151">
        <v>0</v>
      </c>
      <c r="E194" s="152">
        <v>0</v>
      </c>
      <c r="F194" s="151">
        <v>0</v>
      </c>
      <c r="G194" s="152">
        <v>800</v>
      </c>
      <c r="H194" s="151">
        <v>0</v>
      </c>
      <c r="I194" s="152">
        <v>800</v>
      </c>
      <c r="J194" s="151">
        <v>0</v>
      </c>
      <c r="K194" s="152">
        <v>800</v>
      </c>
      <c r="L194" s="151">
        <v>0</v>
      </c>
      <c r="M194" s="152">
        <v>800</v>
      </c>
      <c r="N194" s="151">
        <v>0</v>
      </c>
      <c r="O194" s="152">
        <v>0</v>
      </c>
      <c r="P194" s="151">
        <v>0</v>
      </c>
      <c r="Q194" s="152">
        <v>0</v>
      </c>
      <c r="R194" s="151">
        <v>0</v>
      </c>
      <c r="S194" s="152">
        <v>0</v>
      </c>
      <c r="T194" s="151">
        <v>0</v>
      </c>
      <c r="U194" s="153">
        <v>0</v>
      </c>
      <c r="V194" t="str">
        <f>VLOOKUP(A194,'Projetos ciclo 2018-2022'!$I$7:$I$318,1,FALSE)</f>
        <v>TI05318</v>
      </c>
    </row>
    <row r="195" spans="1:22" x14ac:dyDescent="0.25">
      <c r="A195" s="21" t="s">
        <v>1645</v>
      </c>
      <c r="B195" s="154" t="s">
        <v>1605</v>
      </c>
      <c r="C195" s="154" t="s">
        <v>1646</v>
      </c>
      <c r="D195" s="155">
        <v>0</v>
      </c>
      <c r="E195" s="158">
        <v>0</v>
      </c>
      <c r="F195" s="155">
        <v>0</v>
      </c>
      <c r="G195" s="158">
        <v>500</v>
      </c>
      <c r="H195" s="155">
        <v>0</v>
      </c>
      <c r="I195" s="158">
        <v>0</v>
      </c>
      <c r="J195" s="155">
        <v>0</v>
      </c>
      <c r="K195" s="158">
        <v>0</v>
      </c>
      <c r="L195" s="155">
        <v>439.99998474121094</v>
      </c>
      <c r="M195" s="158">
        <v>439.99998474121094</v>
      </c>
      <c r="N195" s="155">
        <v>0</v>
      </c>
      <c r="O195" s="158">
        <v>0</v>
      </c>
      <c r="P195" s="155">
        <v>0</v>
      </c>
      <c r="Q195" s="158">
        <v>0</v>
      </c>
      <c r="R195" s="155">
        <v>0</v>
      </c>
      <c r="S195" s="158">
        <v>0</v>
      </c>
      <c r="T195" s="155">
        <v>0</v>
      </c>
      <c r="U195" s="157">
        <v>0</v>
      </c>
      <c r="V195" t="str">
        <f>VLOOKUP(A195,'Projetos ciclo 2018-2022'!$I$7:$I$318,1,FALSE)</f>
        <v>TI05418</v>
      </c>
    </row>
    <row r="196" spans="1:22" x14ac:dyDescent="0.25">
      <c r="A196" s="149" t="s">
        <v>1647</v>
      </c>
      <c r="B196" s="150" t="s">
        <v>1574</v>
      </c>
      <c r="C196" s="150" t="s">
        <v>1648</v>
      </c>
      <c r="D196" s="151">
        <v>0</v>
      </c>
      <c r="E196" s="152">
        <v>0</v>
      </c>
      <c r="F196" s="151">
        <v>0</v>
      </c>
      <c r="G196" s="152">
        <v>760</v>
      </c>
      <c r="H196" s="151">
        <v>0</v>
      </c>
      <c r="I196" s="152">
        <v>0</v>
      </c>
      <c r="J196" s="151">
        <v>0</v>
      </c>
      <c r="K196" s="152">
        <v>0</v>
      </c>
      <c r="L196" s="151">
        <v>580.49600219726562</v>
      </c>
      <c r="M196" s="152">
        <v>580.49600219726562</v>
      </c>
      <c r="N196" s="151">
        <v>0</v>
      </c>
      <c r="O196" s="152">
        <v>0</v>
      </c>
      <c r="P196" s="151">
        <v>0</v>
      </c>
      <c r="Q196" s="152">
        <v>0</v>
      </c>
      <c r="R196" s="151">
        <v>0</v>
      </c>
      <c r="S196" s="152">
        <v>0</v>
      </c>
      <c r="T196" s="151">
        <v>0</v>
      </c>
      <c r="U196" s="153">
        <v>0</v>
      </c>
      <c r="V196" t="str">
        <f>VLOOKUP(A196,'Projetos ciclo 2018-2022'!$I$7:$I$318,1,FALSE)</f>
        <v>TI05518</v>
      </c>
    </row>
    <row r="197" spans="1:22" x14ac:dyDescent="0.25">
      <c r="A197" s="21" t="s">
        <v>1649</v>
      </c>
      <c r="B197" s="154" t="s">
        <v>843</v>
      </c>
      <c r="C197" s="154" t="s">
        <v>1650</v>
      </c>
      <c r="D197" s="155">
        <v>0</v>
      </c>
      <c r="E197" s="158">
        <v>0</v>
      </c>
      <c r="F197" s="155">
        <v>0</v>
      </c>
      <c r="G197" s="158">
        <v>1865</v>
      </c>
      <c r="H197" s="155">
        <v>0</v>
      </c>
      <c r="I197" s="158">
        <v>0</v>
      </c>
      <c r="J197" s="155">
        <v>0</v>
      </c>
      <c r="K197" s="158">
        <v>0</v>
      </c>
      <c r="L197" s="155">
        <v>1678.5040016174316</v>
      </c>
      <c r="M197" s="158">
        <v>1678.5040016174316</v>
      </c>
      <c r="N197" s="155">
        <v>0</v>
      </c>
      <c r="O197" s="158">
        <v>0</v>
      </c>
      <c r="P197" s="155">
        <v>0</v>
      </c>
      <c r="Q197" s="158">
        <v>0</v>
      </c>
      <c r="R197" s="155">
        <v>0</v>
      </c>
      <c r="S197" s="158">
        <v>0</v>
      </c>
      <c r="T197" s="155">
        <v>0</v>
      </c>
      <c r="U197" s="157">
        <v>0</v>
      </c>
      <c r="V197" t="str">
        <f>VLOOKUP(A197,'Projetos ciclo 2018-2022'!$I$7:$I$318,1,FALSE)</f>
        <v>TI05618</v>
      </c>
    </row>
    <row r="198" spans="1:22" x14ac:dyDescent="0.25">
      <c r="A198" s="149" t="s">
        <v>1651</v>
      </c>
      <c r="B198" s="150" t="s">
        <v>1652</v>
      </c>
      <c r="C198" s="150" t="s">
        <v>1653</v>
      </c>
      <c r="D198" s="151">
        <v>0</v>
      </c>
      <c r="E198" s="152">
        <v>0</v>
      </c>
      <c r="F198" s="151">
        <v>0</v>
      </c>
      <c r="G198" s="152">
        <v>120</v>
      </c>
      <c r="H198" s="151">
        <v>0</v>
      </c>
      <c r="I198" s="152">
        <v>0</v>
      </c>
      <c r="J198" s="151">
        <v>0</v>
      </c>
      <c r="K198" s="152">
        <v>0</v>
      </c>
      <c r="L198" s="151">
        <v>120.05999755859375</v>
      </c>
      <c r="M198" s="152">
        <v>120.05999755859375</v>
      </c>
      <c r="N198" s="151">
        <v>0</v>
      </c>
      <c r="O198" s="152">
        <v>0</v>
      </c>
      <c r="P198" s="151">
        <v>0</v>
      </c>
      <c r="Q198" s="152">
        <v>0</v>
      </c>
      <c r="R198" s="151">
        <v>0</v>
      </c>
      <c r="S198" s="152">
        <v>0</v>
      </c>
      <c r="T198" s="151">
        <v>0</v>
      </c>
      <c r="U198" s="153">
        <v>0</v>
      </c>
      <c r="V198" t="str">
        <f>VLOOKUP(A198,'Projetos ciclo 2018-2022'!$I$7:$I$318,1,FALSE)</f>
        <v>TI05718</v>
      </c>
    </row>
    <row r="199" spans="1:22" x14ac:dyDescent="0.25">
      <c r="A199" s="21" t="s">
        <v>1746</v>
      </c>
      <c r="B199" s="154" t="s">
        <v>1684</v>
      </c>
      <c r="C199" s="154" t="s">
        <v>1747</v>
      </c>
      <c r="D199" s="155">
        <v>0</v>
      </c>
      <c r="E199" s="158">
        <v>0</v>
      </c>
      <c r="F199" s="155">
        <v>0</v>
      </c>
      <c r="G199" s="158">
        <v>0</v>
      </c>
      <c r="H199" s="155">
        <v>0</v>
      </c>
      <c r="I199" s="158">
        <v>0</v>
      </c>
      <c r="J199" s="155">
        <v>0</v>
      </c>
      <c r="K199" s="158">
        <v>0</v>
      </c>
      <c r="L199" s="155">
        <v>0</v>
      </c>
      <c r="M199" s="158">
        <v>0</v>
      </c>
      <c r="N199" s="155">
        <v>0</v>
      </c>
      <c r="O199" s="158">
        <v>0</v>
      </c>
      <c r="P199" s="155">
        <v>0</v>
      </c>
      <c r="Q199" s="158">
        <v>0</v>
      </c>
      <c r="R199" s="155">
        <v>0</v>
      </c>
      <c r="S199" s="158">
        <v>0</v>
      </c>
      <c r="T199" s="155">
        <v>0</v>
      </c>
      <c r="U199" s="157">
        <v>0</v>
      </c>
      <c r="V199" t="str">
        <f>VLOOKUP(A199,'Projetos ciclo 2018-2022'!$I$7:$I$318,1,FALSE)</f>
        <v>TI06218</v>
      </c>
    </row>
    <row r="200" spans="1:22" x14ac:dyDescent="0.25">
      <c r="A200" s="149" t="s">
        <v>1748</v>
      </c>
      <c r="B200" s="150" t="s">
        <v>1678</v>
      </c>
      <c r="C200" s="150" t="s">
        <v>1749</v>
      </c>
      <c r="D200" s="151">
        <v>0</v>
      </c>
      <c r="E200" s="152">
        <v>0</v>
      </c>
      <c r="F200" s="151">
        <v>0</v>
      </c>
      <c r="G200" s="152">
        <v>26</v>
      </c>
      <c r="H200" s="151">
        <v>0</v>
      </c>
      <c r="I200" s="152">
        <v>0</v>
      </c>
      <c r="J200" s="151">
        <v>0</v>
      </c>
      <c r="K200" s="152">
        <v>0</v>
      </c>
      <c r="L200" s="151">
        <v>25.677000045776367</v>
      </c>
      <c r="M200" s="152">
        <v>25.677000045776367</v>
      </c>
      <c r="N200" s="151">
        <v>0</v>
      </c>
      <c r="O200" s="152">
        <v>0</v>
      </c>
      <c r="P200" s="151">
        <v>0</v>
      </c>
      <c r="Q200" s="152">
        <v>0</v>
      </c>
      <c r="R200" s="151">
        <v>0</v>
      </c>
      <c r="S200" s="152">
        <v>0</v>
      </c>
      <c r="T200" s="151">
        <v>0</v>
      </c>
      <c r="U200" s="153">
        <v>0</v>
      </c>
      <c r="V200" t="str">
        <f>VLOOKUP(A200,'Projetos ciclo 2018-2022'!$I$7:$I$318,1,FALSE)</f>
        <v>TI06318</v>
      </c>
    </row>
    <row r="201" spans="1:22" x14ac:dyDescent="0.25">
      <c r="A201" s="21" t="s">
        <v>1750</v>
      </c>
      <c r="B201" s="154" t="s">
        <v>1025</v>
      </c>
      <c r="C201" s="154" t="s">
        <v>1751</v>
      </c>
      <c r="D201" s="155">
        <v>0</v>
      </c>
      <c r="E201" s="158">
        <v>0</v>
      </c>
      <c r="F201" s="155">
        <v>0</v>
      </c>
      <c r="G201" s="158">
        <v>68</v>
      </c>
      <c r="H201" s="155">
        <v>0</v>
      </c>
      <c r="I201" s="158">
        <v>0</v>
      </c>
      <c r="J201" s="155">
        <v>0</v>
      </c>
      <c r="K201" s="158">
        <v>0</v>
      </c>
      <c r="L201" s="155">
        <v>68.472000122070313</v>
      </c>
      <c r="M201" s="158">
        <v>68.472000122070313</v>
      </c>
      <c r="N201" s="155">
        <v>0</v>
      </c>
      <c r="O201" s="158">
        <v>0</v>
      </c>
      <c r="P201" s="155">
        <v>0</v>
      </c>
      <c r="Q201" s="158">
        <v>0</v>
      </c>
      <c r="R201" s="155">
        <v>0</v>
      </c>
      <c r="S201" s="158">
        <v>0</v>
      </c>
      <c r="T201" s="155">
        <v>0</v>
      </c>
      <c r="U201" s="157">
        <v>0</v>
      </c>
      <c r="V201" t="str">
        <f>VLOOKUP(A201,'Projetos ciclo 2018-2022'!$I$7:$I$318,1,FALSE)</f>
        <v>TI06418</v>
      </c>
    </row>
    <row r="202" spans="1:22" x14ac:dyDescent="0.25">
      <c r="A202" s="149" t="s">
        <v>1752</v>
      </c>
      <c r="B202" s="150" t="s">
        <v>834</v>
      </c>
      <c r="C202" s="150" t="s">
        <v>1753</v>
      </c>
      <c r="D202" s="151">
        <v>0</v>
      </c>
      <c r="E202" s="152">
        <v>0</v>
      </c>
      <c r="F202" s="151">
        <v>0</v>
      </c>
      <c r="G202" s="152">
        <v>1123</v>
      </c>
      <c r="H202" s="151">
        <v>0</v>
      </c>
      <c r="I202" s="152">
        <v>0</v>
      </c>
      <c r="J202" s="151">
        <v>0</v>
      </c>
      <c r="K202" s="152">
        <v>0</v>
      </c>
      <c r="L202" s="151">
        <v>992.60840749740601</v>
      </c>
      <c r="M202" s="152">
        <v>992.60840749740601</v>
      </c>
      <c r="N202" s="151">
        <v>0</v>
      </c>
      <c r="O202" s="152">
        <v>0</v>
      </c>
      <c r="P202" s="151">
        <v>0</v>
      </c>
      <c r="Q202" s="152">
        <v>0</v>
      </c>
      <c r="R202" s="151">
        <v>0</v>
      </c>
      <c r="S202" s="152">
        <v>0</v>
      </c>
      <c r="T202" s="151">
        <v>0</v>
      </c>
      <c r="U202" s="153">
        <v>0</v>
      </c>
      <c r="V202" t="str">
        <f>VLOOKUP(A202,'Projetos ciclo 2018-2022'!$I$7:$I$318,1,FALSE)</f>
        <v>TI06518</v>
      </c>
    </row>
    <row r="203" spans="1:22" x14ac:dyDescent="0.25">
      <c r="A203" s="21" t="s">
        <v>1798</v>
      </c>
      <c r="B203" s="154" t="s">
        <v>854</v>
      </c>
      <c r="C203" s="154" t="s">
        <v>1799</v>
      </c>
      <c r="D203" s="155">
        <v>0</v>
      </c>
      <c r="E203" s="158">
        <v>0</v>
      </c>
      <c r="F203" s="155">
        <v>0</v>
      </c>
      <c r="G203" s="158">
        <v>12</v>
      </c>
      <c r="H203" s="155">
        <v>0</v>
      </c>
      <c r="I203" s="158">
        <v>0</v>
      </c>
      <c r="J203" s="155">
        <v>0</v>
      </c>
      <c r="K203" s="158">
        <v>0</v>
      </c>
      <c r="L203" s="155">
        <v>11</v>
      </c>
      <c r="M203" s="158">
        <v>11</v>
      </c>
      <c r="N203" s="155">
        <v>0</v>
      </c>
      <c r="O203" s="158">
        <v>0</v>
      </c>
      <c r="P203" s="155">
        <v>0</v>
      </c>
      <c r="Q203" s="158">
        <v>0</v>
      </c>
      <c r="R203" s="155">
        <v>0</v>
      </c>
      <c r="S203" s="158">
        <v>0</v>
      </c>
      <c r="T203" s="155">
        <v>0</v>
      </c>
      <c r="U203" s="157">
        <v>0</v>
      </c>
      <c r="V203" t="str">
        <f>VLOOKUP(A203,'Projetos ciclo 2018-2022'!$I$7:$I$318,1,FALSE)</f>
        <v>TI06718</v>
      </c>
    </row>
    <row r="204" spans="1:22" x14ac:dyDescent="0.25">
      <c r="A204" s="149" t="s">
        <v>1800</v>
      </c>
      <c r="B204" s="150" t="s">
        <v>1796</v>
      </c>
      <c r="C204" s="150" t="s">
        <v>1801</v>
      </c>
      <c r="D204" s="151">
        <v>0</v>
      </c>
      <c r="E204" s="152">
        <v>0</v>
      </c>
      <c r="F204" s="151">
        <v>0</v>
      </c>
      <c r="G204" s="152">
        <v>99</v>
      </c>
      <c r="H204" s="151">
        <v>0</v>
      </c>
      <c r="I204" s="152">
        <v>0</v>
      </c>
      <c r="J204" s="151">
        <v>0</v>
      </c>
      <c r="K204" s="152">
        <v>0</v>
      </c>
      <c r="L204" s="151">
        <v>99.022499084472656</v>
      </c>
      <c r="M204" s="152">
        <v>99.022499084472656</v>
      </c>
      <c r="N204" s="151">
        <v>0</v>
      </c>
      <c r="O204" s="152">
        <v>0</v>
      </c>
      <c r="P204" s="151">
        <v>0</v>
      </c>
      <c r="Q204" s="152">
        <v>0</v>
      </c>
      <c r="R204" s="151">
        <v>0</v>
      </c>
      <c r="S204" s="152">
        <v>0</v>
      </c>
      <c r="T204" s="151">
        <v>0</v>
      </c>
      <c r="U204" s="153">
        <v>0</v>
      </c>
      <c r="V204" t="str">
        <f>VLOOKUP(A204,'Projetos ciclo 2018-2022'!$I$7:$I$318,1,FALSE)</f>
        <v>TI07018</v>
      </c>
    </row>
    <row r="205" spans="1:22" x14ac:dyDescent="0.25">
      <c r="A205" s="21" t="s">
        <v>1915</v>
      </c>
      <c r="B205" s="154" t="s">
        <v>1916</v>
      </c>
      <c r="C205" s="154" t="s">
        <v>1917</v>
      </c>
      <c r="D205" s="155">
        <v>0</v>
      </c>
      <c r="E205" s="158">
        <v>0</v>
      </c>
      <c r="F205" s="155">
        <v>0</v>
      </c>
      <c r="G205" s="158">
        <v>69</v>
      </c>
      <c r="H205" s="155">
        <v>0</v>
      </c>
      <c r="I205" s="158">
        <v>0</v>
      </c>
      <c r="J205" s="155">
        <v>0</v>
      </c>
      <c r="K205" s="158">
        <v>0</v>
      </c>
      <c r="L205" s="155">
        <v>0</v>
      </c>
      <c r="M205" s="158">
        <v>0</v>
      </c>
      <c r="N205" s="155">
        <v>0</v>
      </c>
      <c r="O205" s="158">
        <v>0</v>
      </c>
      <c r="P205" s="155">
        <v>0</v>
      </c>
      <c r="Q205" s="158">
        <v>0</v>
      </c>
      <c r="R205" s="155">
        <v>0</v>
      </c>
      <c r="S205" s="158">
        <v>0</v>
      </c>
      <c r="T205" s="155">
        <v>0</v>
      </c>
      <c r="U205" s="157">
        <v>0</v>
      </c>
      <c r="V205" t="str">
        <f>VLOOKUP(A205,'Projetos ciclo 2018-2022'!$I$7:$I$318,1,FALSE)</f>
        <v>TI07418</v>
      </c>
    </row>
    <row r="206" spans="1:22" x14ac:dyDescent="0.25">
      <c r="A206" s="149" t="s">
        <v>1918</v>
      </c>
      <c r="B206" s="150" t="s">
        <v>1919</v>
      </c>
      <c r="C206" s="150" t="s">
        <v>1920</v>
      </c>
      <c r="D206" s="151">
        <v>0</v>
      </c>
      <c r="E206" s="152">
        <v>0</v>
      </c>
      <c r="F206" s="151">
        <v>0</v>
      </c>
      <c r="G206" s="152">
        <v>485</v>
      </c>
      <c r="H206" s="151">
        <v>0</v>
      </c>
      <c r="I206" s="152">
        <v>0</v>
      </c>
      <c r="J206" s="151">
        <v>0</v>
      </c>
      <c r="K206" s="152">
        <v>0</v>
      </c>
      <c r="L206" s="151">
        <v>485</v>
      </c>
      <c r="M206" s="152">
        <v>485</v>
      </c>
      <c r="N206" s="151">
        <v>0</v>
      </c>
      <c r="O206" s="152">
        <v>0</v>
      </c>
      <c r="P206" s="151">
        <v>0</v>
      </c>
      <c r="Q206" s="152">
        <v>0</v>
      </c>
      <c r="R206" s="151">
        <v>0</v>
      </c>
      <c r="S206" s="152">
        <v>0</v>
      </c>
      <c r="T206" s="151">
        <v>0</v>
      </c>
      <c r="U206" s="153">
        <v>0</v>
      </c>
      <c r="V206" t="str">
        <f>VLOOKUP(A206,'Projetos ciclo 2018-2022'!$I$7:$I$318,1,FALSE)</f>
        <v>TI07518</v>
      </c>
    </row>
    <row r="207" spans="1:22" x14ac:dyDescent="0.25">
      <c r="A207" s="21" t="s">
        <v>1947</v>
      </c>
      <c r="B207" s="154" t="s">
        <v>1948</v>
      </c>
      <c r="C207" s="154" t="s">
        <v>1949</v>
      </c>
      <c r="D207" s="155">
        <v>0</v>
      </c>
      <c r="E207" s="158">
        <v>0</v>
      </c>
      <c r="F207" s="155">
        <v>0</v>
      </c>
      <c r="G207" s="158">
        <v>115</v>
      </c>
      <c r="H207" s="155">
        <v>0</v>
      </c>
      <c r="I207" s="158">
        <v>0</v>
      </c>
      <c r="J207" s="155">
        <v>0</v>
      </c>
      <c r="K207" s="158">
        <v>0</v>
      </c>
      <c r="L207" s="155">
        <v>114.364501953125</v>
      </c>
      <c r="M207" s="158">
        <v>114.364501953125</v>
      </c>
      <c r="N207" s="155">
        <v>0</v>
      </c>
      <c r="O207" s="158">
        <v>0</v>
      </c>
      <c r="P207" s="155">
        <v>0</v>
      </c>
      <c r="Q207" s="158">
        <v>0</v>
      </c>
      <c r="R207" s="155">
        <v>0</v>
      </c>
      <c r="S207" s="158">
        <v>0</v>
      </c>
      <c r="T207" s="155">
        <v>0</v>
      </c>
      <c r="U207" s="157">
        <v>0</v>
      </c>
      <c r="V207" t="str">
        <f>VLOOKUP(A207,'Projetos ciclo 2018-2022'!$I$7:$I$318,1,FALSE)</f>
        <v>TI08218</v>
      </c>
    </row>
    <row r="208" spans="1:22" x14ac:dyDescent="0.25">
      <c r="A208" s="149" t="s">
        <v>1980</v>
      </c>
      <c r="B208" s="150" t="s">
        <v>2000</v>
      </c>
      <c r="C208" s="150" t="s">
        <v>2001</v>
      </c>
      <c r="D208" s="151">
        <v>0</v>
      </c>
      <c r="E208" s="152">
        <v>0</v>
      </c>
      <c r="F208" s="151">
        <v>0</v>
      </c>
      <c r="G208" s="152">
        <v>50</v>
      </c>
      <c r="H208" s="151">
        <v>0</v>
      </c>
      <c r="I208" s="152">
        <v>0</v>
      </c>
      <c r="J208" s="151">
        <v>0</v>
      </c>
      <c r="K208" s="152">
        <v>0</v>
      </c>
      <c r="L208" s="151">
        <v>50</v>
      </c>
      <c r="M208" s="152">
        <v>50</v>
      </c>
      <c r="N208" s="151">
        <v>0</v>
      </c>
      <c r="O208" s="152">
        <v>0</v>
      </c>
      <c r="P208" s="151">
        <v>0</v>
      </c>
      <c r="Q208" s="152">
        <v>0</v>
      </c>
      <c r="R208" s="151">
        <v>0</v>
      </c>
      <c r="S208" s="152">
        <v>0</v>
      </c>
      <c r="T208" s="151">
        <v>0</v>
      </c>
      <c r="U208" s="153">
        <v>0</v>
      </c>
      <c r="V208" t="str">
        <f>VLOOKUP(A208,'Projetos ciclo 2018-2022'!$I$7:$I$318,1,FALSE)</f>
        <v>TI08318</v>
      </c>
    </row>
    <row r="209" spans="1:22" x14ac:dyDescent="0.25">
      <c r="A209" s="21" t="s">
        <v>2002</v>
      </c>
      <c r="B209" s="154" t="s">
        <v>2003</v>
      </c>
      <c r="C209" s="154" t="s">
        <v>2004</v>
      </c>
      <c r="D209" s="155">
        <v>0</v>
      </c>
      <c r="E209" s="158">
        <v>0</v>
      </c>
      <c r="F209" s="155">
        <v>0</v>
      </c>
      <c r="G209" s="158">
        <v>50</v>
      </c>
      <c r="H209" s="155">
        <v>0</v>
      </c>
      <c r="I209" s="158">
        <v>0</v>
      </c>
      <c r="J209" s="155">
        <v>0</v>
      </c>
      <c r="K209" s="158">
        <v>0</v>
      </c>
      <c r="L209" s="155">
        <v>49.999950408935547</v>
      </c>
      <c r="M209" s="158">
        <v>49.999950408935547</v>
      </c>
      <c r="N209" s="155">
        <v>0</v>
      </c>
      <c r="O209" s="158">
        <v>0</v>
      </c>
      <c r="P209" s="155">
        <v>0</v>
      </c>
      <c r="Q209" s="158">
        <v>0</v>
      </c>
      <c r="R209" s="155">
        <v>0</v>
      </c>
      <c r="S209" s="158">
        <v>0</v>
      </c>
      <c r="T209" s="155">
        <v>0</v>
      </c>
      <c r="U209" s="157">
        <v>0</v>
      </c>
      <c r="V209" t="str">
        <f>VLOOKUP(A209,'Projetos ciclo 2018-2022'!$I$7:$I$318,1,FALSE)</f>
        <v>TI08418</v>
      </c>
    </row>
    <row r="210" spans="1:22" x14ac:dyDescent="0.25">
      <c r="A210" s="149" t="s">
        <v>2018</v>
      </c>
      <c r="B210" s="150" t="s">
        <v>2019</v>
      </c>
      <c r="C210" s="150" t="s">
        <v>2020</v>
      </c>
      <c r="D210" s="151">
        <v>0</v>
      </c>
      <c r="E210" s="152">
        <v>0</v>
      </c>
      <c r="F210" s="151">
        <v>0</v>
      </c>
      <c r="G210" s="152">
        <v>200</v>
      </c>
      <c r="H210" s="151">
        <v>0</v>
      </c>
      <c r="I210" s="152">
        <v>0</v>
      </c>
      <c r="J210" s="151">
        <v>0</v>
      </c>
      <c r="K210" s="152">
        <v>0</v>
      </c>
      <c r="L210" s="151">
        <v>200.10000610351562</v>
      </c>
      <c r="M210" s="152">
        <v>200.10000610351562</v>
      </c>
      <c r="N210" s="151">
        <v>0</v>
      </c>
      <c r="O210" s="152">
        <v>0</v>
      </c>
      <c r="P210" s="151">
        <v>0</v>
      </c>
      <c r="Q210" s="152">
        <v>0</v>
      </c>
      <c r="R210" s="151">
        <v>0</v>
      </c>
      <c r="S210" s="152">
        <v>0</v>
      </c>
      <c r="T210" s="151">
        <v>0</v>
      </c>
      <c r="U210" s="153">
        <v>0</v>
      </c>
      <c r="V210" t="str">
        <f>VLOOKUP(A210,'Projetos ciclo 2018-2022'!$I$7:$I$318,1,FALSE)</f>
        <v>TI08518</v>
      </c>
    </row>
    <row r="211" spans="1:22" x14ac:dyDescent="0.25">
      <c r="A211" s="21" t="s">
        <v>2058</v>
      </c>
      <c r="B211" s="154" t="s">
        <v>1790</v>
      </c>
      <c r="C211" s="154" t="s">
        <v>2059</v>
      </c>
      <c r="D211" s="155">
        <v>0</v>
      </c>
      <c r="E211" s="158">
        <v>0</v>
      </c>
      <c r="F211" s="155">
        <v>0</v>
      </c>
      <c r="G211" s="158">
        <v>2400</v>
      </c>
      <c r="H211" s="155">
        <v>0</v>
      </c>
      <c r="I211" s="158">
        <v>0</v>
      </c>
      <c r="J211" s="155">
        <v>0</v>
      </c>
      <c r="K211" s="158">
        <v>0</v>
      </c>
      <c r="L211" s="155">
        <v>0</v>
      </c>
      <c r="M211" s="158">
        <v>0</v>
      </c>
      <c r="N211" s="155">
        <v>0</v>
      </c>
      <c r="O211" s="158">
        <v>0</v>
      </c>
      <c r="P211" s="155">
        <v>0</v>
      </c>
      <c r="Q211" s="158">
        <v>0</v>
      </c>
      <c r="R211" s="155">
        <v>0</v>
      </c>
      <c r="S211" s="158">
        <v>0</v>
      </c>
      <c r="T211" s="155">
        <v>0</v>
      </c>
      <c r="U211" s="157">
        <v>0</v>
      </c>
      <c r="V211" t="e">
        <f>VLOOKUP(A211,'Projetos ciclo 2018-2022'!$I$7:$I$318,1,FALSE)</f>
        <v>#N/A</v>
      </c>
    </row>
    <row r="212" spans="1:22" x14ac:dyDescent="0.25">
      <c r="A212" s="149" t="s">
        <v>1194</v>
      </c>
      <c r="B212" s="150" t="s">
        <v>1392</v>
      </c>
      <c r="C212" s="150" t="s">
        <v>59</v>
      </c>
      <c r="D212" s="151">
        <v>0</v>
      </c>
      <c r="E212" s="152">
        <v>0</v>
      </c>
      <c r="F212" s="151">
        <v>0</v>
      </c>
      <c r="G212" s="152">
        <v>0</v>
      </c>
      <c r="H212" s="151">
        <v>0</v>
      </c>
      <c r="I212" s="152">
        <v>0</v>
      </c>
      <c r="J212" s="151">
        <v>0</v>
      </c>
      <c r="K212" s="152">
        <v>0</v>
      </c>
      <c r="L212" s="151">
        <v>0</v>
      </c>
      <c r="M212" s="152">
        <v>0</v>
      </c>
      <c r="N212" s="151">
        <v>0</v>
      </c>
      <c r="O212" s="152">
        <v>0</v>
      </c>
      <c r="P212" s="151">
        <v>0</v>
      </c>
      <c r="Q212" s="152">
        <v>0</v>
      </c>
      <c r="R212" s="151">
        <v>0</v>
      </c>
      <c r="S212" s="152">
        <v>0</v>
      </c>
      <c r="T212" s="151">
        <v>0</v>
      </c>
      <c r="U212" s="153">
        <v>0</v>
      </c>
      <c r="V212" t="e">
        <f>VLOOKUP(A212,'Projetos ciclo 2018-2022'!$I$7:$I$318,1,FALSE)</f>
        <v>#N/A</v>
      </c>
    </row>
    <row r="213" spans="1:22" x14ac:dyDescent="0.25">
      <c r="A213" s="21" t="s">
        <v>1196</v>
      </c>
      <c r="B213" s="154" t="s">
        <v>1197</v>
      </c>
      <c r="C213" s="154" t="s">
        <v>59</v>
      </c>
      <c r="D213" s="155">
        <v>0</v>
      </c>
      <c r="E213" s="158">
        <v>0</v>
      </c>
      <c r="F213" s="155">
        <v>0</v>
      </c>
      <c r="G213" s="158">
        <v>0</v>
      </c>
      <c r="H213" s="155">
        <v>0</v>
      </c>
      <c r="I213" s="158">
        <v>0</v>
      </c>
      <c r="J213" s="155">
        <v>0</v>
      </c>
      <c r="K213" s="158">
        <v>0</v>
      </c>
      <c r="L213" s="155">
        <v>0</v>
      </c>
      <c r="M213" s="158">
        <v>0</v>
      </c>
      <c r="N213" s="155">
        <v>0</v>
      </c>
      <c r="O213" s="158">
        <v>0</v>
      </c>
      <c r="P213" s="155">
        <v>0</v>
      </c>
      <c r="Q213" s="158">
        <v>0</v>
      </c>
      <c r="R213" s="155">
        <v>0</v>
      </c>
      <c r="S213" s="158">
        <v>0</v>
      </c>
      <c r="T213" s="155">
        <v>0</v>
      </c>
      <c r="U213" s="157">
        <v>0</v>
      </c>
      <c r="V213" t="e">
        <f>VLOOKUP(A213,'Projetos ciclo 2018-2022'!$I$7:$I$318,1,FALSE)</f>
        <v>#N/A</v>
      </c>
    </row>
    <row r="214" spans="1:22" x14ac:dyDescent="0.25">
      <c r="A214" s="149" t="s">
        <v>1393</v>
      </c>
      <c r="B214" s="150" t="s">
        <v>1394</v>
      </c>
      <c r="C214" s="150" t="s">
        <v>1510</v>
      </c>
      <c r="D214" s="151">
        <v>1746</v>
      </c>
      <c r="E214" s="152">
        <v>0</v>
      </c>
      <c r="F214" s="151">
        <v>90</v>
      </c>
      <c r="G214" s="152">
        <v>0</v>
      </c>
      <c r="H214" s="151">
        <v>0</v>
      </c>
      <c r="I214" s="152">
        <v>0</v>
      </c>
      <c r="J214" s="151">
        <v>0</v>
      </c>
      <c r="K214" s="152">
        <v>0</v>
      </c>
      <c r="L214" s="151">
        <v>0</v>
      </c>
      <c r="M214" s="152">
        <v>0</v>
      </c>
      <c r="N214" s="151">
        <v>1656</v>
      </c>
      <c r="O214" s="152">
        <v>0</v>
      </c>
      <c r="P214" s="151">
        <v>0</v>
      </c>
      <c r="Q214" s="152">
        <v>0</v>
      </c>
      <c r="R214" s="151">
        <v>0</v>
      </c>
      <c r="S214" s="152">
        <v>0</v>
      </c>
      <c r="T214" s="151">
        <v>0</v>
      </c>
      <c r="U214" s="153">
        <v>0</v>
      </c>
      <c r="V214" t="e">
        <f>VLOOKUP(A214,'Projetos ciclo 2018-2022'!$I$7:$I$318,1,FALSE)</f>
        <v>#N/A</v>
      </c>
    </row>
    <row r="215" spans="1:22" x14ac:dyDescent="0.25">
      <c r="A215" s="21" t="s">
        <v>1426</v>
      </c>
      <c r="B215" s="154" t="s">
        <v>1511</v>
      </c>
      <c r="C215" s="154" t="s">
        <v>1512</v>
      </c>
      <c r="D215" s="155">
        <v>0</v>
      </c>
      <c r="E215" s="158">
        <v>0</v>
      </c>
      <c r="F215" s="155">
        <v>0</v>
      </c>
      <c r="G215" s="158">
        <v>0</v>
      </c>
      <c r="H215" s="155">
        <v>0</v>
      </c>
      <c r="I215" s="158">
        <v>0</v>
      </c>
      <c r="J215" s="155">
        <v>0</v>
      </c>
      <c r="K215" s="158">
        <v>0</v>
      </c>
      <c r="L215" s="155">
        <v>0</v>
      </c>
      <c r="M215" s="158">
        <v>0</v>
      </c>
      <c r="N215" s="155">
        <v>0</v>
      </c>
      <c r="O215" s="158">
        <v>0</v>
      </c>
      <c r="P215" s="155">
        <v>0</v>
      </c>
      <c r="Q215" s="158">
        <v>0</v>
      </c>
      <c r="R215" s="155">
        <v>0</v>
      </c>
      <c r="S215" s="158">
        <v>0</v>
      </c>
      <c r="T215" s="155">
        <v>0</v>
      </c>
      <c r="U215" s="157">
        <v>0</v>
      </c>
      <c r="V215" t="str">
        <f>VLOOKUP(A215,'Projetos ciclo 2018-2022'!$I$7:$I$318,1,FALSE)</f>
        <v>MD00218</v>
      </c>
    </row>
    <row r="216" spans="1:22" x14ac:dyDescent="0.25">
      <c r="A216" s="149" t="s">
        <v>2037</v>
      </c>
      <c r="B216" s="150" t="s">
        <v>2038</v>
      </c>
      <c r="C216" s="150" t="s">
        <v>2039</v>
      </c>
      <c r="D216" s="151">
        <v>0</v>
      </c>
      <c r="E216" s="152">
        <v>0</v>
      </c>
      <c r="F216" s="151">
        <v>0</v>
      </c>
      <c r="G216" s="152">
        <v>90</v>
      </c>
      <c r="H216" s="151">
        <v>0</v>
      </c>
      <c r="I216" s="152">
        <v>0</v>
      </c>
      <c r="J216" s="151">
        <v>0</v>
      </c>
      <c r="K216" s="152">
        <v>0</v>
      </c>
      <c r="L216" s="151">
        <v>0</v>
      </c>
      <c r="M216" s="152">
        <v>0</v>
      </c>
      <c r="N216" s="151">
        <v>0</v>
      </c>
      <c r="O216" s="152">
        <v>0</v>
      </c>
      <c r="P216" s="151">
        <v>0</v>
      </c>
      <c r="Q216" s="152">
        <v>0</v>
      </c>
      <c r="R216" s="151">
        <v>0</v>
      </c>
      <c r="S216" s="152">
        <v>0</v>
      </c>
      <c r="T216" s="151">
        <v>0</v>
      </c>
      <c r="U216" s="153">
        <v>0</v>
      </c>
      <c r="V216" t="str">
        <f>VLOOKUP(A216,'Projetos ciclo 2018-2022'!$I$7:$I$318,1,FALSE)</f>
        <v>MD00418</v>
      </c>
    </row>
    <row r="217" spans="1:22" x14ac:dyDescent="0.25">
      <c r="A217" s="21" t="s">
        <v>565</v>
      </c>
      <c r="B217" s="154" t="s">
        <v>1198</v>
      </c>
      <c r="C217" s="154" t="s">
        <v>59</v>
      </c>
      <c r="D217" s="155">
        <v>3710</v>
      </c>
      <c r="E217" s="158">
        <v>0</v>
      </c>
      <c r="F217" s="155">
        <v>0</v>
      </c>
      <c r="G217" s="158">
        <v>0</v>
      </c>
      <c r="H217" s="155">
        <v>0</v>
      </c>
      <c r="I217" s="158">
        <v>0</v>
      </c>
      <c r="J217" s="155">
        <v>0</v>
      </c>
      <c r="K217" s="158">
        <v>0</v>
      </c>
      <c r="L217" s="155">
        <v>0</v>
      </c>
      <c r="M217" s="158">
        <v>0</v>
      </c>
      <c r="N217" s="155">
        <v>208</v>
      </c>
      <c r="O217" s="158">
        <v>2982</v>
      </c>
      <c r="P217" s="155">
        <v>350</v>
      </c>
      <c r="Q217" s="158">
        <v>170</v>
      </c>
      <c r="R217" s="155">
        <v>0</v>
      </c>
      <c r="S217" s="158">
        <v>0</v>
      </c>
      <c r="T217" s="155">
        <v>0</v>
      </c>
      <c r="U217" s="157">
        <v>0</v>
      </c>
      <c r="V217" t="str">
        <f>VLOOKUP(A217,'Projetos ciclo 2018-2022'!$I$7:$I$318,1,FALSE)</f>
        <v>NA</v>
      </c>
    </row>
    <row r="218" spans="1:22" x14ac:dyDescent="0.25">
      <c r="A218" s="149" t="s">
        <v>1199</v>
      </c>
      <c r="B218" s="150" t="s">
        <v>1200</v>
      </c>
      <c r="C218" s="150" t="s">
        <v>59</v>
      </c>
      <c r="D218" s="151">
        <v>3092</v>
      </c>
      <c r="E218" s="152">
        <v>0</v>
      </c>
      <c r="F218" s="151">
        <v>0</v>
      </c>
      <c r="G218" s="152">
        <v>0</v>
      </c>
      <c r="H218" s="151">
        <v>0</v>
      </c>
      <c r="I218" s="152">
        <v>0</v>
      </c>
      <c r="J218" s="151">
        <v>0</v>
      </c>
      <c r="K218" s="152">
        <v>0</v>
      </c>
      <c r="L218" s="151">
        <v>0</v>
      </c>
      <c r="M218" s="152">
        <v>0</v>
      </c>
      <c r="N218" s="151">
        <v>0</v>
      </c>
      <c r="O218" s="152">
        <v>0</v>
      </c>
      <c r="P218" s="151">
        <v>0</v>
      </c>
      <c r="Q218" s="152">
        <v>0</v>
      </c>
      <c r="R218" s="151">
        <v>0</v>
      </c>
      <c r="S218" s="152">
        <v>0</v>
      </c>
      <c r="T218" s="151">
        <v>0</v>
      </c>
      <c r="U218" s="153">
        <v>0</v>
      </c>
      <c r="V218" t="e">
        <f>VLOOKUP(A218,'Projetos ciclo 2018-2022'!$I$7:$I$318,1,FALSE)</f>
        <v>#N/A</v>
      </c>
    </row>
    <row r="219" spans="1:22" x14ac:dyDescent="0.25">
      <c r="A219" s="21" t="s">
        <v>1194</v>
      </c>
      <c r="B219" s="154" t="s">
        <v>1315</v>
      </c>
      <c r="C219" s="154" t="s">
        <v>59</v>
      </c>
      <c r="D219" s="155">
        <v>0</v>
      </c>
      <c r="E219" s="158">
        <v>0</v>
      </c>
      <c r="F219" s="155">
        <v>0</v>
      </c>
      <c r="G219" s="158">
        <v>0</v>
      </c>
      <c r="H219" s="155">
        <v>0</v>
      </c>
      <c r="I219" s="158">
        <v>0</v>
      </c>
      <c r="J219" s="155">
        <v>0</v>
      </c>
      <c r="K219" s="158">
        <v>0</v>
      </c>
      <c r="L219" s="155">
        <v>0</v>
      </c>
      <c r="M219" s="158">
        <v>0</v>
      </c>
      <c r="N219" s="155">
        <v>0</v>
      </c>
      <c r="O219" s="158">
        <v>0</v>
      </c>
      <c r="P219" s="155">
        <v>0</v>
      </c>
      <c r="Q219" s="158">
        <v>0</v>
      </c>
      <c r="R219" s="155">
        <v>0</v>
      </c>
      <c r="S219" s="158">
        <v>0</v>
      </c>
      <c r="T219" s="155">
        <v>0</v>
      </c>
      <c r="U219" s="157">
        <v>0</v>
      </c>
      <c r="V219" t="e">
        <f>VLOOKUP(A219,'Projetos ciclo 2018-2022'!$I$7:$I$318,1,FALSE)</f>
        <v>#N/A</v>
      </c>
    </row>
    <row r="220" spans="1:22" x14ac:dyDescent="0.25">
      <c r="A220" s="149" t="s">
        <v>1196</v>
      </c>
      <c r="B220" s="150" t="s">
        <v>1197</v>
      </c>
      <c r="C220" s="150" t="s">
        <v>59</v>
      </c>
      <c r="D220" s="151">
        <v>0</v>
      </c>
      <c r="E220" s="152">
        <v>0</v>
      </c>
      <c r="F220" s="151">
        <v>0</v>
      </c>
      <c r="G220" s="152">
        <v>0</v>
      </c>
      <c r="H220" s="151">
        <v>0</v>
      </c>
      <c r="I220" s="152">
        <v>0</v>
      </c>
      <c r="J220" s="151">
        <v>0</v>
      </c>
      <c r="K220" s="152">
        <v>0</v>
      </c>
      <c r="L220" s="151">
        <v>0</v>
      </c>
      <c r="M220" s="152">
        <v>0</v>
      </c>
      <c r="N220" s="151">
        <v>0</v>
      </c>
      <c r="O220" s="152">
        <v>0</v>
      </c>
      <c r="P220" s="151">
        <v>0</v>
      </c>
      <c r="Q220" s="152">
        <v>0</v>
      </c>
      <c r="R220" s="151">
        <v>0</v>
      </c>
      <c r="S220" s="152">
        <v>0</v>
      </c>
      <c r="T220" s="151">
        <v>0</v>
      </c>
      <c r="U220" s="153">
        <v>0</v>
      </c>
      <c r="V220" t="e">
        <f>VLOOKUP(A220,'Projetos ciclo 2018-2022'!$I$7:$I$318,1,FALSE)</f>
        <v>#N/A</v>
      </c>
    </row>
    <row r="221" spans="1:22" x14ac:dyDescent="0.25">
      <c r="A221" s="21" t="s">
        <v>565</v>
      </c>
      <c r="B221" s="154" t="s">
        <v>1396</v>
      </c>
      <c r="C221" s="154" t="s">
        <v>59</v>
      </c>
      <c r="D221" s="155">
        <v>625</v>
      </c>
      <c r="E221" s="158">
        <v>0</v>
      </c>
      <c r="F221" s="155">
        <v>0</v>
      </c>
      <c r="G221" s="158">
        <v>0</v>
      </c>
      <c r="H221" s="155">
        <v>0</v>
      </c>
      <c r="I221" s="158">
        <v>0</v>
      </c>
      <c r="J221" s="155">
        <v>0</v>
      </c>
      <c r="K221" s="158">
        <v>0</v>
      </c>
      <c r="L221" s="155">
        <v>0</v>
      </c>
      <c r="M221" s="158">
        <v>0</v>
      </c>
      <c r="N221" s="155">
        <v>75</v>
      </c>
      <c r="O221" s="158">
        <v>150</v>
      </c>
      <c r="P221" s="155">
        <v>150</v>
      </c>
      <c r="Q221" s="158">
        <v>250</v>
      </c>
      <c r="R221" s="155">
        <v>0</v>
      </c>
      <c r="S221" s="158">
        <v>0</v>
      </c>
      <c r="T221" s="155">
        <v>0</v>
      </c>
      <c r="U221" s="157">
        <v>0</v>
      </c>
      <c r="V221" t="str">
        <f>VLOOKUP(A221,'Projetos ciclo 2018-2022'!$I$7:$I$318,1,FALSE)</f>
        <v>NA</v>
      </c>
    </row>
    <row r="222" spans="1:22" x14ac:dyDescent="0.25">
      <c r="A222" s="149" t="s">
        <v>1199</v>
      </c>
      <c r="B222" s="150" t="s">
        <v>1200</v>
      </c>
      <c r="C222" s="150" t="s">
        <v>59</v>
      </c>
      <c r="D222" s="151">
        <v>0</v>
      </c>
      <c r="E222" s="152">
        <v>0</v>
      </c>
      <c r="F222" s="151">
        <v>0</v>
      </c>
      <c r="G222" s="152">
        <v>0</v>
      </c>
      <c r="H222" s="151">
        <v>0</v>
      </c>
      <c r="I222" s="152">
        <v>0</v>
      </c>
      <c r="J222" s="151">
        <v>0</v>
      </c>
      <c r="K222" s="152">
        <v>0</v>
      </c>
      <c r="L222" s="151">
        <v>0</v>
      </c>
      <c r="M222" s="152">
        <v>0</v>
      </c>
      <c r="N222" s="151">
        <v>0</v>
      </c>
      <c r="O222" s="152">
        <v>0</v>
      </c>
      <c r="P222" s="151">
        <v>0</v>
      </c>
      <c r="Q222" s="152">
        <v>0</v>
      </c>
      <c r="R222" s="151">
        <v>0</v>
      </c>
      <c r="S222" s="152">
        <v>0</v>
      </c>
      <c r="T222" s="151">
        <v>0</v>
      </c>
      <c r="U222" s="153">
        <v>0</v>
      </c>
      <c r="V222" t="e">
        <f>VLOOKUP(A222,'Projetos ciclo 2018-2022'!$I$7:$I$318,1,FALSE)</f>
        <v>#N/A</v>
      </c>
    </row>
    <row r="223" spans="1:22" x14ac:dyDescent="0.25">
      <c r="A223" s="21" t="s">
        <v>1397</v>
      </c>
      <c r="B223" s="154" t="s">
        <v>1398</v>
      </c>
      <c r="C223" s="154" t="s">
        <v>1399</v>
      </c>
      <c r="D223" s="155">
        <v>75</v>
      </c>
      <c r="E223" s="158">
        <v>0</v>
      </c>
      <c r="F223" s="155">
        <v>75</v>
      </c>
      <c r="G223" s="158">
        <v>0</v>
      </c>
      <c r="H223" s="155">
        <v>0</v>
      </c>
      <c r="I223" s="158">
        <v>0</v>
      </c>
      <c r="J223" s="155">
        <v>0</v>
      </c>
      <c r="K223" s="158">
        <v>0</v>
      </c>
      <c r="L223" s="155">
        <v>0</v>
      </c>
      <c r="M223" s="158">
        <v>0</v>
      </c>
      <c r="N223" s="155">
        <v>0</v>
      </c>
      <c r="O223" s="158">
        <v>0</v>
      </c>
      <c r="P223" s="155">
        <v>0</v>
      </c>
      <c r="Q223" s="158">
        <v>0</v>
      </c>
      <c r="R223" s="155">
        <v>0</v>
      </c>
      <c r="S223" s="158">
        <v>0</v>
      </c>
      <c r="T223" s="155">
        <v>0</v>
      </c>
      <c r="U223" s="157">
        <v>0</v>
      </c>
      <c r="V223" t="e">
        <f>VLOOKUP(A223,'Projetos ciclo 2018-2022'!$I$7:$I$318,1,FALSE)</f>
        <v>#N/A</v>
      </c>
    </row>
    <row r="224" spans="1:22" x14ac:dyDescent="0.25">
      <c r="A224" s="149" t="s">
        <v>1482</v>
      </c>
      <c r="B224" s="150" t="s">
        <v>1463</v>
      </c>
      <c r="C224" s="150" t="s">
        <v>1483</v>
      </c>
      <c r="D224" s="151">
        <v>0</v>
      </c>
      <c r="E224" s="152">
        <v>0</v>
      </c>
      <c r="F224" s="151">
        <v>0</v>
      </c>
      <c r="G224" s="152">
        <v>75</v>
      </c>
      <c r="H224" s="151">
        <v>0</v>
      </c>
      <c r="I224" s="152">
        <v>0</v>
      </c>
      <c r="J224" s="151">
        <v>0</v>
      </c>
      <c r="K224" s="152">
        <v>0</v>
      </c>
      <c r="L224" s="151">
        <v>47.248001098632812</v>
      </c>
      <c r="M224" s="152">
        <v>47.248001098632812</v>
      </c>
      <c r="N224" s="151">
        <v>0</v>
      </c>
      <c r="O224" s="152">
        <v>0</v>
      </c>
      <c r="P224" s="151">
        <v>0</v>
      </c>
      <c r="Q224" s="152">
        <v>0</v>
      </c>
      <c r="R224" s="151">
        <v>0</v>
      </c>
      <c r="S224" s="152">
        <v>0</v>
      </c>
      <c r="T224" s="151">
        <v>0</v>
      </c>
      <c r="U224" s="153">
        <v>0</v>
      </c>
      <c r="V224" t="str">
        <f>VLOOKUP(A224,'Projetos ciclo 2018-2022'!$I$7:$I$318,1,FALSE)</f>
        <v>TI04518</v>
      </c>
    </row>
    <row r="225" spans="1:21" x14ac:dyDescent="0.25">
      <c r="A225" s="21" t="s">
        <v>1194</v>
      </c>
      <c r="B225" s="154" t="s">
        <v>1400</v>
      </c>
      <c r="C225" s="154" t="s">
        <v>59</v>
      </c>
      <c r="D225" s="155">
        <v>0</v>
      </c>
      <c r="E225" s="158">
        <v>0</v>
      </c>
      <c r="F225" s="155">
        <v>0</v>
      </c>
      <c r="G225" s="158">
        <v>0</v>
      </c>
      <c r="H225" s="155">
        <v>0</v>
      </c>
      <c r="I225" s="158">
        <v>0</v>
      </c>
      <c r="J225" s="155">
        <v>0</v>
      </c>
      <c r="K225" s="158">
        <v>0</v>
      </c>
      <c r="L225" s="155">
        <v>0</v>
      </c>
      <c r="M225" s="158">
        <v>0</v>
      </c>
      <c r="N225" s="155">
        <v>0</v>
      </c>
      <c r="O225" s="158">
        <v>0</v>
      </c>
      <c r="P225" s="155">
        <v>0</v>
      </c>
      <c r="Q225" s="158">
        <v>0</v>
      </c>
      <c r="R225" s="155">
        <v>0</v>
      </c>
      <c r="S225" s="158">
        <v>0</v>
      </c>
      <c r="T225" s="155">
        <v>0</v>
      </c>
      <c r="U225" s="157">
        <v>0</v>
      </c>
    </row>
    <row r="226" spans="1:21" x14ac:dyDescent="0.25">
      <c r="A226" s="149" t="s">
        <v>1196</v>
      </c>
      <c r="B226" s="150" t="s">
        <v>1197</v>
      </c>
      <c r="C226" s="150" t="s">
        <v>59</v>
      </c>
      <c r="D226" s="151">
        <v>0</v>
      </c>
      <c r="E226" s="152">
        <v>0</v>
      </c>
      <c r="F226" s="151">
        <v>0</v>
      </c>
      <c r="G226" s="152">
        <v>0</v>
      </c>
      <c r="H226" s="151">
        <v>0</v>
      </c>
      <c r="I226" s="152">
        <v>0</v>
      </c>
      <c r="J226" s="151">
        <v>0</v>
      </c>
      <c r="K226" s="152">
        <v>0</v>
      </c>
      <c r="L226" s="151">
        <v>0</v>
      </c>
      <c r="M226" s="152">
        <v>0</v>
      </c>
      <c r="N226" s="151">
        <v>0</v>
      </c>
      <c r="O226" s="152">
        <v>0</v>
      </c>
      <c r="P226" s="151">
        <v>0</v>
      </c>
      <c r="Q226" s="152">
        <v>0</v>
      </c>
      <c r="R226" s="151">
        <v>0</v>
      </c>
      <c r="S226" s="152">
        <v>0</v>
      </c>
      <c r="T226" s="151">
        <v>0</v>
      </c>
      <c r="U226" s="153">
        <v>0</v>
      </c>
    </row>
    <row r="227" spans="1:21" x14ac:dyDescent="0.25">
      <c r="A227" s="21" t="s">
        <v>565</v>
      </c>
      <c r="B227" s="154" t="s">
        <v>1401</v>
      </c>
      <c r="C227" s="154" t="s">
        <v>59</v>
      </c>
      <c r="D227" s="155">
        <v>571</v>
      </c>
      <c r="E227" s="158">
        <v>0</v>
      </c>
      <c r="F227" s="155">
        <v>0</v>
      </c>
      <c r="G227" s="158">
        <v>0</v>
      </c>
      <c r="H227" s="155">
        <v>0</v>
      </c>
      <c r="I227" s="158">
        <v>0</v>
      </c>
      <c r="J227" s="155">
        <v>0</v>
      </c>
      <c r="K227" s="158">
        <v>0</v>
      </c>
      <c r="L227" s="155">
        <v>0</v>
      </c>
      <c r="M227" s="158">
        <v>0</v>
      </c>
      <c r="N227" s="155">
        <v>135</v>
      </c>
      <c r="O227" s="158">
        <v>136</v>
      </c>
      <c r="P227" s="155">
        <v>150</v>
      </c>
      <c r="Q227" s="158">
        <v>150</v>
      </c>
      <c r="R227" s="155">
        <v>0</v>
      </c>
      <c r="S227" s="158">
        <v>0</v>
      </c>
      <c r="T227" s="155">
        <v>0</v>
      </c>
      <c r="U227" s="157">
        <v>0</v>
      </c>
    </row>
    <row r="228" spans="1:21" x14ac:dyDescent="0.25">
      <c r="A228" s="149" t="s">
        <v>1199</v>
      </c>
      <c r="B228" s="150" t="s">
        <v>1200</v>
      </c>
      <c r="C228" s="150" t="s">
        <v>59</v>
      </c>
      <c r="D228" s="151">
        <v>0</v>
      </c>
      <c r="E228" s="152">
        <v>0</v>
      </c>
      <c r="F228" s="151">
        <v>0</v>
      </c>
      <c r="G228" s="152">
        <v>0</v>
      </c>
      <c r="H228" s="151">
        <v>0</v>
      </c>
      <c r="I228" s="152">
        <v>0</v>
      </c>
      <c r="J228" s="151">
        <v>0</v>
      </c>
      <c r="K228" s="152">
        <v>0</v>
      </c>
      <c r="L228" s="151">
        <v>0</v>
      </c>
      <c r="M228" s="152">
        <v>0</v>
      </c>
      <c r="N228" s="151">
        <v>0</v>
      </c>
      <c r="O228" s="152">
        <v>0</v>
      </c>
      <c r="P228" s="151">
        <v>0</v>
      </c>
      <c r="Q228" s="152">
        <v>0</v>
      </c>
      <c r="R228" s="151">
        <v>0</v>
      </c>
      <c r="S228" s="152">
        <v>0</v>
      </c>
      <c r="T228" s="151">
        <v>0</v>
      </c>
      <c r="U228" s="153">
        <v>0</v>
      </c>
    </row>
    <row r="229" spans="1:21" ht="13.5" customHeight="1" x14ac:dyDescent="0.25">
      <c r="A229" s="21" t="s">
        <v>801</v>
      </c>
      <c r="B229" s="154" t="s">
        <v>1405</v>
      </c>
      <c r="C229" s="154" t="s">
        <v>1406</v>
      </c>
      <c r="D229" s="155">
        <v>0</v>
      </c>
      <c r="E229" s="158">
        <v>0</v>
      </c>
      <c r="F229" s="155">
        <v>0</v>
      </c>
      <c r="G229" s="158">
        <v>178</v>
      </c>
      <c r="H229" s="155">
        <v>0</v>
      </c>
      <c r="I229" s="158">
        <v>7.6050000190734863</v>
      </c>
      <c r="J229" s="155">
        <v>0</v>
      </c>
      <c r="K229" s="158">
        <v>7.6050000190734863</v>
      </c>
      <c r="L229" s="155">
        <v>0</v>
      </c>
      <c r="M229" s="158">
        <v>7.6050000190734863</v>
      </c>
      <c r="N229" s="155">
        <v>0</v>
      </c>
      <c r="O229" s="158">
        <v>0</v>
      </c>
      <c r="P229" s="155">
        <v>0</v>
      </c>
      <c r="Q229" s="158">
        <v>0</v>
      </c>
      <c r="R229" s="155">
        <v>0</v>
      </c>
      <c r="S229" s="158">
        <v>0</v>
      </c>
      <c r="T229" s="155">
        <v>0</v>
      </c>
      <c r="U229" s="157">
        <v>0</v>
      </c>
    </row>
    <row r="230" spans="1:21" x14ac:dyDescent="0.25">
      <c r="A230" s="149" t="s">
        <v>1397</v>
      </c>
      <c r="B230" s="150" t="s">
        <v>1407</v>
      </c>
      <c r="C230" s="150" t="s">
        <v>1408</v>
      </c>
      <c r="D230" s="151">
        <v>1318</v>
      </c>
      <c r="E230" s="152">
        <v>0</v>
      </c>
      <c r="F230" s="151">
        <v>1289</v>
      </c>
      <c r="G230" s="152">
        <v>0</v>
      </c>
      <c r="H230" s="151">
        <v>235</v>
      </c>
      <c r="I230" s="152">
        <v>0</v>
      </c>
      <c r="J230" s="151">
        <v>0</v>
      </c>
      <c r="K230" s="152">
        <v>0</v>
      </c>
      <c r="L230" s="151">
        <v>0</v>
      </c>
      <c r="M230" s="152">
        <v>0</v>
      </c>
      <c r="N230" s="151">
        <v>15</v>
      </c>
      <c r="O230" s="152">
        <v>14</v>
      </c>
      <c r="P230" s="151">
        <v>0</v>
      </c>
      <c r="Q230" s="152">
        <v>0</v>
      </c>
      <c r="R230" s="151">
        <v>0</v>
      </c>
      <c r="S230" s="152">
        <v>0</v>
      </c>
      <c r="T230" s="151">
        <v>0</v>
      </c>
      <c r="U230" s="153">
        <v>0</v>
      </c>
    </row>
    <row r="231" spans="1:21" x14ac:dyDescent="0.25">
      <c r="A231" s="21" t="s">
        <v>1802</v>
      </c>
      <c r="B231" s="154" t="s">
        <v>1796</v>
      </c>
      <c r="C231" s="154" t="s">
        <v>1803</v>
      </c>
      <c r="D231" s="155">
        <v>0</v>
      </c>
      <c r="E231" s="158">
        <v>0</v>
      </c>
      <c r="F231" s="155">
        <v>0</v>
      </c>
      <c r="G231" s="158">
        <v>15</v>
      </c>
      <c r="H231" s="155">
        <v>0</v>
      </c>
      <c r="I231" s="158">
        <v>0</v>
      </c>
      <c r="J231" s="155">
        <v>0</v>
      </c>
      <c r="K231" s="158">
        <v>0</v>
      </c>
      <c r="L231" s="155">
        <v>14.723099708557129</v>
      </c>
      <c r="M231" s="158">
        <v>14.723099708557129</v>
      </c>
      <c r="N231" s="155">
        <v>0</v>
      </c>
      <c r="O231" s="158">
        <v>0</v>
      </c>
      <c r="P231" s="155">
        <v>0</v>
      </c>
      <c r="Q231" s="158">
        <v>0</v>
      </c>
      <c r="R231" s="155">
        <v>0</v>
      </c>
      <c r="S231" s="158">
        <v>0</v>
      </c>
      <c r="T231" s="155">
        <v>0</v>
      </c>
      <c r="U231" s="157">
        <v>0</v>
      </c>
    </row>
    <row r="232" spans="1:21" x14ac:dyDescent="0.25">
      <c r="A232" s="149" t="s">
        <v>1921</v>
      </c>
      <c r="B232" s="150" t="s">
        <v>1890</v>
      </c>
      <c r="C232" s="150" t="s">
        <v>1922</v>
      </c>
      <c r="D232" s="151">
        <v>0</v>
      </c>
      <c r="E232" s="152">
        <v>0</v>
      </c>
      <c r="F232" s="151">
        <v>0</v>
      </c>
      <c r="G232" s="152">
        <v>55</v>
      </c>
      <c r="H232" s="151">
        <v>0</v>
      </c>
      <c r="I232" s="152">
        <v>0</v>
      </c>
      <c r="J232" s="151">
        <v>0</v>
      </c>
      <c r="K232" s="152">
        <v>0</v>
      </c>
      <c r="L232" s="151">
        <v>0</v>
      </c>
      <c r="M232" s="152">
        <v>0</v>
      </c>
      <c r="N232" s="151">
        <v>0</v>
      </c>
      <c r="O232" s="152">
        <v>0</v>
      </c>
      <c r="P232" s="151">
        <v>0</v>
      </c>
      <c r="Q232" s="152">
        <v>0</v>
      </c>
      <c r="R232" s="151">
        <v>0</v>
      </c>
      <c r="S232" s="152">
        <v>0</v>
      </c>
      <c r="T232" s="151">
        <v>0</v>
      </c>
      <c r="U232" s="153">
        <v>0</v>
      </c>
    </row>
    <row r="233" spans="1:21" x14ac:dyDescent="0.25">
      <c r="D233" s="117">
        <f>SUBTOTAL(9,D4:D232)</f>
        <v>356727.6</v>
      </c>
      <c r="E233" s="117">
        <f t="shared" ref="E233:U233" si="0">SUBTOTAL(9,E4:E232)</f>
        <v>0</v>
      </c>
      <c r="F233" s="117">
        <f t="shared" si="0"/>
        <v>77045</v>
      </c>
      <c r="G233" s="117">
        <f t="shared" si="0"/>
        <v>62722</v>
      </c>
      <c r="H233" s="117">
        <f t="shared" si="0"/>
        <v>15878</v>
      </c>
      <c r="I233" s="117">
        <f t="shared" si="0"/>
        <v>15094.605648353696</v>
      </c>
      <c r="J233" s="117">
        <f t="shared" si="0"/>
        <v>0</v>
      </c>
      <c r="K233" s="117">
        <f t="shared" si="0"/>
        <v>15094.605648353696</v>
      </c>
      <c r="L233" s="117">
        <f t="shared" si="0"/>
        <v>30168.583792905789</v>
      </c>
      <c r="M233" s="117">
        <f t="shared" si="0"/>
        <v>45263.189441259485</v>
      </c>
      <c r="N233" s="117">
        <f t="shared" si="0"/>
        <v>89792.5</v>
      </c>
      <c r="O233" s="117">
        <f t="shared" si="0"/>
        <v>81660</v>
      </c>
      <c r="P233" s="117">
        <f t="shared" si="0"/>
        <v>54136</v>
      </c>
      <c r="Q233" s="117">
        <f t="shared" si="0"/>
        <v>47400</v>
      </c>
      <c r="R233" s="117">
        <f t="shared" si="0"/>
        <v>0</v>
      </c>
      <c r="S233" s="117">
        <f t="shared" si="0"/>
        <v>0</v>
      </c>
      <c r="T233" s="117">
        <f t="shared" si="0"/>
        <v>0</v>
      </c>
      <c r="U233" s="117">
        <f t="shared" si="0"/>
        <v>0</v>
      </c>
    </row>
  </sheetData>
  <autoFilter ref="A2:V225"/>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5"/>
  <sheetViews>
    <sheetView showGridLines="0" zoomScale="84" zoomScaleNormal="84" workbookViewId="0">
      <pane ySplit="3" topLeftCell="A202" activePane="bottomLeft" state="frozen"/>
      <selection pane="bottomLeft" activeCell="D235" sqref="D235:U235"/>
    </sheetView>
  </sheetViews>
  <sheetFormatPr defaultRowHeight="15" x14ac:dyDescent="0.25"/>
  <cols>
    <col min="1" max="1" width="11" bestFit="1" customWidth="1"/>
    <col min="2" max="2" width="47" customWidth="1"/>
    <col min="3" max="3" width="19.85546875" bestFit="1" customWidth="1"/>
    <col min="4" max="4" width="12.5703125" customWidth="1"/>
    <col min="5" max="5" width="11" customWidth="1"/>
    <col min="6" max="6" width="11.140625" customWidth="1"/>
    <col min="7" max="7" width="12.85546875" customWidth="1"/>
    <col min="8" max="8" width="13" customWidth="1"/>
    <col min="9" max="9" width="17" customWidth="1"/>
    <col min="10" max="10" width="12" customWidth="1"/>
    <col min="11" max="11" width="11.140625" customWidth="1"/>
    <col min="12" max="12" width="14.5703125" bestFit="1" customWidth="1"/>
    <col min="13" max="13" width="17.140625" bestFit="1" customWidth="1"/>
    <col min="14" max="15" width="11" customWidth="1"/>
    <col min="16" max="16" width="13" customWidth="1"/>
    <col min="17" max="18" width="11" customWidth="1"/>
    <col min="19" max="21" width="12"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row>
    <row r="2" spans="1:22" ht="15" customHeight="1" x14ac:dyDescent="0.25">
      <c r="A2" s="527" t="s">
        <v>1409</v>
      </c>
      <c r="B2" s="527" t="s">
        <v>1410</v>
      </c>
      <c r="C2" s="527" t="s">
        <v>1411</v>
      </c>
      <c r="D2" s="529" t="s">
        <v>1412</v>
      </c>
      <c r="E2" s="486" t="s">
        <v>1413</v>
      </c>
      <c r="F2" s="160"/>
      <c r="G2" s="161"/>
      <c r="H2" s="160"/>
      <c r="I2" s="162" t="s">
        <v>1414</v>
      </c>
      <c r="J2" s="163"/>
      <c r="K2" s="162"/>
      <c r="L2" s="162"/>
      <c r="M2" s="164"/>
      <c r="N2" s="165"/>
      <c r="O2" s="162"/>
      <c r="P2" s="162" t="s">
        <v>1415</v>
      </c>
      <c r="Q2" s="162"/>
      <c r="R2" s="162"/>
      <c r="S2" s="162"/>
      <c r="T2" s="162"/>
      <c r="U2" s="166"/>
    </row>
    <row r="3" spans="1:22" x14ac:dyDescent="0.25">
      <c r="A3" s="528"/>
      <c r="B3" s="528"/>
      <c r="C3" s="528"/>
      <c r="D3" s="530"/>
      <c r="E3" s="172">
        <v>2016</v>
      </c>
      <c r="F3" s="167" t="s">
        <v>1416</v>
      </c>
      <c r="G3" s="168" t="s">
        <v>1417</v>
      </c>
      <c r="H3" s="169" t="s">
        <v>1418</v>
      </c>
      <c r="I3" s="169" t="s">
        <v>1419</v>
      </c>
      <c r="J3" s="169" t="s">
        <v>1420</v>
      </c>
      <c r="K3" s="168" t="s">
        <v>1421</v>
      </c>
      <c r="L3" s="168" t="s">
        <v>1422</v>
      </c>
      <c r="M3" s="168" t="s">
        <v>1423</v>
      </c>
      <c r="N3" s="171" t="s">
        <v>460</v>
      </c>
      <c r="O3" s="170">
        <v>2020</v>
      </c>
      <c r="P3" s="170">
        <v>2021</v>
      </c>
      <c r="Q3" s="170">
        <v>2022</v>
      </c>
      <c r="R3" s="170">
        <v>2023</v>
      </c>
      <c r="S3" s="170">
        <v>2024</v>
      </c>
      <c r="T3" s="170">
        <v>2025</v>
      </c>
      <c r="U3" s="170">
        <v>2026</v>
      </c>
    </row>
    <row r="4" spans="1:22" x14ac:dyDescent="0.25">
      <c r="A4" s="149" t="s">
        <v>1194</v>
      </c>
      <c r="B4" s="150"/>
      <c r="C4" s="150"/>
      <c r="D4" s="151">
        <v>0</v>
      </c>
      <c r="E4" s="152">
        <v>0</v>
      </c>
      <c r="F4" s="151">
        <v>0</v>
      </c>
      <c r="G4" s="152">
        <v>0</v>
      </c>
      <c r="H4" s="151">
        <v>0</v>
      </c>
      <c r="I4" s="152">
        <v>0</v>
      </c>
      <c r="J4" s="151">
        <v>0</v>
      </c>
      <c r="K4" s="152">
        <v>0</v>
      </c>
      <c r="L4" s="151">
        <v>0</v>
      </c>
      <c r="M4" s="152">
        <v>0</v>
      </c>
      <c r="N4" s="151">
        <v>0</v>
      </c>
      <c r="O4" s="152">
        <v>0</v>
      </c>
      <c r="P4" s="151">
        <v>0</v>
      </c>
      <c r="Q4" s="152">
        <v>0</v>
      </c>
      <c r="R4" s="151">
        <v>0</v>
      </c>
      <c r="S4" s="152">
        <v>0</v>
      </c>
      <c r="T4" s="151">
        <v>0</v>
      </c>
      <c r="U4" s="153">
        <v>0</v>
      </c>
      <c r="V4" t="e">
        <f>VLOOKUP(A4,'Projetos ciclo 2018-2022'!$I$7:$I$318,1,FALSE)</f>
        <v>#N/A</v>
      </c>
    </row>
    <row r="5" spans="1:22" x14ac:dyDescent="0.25">
      <c r="A5" s="21" t="s">
        <v>1196</v>
      </c>
      <c r="B5" s="154"/>
      <c r="C5" s="154"/>
      <c r="D5" s="155">
        <v>0</v>
      </c>
      <c r="E5" s="156">
        <v>0</v>
      </c>
      <c r="F5" s="155">
        <v>0</v>
      </c>
      <c r="G5" s="156">
        <v>0</v>
      </c>
      <c r="H5" s="155">
        <v>0</v>
      </c>
      <c r="I5" s="156">
        <v>0</v>
      </c>
      <c r="J5" s="155">
        <v>0</v>
      </c>
      <c r="K5" s="156">
        <v>0</v>
      </c>
      <c r="L5" s="155">
        <v>0</v>
      </c>
      <c r="M5" s="156">
        <v>0</v>
      </c>
      <c r="N5" s="155">
        <v>0</v>
      </c>
      <c r="O5" s="156">
        <v>0</v>
      </c>
      <c r="P5" s="155">
        <v>0</v>
      </c>
      <c r="Q5" s="156">
        <v>0</v>
      </c>
      <c r="R5" s="155">
        <v>0</v>
      </c>
      <c r="S5" s="156">
        <v>0</v>
      </c>
      <c r="T5" s="155">
        <v>0</v>
      </c>
      <c r="U5" s="157">
        <v>0</v>
      </c>
      <c r="V5" t="e">
        <f>VLOOKUP(A5,'Projetos ciclo 2018-2022'!$I$7:$I$318,1,FALSE)</f>
        <v>#N/A</v>
      </c>
    </row>
    <row r="6" spans="1:22" x14ac:dyDescent="0.25">
      <c r="A6" s="149" t="s">
        <v>1444</v>
      </c>
      <c r="B6" s="150"/>
      <c r="C6" s="150"/>
      <c r="D6" s="151">
        <v>464</v>
      </c>
      <c r="E6" s="152">
        <v>0</v>
      </c>
      <c r="F6" s="151">
        <v>464</v>
      </c>
      <c r="G6" s="152">
        <v>0</v>
      </c>
      <c r="H6" s="151">
        <v>132</v>
      </c>
      <c r="I6" s="152">
        <v>0</v>
      </c>
      <c r="J6" s="151">
        <v>0</v>
      </c>
      <c r="K6" s="152">
        <v>0</v>
      </c>
      <c r="L6" s="151">
        <v>0</v>
      </c>
      <c r="M6" s="152">
        <v>0</v>
      </c>
      <c r="N6" s="151">
        <v>0</v>
      </c>
      <c r="O6" s="152">
        <v>0</v>
      </c>
      <c r="P6" s="151">
        <v>0</v>
      </c>
      <c r="Q6" s="152">
        <v>0</v>
      </c>
      <c r="R6" s="151">
        <v>0</v>
      </c>
      <c r="S6" s="152">
        <v>0</v>
      </c>
      <c r="T6" s="151">
        <v>0</v>
      </c>
      <c r="U6" s="153">
        <v>0</v>
      </c>
      <c r="V6" t="e">
        <f>VLOOKUP(A6,'Projetos ciclo 2018-2022'!$I$7:$I$318,1,FALSE)</f>
        <v>#N/A</v>
      </c>
    </row>
    <row r="7" spans="1:22" x14ac:dyDescent="0.25">
      <c r="A7" s="21" t="s">
        <v>1636</v>
      </c>
      <c r="B7" s="154"/>
      <c r="C7" s="154"/>
      <c r="D7" s="155">
        <v>0</v>
      </c>
      <c r="E7" s="158">
        <v>0</v>
      </c>
      <c r="F7" s="155">
        <v>0</v>
      </c>
      <c r="G7" s="158">
        <v>51</v>
      </c>
      <c r="H7" s="155">
        <v>0</v>
      </c>
      <c r="I7" s="158">
        <v>0</v>
      </c>
      <c r="J7" s="155">
        <v>0</v>
      </c>
      <c r="K7" s="158">
        <v>0</v>
      </c>
      <c r="L7" s="155">
        <v>47.292760133743286</v>
      </c>
      <c r="M7" s="158">
        <v>47.292760133743286</v>
      </c>
      <c r="N7" s="155">
        <v>0</v>
      </c>
      <c r="O7" s="158">
        <v>0</v>
      </c>
      <c r="P7" s="155">
        <v>0</v>
      </c>
      <c r="Q7" s="158">
        <v>0</v>
      </c>
      <c r="R7" s="155">
        <v>0</v>
      </c>
      <c r="S7" s="158">
        <v>0</v>
      </c>
      <c r="T7" s="155">
        <v>0</v>
      </c>
      <c r="U7" s="157">
        <v>0</v>
      </c>
      <c r="V7" t="str">
        <f>VLOOKUP(A7,'Projetos ciclo 2018-2022'!$I$7:$I$318,1,FALSE)</f>
        <v>MG00818</v>
      </c>
    </row>
    <row r="8" spans="1:22" x14ac:dyDescent="0.25">
      <c r="A8" s="149" t="s">
        <v>565</v>
      </c>
      <c r="B8" s="150"/>
      <c r="C8" s="150"/>
      <c r="D8" s="151">
        <v>1854</v>
      </c>
      <c r="E8" s="152">
        <v>0</v>
      </c>
      <c r="F8" s="151">
        <v>0</v>
      </c>
      <c r="G8" s="152">
        <v>0</v>
      </c>
      <c r="H8" s="151">
        <v>0</v>
      </c>
      <c r="I8" s="152">
        <v>0</v>
      </c>
      <c r="J8" s="151">
        <v>0</v>
      </c>
      <c r="K8" s="152">
        <v>0</v>
      </c>
      <c r="L8" s="151">
        <v>0</v>
      </c>
      <c r="M8" s="152">
        <v>0</v>
      </c>
      <c r="N8" s="151">
        <v>634</v>
      </c>
      <c r="O8" s="152">
        <v>435</v>
      </c>
      <c r="P8" s="151">
        <v>360</v>
      </c>
      <c r="Q8" s="152">
        <v>425</v>
      </c>
      <c r="R8" s="151">
        <v>0</v>
      </c>
      <c r="S8" s="152">
        <v>0</v>
      </c>
      <c r="T8" s="151">
        <v>0</v>
      </c>
      <c r="U8" s="153">
        <v>0</v>
      </c>
      <c r="V8" t="str">
        <f>VLOOKUP(A8,'Projetos ciclo 2018-2022'!$I$7:$I$318,1,FALSE)</f>
        <v>NA</v>
      </c>
    </row>
    <row r="9" spans="1:22" x14ac:dyDescent="0.25">
      <c r="A9" s="21" t="s">
        <v>1530</v>
      </c>
      <c r="B9" s="154"/>
      <c r="C9" s="154"/>
      <c r="D9" s="155">
        <v>0</v>
      </c>
      <c r="E9" s="158">
        <v>0</v>
      </c>
      <c r="F9" s="155">
        <v>0</v>
      </c>
      <c r="G9" s="158">
        <v>132</v>
      </c>
      <c r="H9" s="155">
        <v>0</v>
      </c>
      <c r="I9" s="158">
        <v>35.398851037025452</v>
      </c>
      <c r="J9" s="155">
        <v>0</v>
      </c>
      <c r="K9" s="158">
        <v>35.398851037025452</v>
      </c>
      <c r="L9" s="155">
        <v>84.113502502441406</v>
      </c>
      <c r="M9" s="158">
        <v>119.51235353946686</v>
      </c>
      <c r="N9" s="155">
        <v>0</v>
      </c>
      <c r="O9" s="158">
        <v>0</v>
      </c>
      <c r="P9" s="155">
        <v>0</v>
      </c>
      <c r="Q9" s="158">
        <v>0</v>
      </c>
      <c r="R9" s="155">
        <v>0</v>
      </c>
      <c r="S9" s="158">
        <v>0</v>
      </c>
      <c r="T9" s="155">
        <v>0</v>
      </c>
      <c r="U9" s="157">
        <v>0</v>
      </c>
      <c r="V9" t="str">
        <f>VLOOKUP(A9,'Projetos ciclo 2018-2022'!$I$7:$I$318,1,FALSE)</f>
        <v>SC00318</v>
      </c>
    </row>
    <row r="10" spans="1:22" x14ac:dyDescent="0.25">
      <c r="A10" s="149" t="s">
        <v>1944</v>
      </c>
      <c r="B10" s="150"/>
      <c r="C10" s="150"/>
      <c r="D10" s="151">
        <v>0</v>
      </c>
      <c r="E10" s="152">
        <v>0</v>
      </c>
      <c r="F10" s="151">
        <v>0</v>
      </c>
      <c r="G10" s="152">
        <v>60</v>
      </c>
      <c r="H10" s="151">
        <v>0</v>
      </c>
      <c r="I10" s="152">
        <v>0</v>
      </c>
      <c r="J10" s="151">
        <v>0</v>
      </c>
      <c r="K10" s="152">
        <v>0</v>
      </c>
      <c r="L10" s="151">
        <v>0</v>
      </c>
      <c r="M10" s="152">
        <v>0</v>
      </c>
      <c r="N10" s="151">
        <v>0</v>
      </c>
      <c r="O10" s="152">
        <v>0</v>
      </c>
      <c r="P10" s="151">
        <v>0</v>
      </c>
      <c r="Q10" s="152">
        <v>0</v>
      </c>
      <c r="R10" s="151">
        <v>0</v>
      </c>
      <c r="S10" s="152">
        <v>0</v>
      </c>
      <c r="T10" s="151">
        <v>0</v>
      </c>
      <c r="U10" s="153">
        <v>0</v>
      </c>
      <c r="V10" t="str">
        <f>VLOOKUP(A10,'Projetos ciclo 2018-2022'!$I$7:$I$318,1,FALSE)</f>
        <v>SC01018</v>
      </c>
    </row>
    <row r="11" spans="1:22" x14ac:dyDescent="0.25">
      <c r="A11" s="21" t="s">
        <v>2054</v>
      </c>
      <c r="B11" s="154"/>
      <c r="C11" s="154"/>
      <c r="D11" s="155">
        <v>0</v>
      </c>
      <c r="E11" s="158">
        <v>0</v>
      </c>
      <c r="F11" s="155">
        <v>0</v>
      </c>
      <c r="G11" s="158">
        <v>40</v>
      </c>
      <c r="H11" s="155">
        <v>0</v>
      </c>
      <c r="I11" s="158">
        <v>0</v>
      </c>
      <c r="J11" s="155">
        <v>0</v>
      </c>
      <c r="K11" s="158">
        <v>0</v>
      </c>
      <c r="L11" s="155">
        <v>0</v>
      </c>
      <c r="M11" s="158">
        <v>0</v>
      </c>
      <c r="N11" s="155">
        <v>0</v>
      </c>
      <c r="O11" s="158">
        <v>0</v>
      </c>
      <c r="P11" s="155">
        <v>0</v>
      </c>
      <c r="Q11" s="158">
        <v>0</v>
      </c>
      <c r="R11" s="155">
        <v>0</v>
      </c>
      <c r="S11" s="158">
        <v>0</v>
      </c>
      <c r="T11" s="155">
        <v>0</v>
      </c>
      <c r="U11" s="157">
        <v>0</v>
      </c>
      <c r="V11" t="str">
        <f>VLOOKUP(A11,'Projetos ciclo 2018-2022'!$I$7:$I$318,1,FALSE)</f>
        <v>SC01518</v>
      </c>
    </row>
    <row r="12" spans="1:22" x14ac:dyDescent="0.25">
      <c r="A12" s="149" t="s">
        <v>1199</v>
      </c>
      <c r="B12" s="150"/>
      <c r="C12" s="150"/>
      <c r="D12" s="151">
        <v>318</v>
      </c>
      <c r="E12" s="152">
        <v>0</v>
      </c>
      <c r="F12" s="151">
        <v>0</v>
      </c>
      <c r="G12" s="152">
        <v>0</v>
      </c>
      <c r="H12" s="151">
        <v>0</v>
      </c>
      <c r="I12" s="152">
        <v>0</v>
      </c>
      <c r="J12" s="151">
        <v>0</v>
      </c>
      <c r="K12" s="152">
        <v>0</v>
      </c>
      <c r="L12" s="151">
        <v>0</v>
      </c>
      <c r="M12" s="152">
        <v>0</v>
      </c>
      <c r="N12" s="151">
        <v>0</v>
      </c>
      <c r="O12" s="152">
        <v>0</v>
      </c>
      <c r="P12" s="151">
        <v>0</v>
      </c>
      <c r="Q12" s="152">
        <v>0</v>
      </c>
      <c r="R12" s="151">
        <v>0</v>
      </c>
      <c r="S12" s="152">
        <v>0</v>
      </c>
      <c r="T12" s="151">
        <v>0</v>
      </c>
      <c r="U12" s="153">
        <v>0</v>
      </c>
      <c r="V12" t="e">
        <f>VLOOKUP(A12,'Projetos ciclo 2018-2022'!$I$7:$I$318,1,FALSE)</f>
        <v>#N/A</v>
      </c>
    </row>
    <row r="13" spans="1:22" x14ac:dyDescent="0.25">
      <c r="A13" s="21" t="s">
        <v>1194</v>
      </c>
      <c r="B13" s="154"/>
      <c r="C13" s="154"/>
      <c r="D13" s="155">
        <v>0</v>
      </c>
      <c r="E13" s="158">
        <v>0</v>
      </c>
      <c r="F13" s="155">
        <v>0</v>
      </c>
      <c r="G13" s="158">
        <v>0</v>
      </c>
      <c r="H13" s="155">
        <v>0</v>
      </c>
      <c r="I13" s="158">
        <v>0</v>
      </c>
      <c r="J13" s="155">
        <v>0</v>
      </c>
      <c r="K13" s="158">
        <v>0</v>
      </c>
      <c r="L13" s="155">
        <v>0</v>
      </c>
      <c r="M13" s="158">
        <v>0</v>
      </c>
      <c r="N13" s="155">
        <v>0</v>
      </c>
      <c r="O13" s="158">
        <v>0</v>
      </c>
      <c r="P13" s="155">
        <v>0</v>
      </c>
      <c r="Q13" s="158">
        <v>0</v>
      </c>
      <c r="R13" s="155">
        <v>0</v>
      </c>
      <c r="S13" s="158">
        <v>0</v>
      </c>
      <c r="T13" s="155">
        <v>0</v>
      </c>
      <c r="U13" s="157">
        <v>0</v>
      </c>
      <c r="V13" t="e">
        <f>VLOOKUP(A13,'Projetos ciclo 2018-2022'!$I$7:$I$318,1,FALSE)</f>
        <v>#N/A</v>
      </c>
    </row>
    <row r="14" spans="1:22" x14ac:dyDescent="0.25">
      <c r="A14" s="149" t="s">
        <v>1196</v>
      </c>
      <c r="B14" s="150"/>
      <c r="C14" s="150"/>
      <c r="D14" s="151">
        <v>0</v>
      </c>
      <c r="E14" s="152">
        <v>0</v>
      </c>
      <c r="F14" s="151">
        <v>0</v>
      </c>
      <c r="G14" s="152">
        <v>0</v>
      </c>
      <c r="H14" s="151">
        <v>0</v>
      </c>
      <c r="I14" s="152">
        <v>0</v>
      </c>
      <c r="J14" s="151">
        <v>0</v>
      </c>
      <c r="K14" s="152">
        <v>0</v>
      </c>
      <c r="L14" s="151">
        <v>0</v>
      </c>
      <c r="M14" s="152">
        <v>0</v>
      </c>
      <c r="N14" s="151">
        <v>0</v>
      </c>
      <c r="O14" s="152">
        <v>0</v>
      </c>
      <c r="P14" s="151">
        <v>0</v>
      </c>
      <c r="Q14" s="152">
        <v>0</v>
      </c>
      <c r="R14" s="151">
        <v>0</v>
      </c>
      <c r="S14" s="152">
        <v>0</v>
      </c>
      <c r="T14" s="151">
        <v>0</v>
      </c>
      <c r="U14" s="153">
        <v>0</v>
      </c>
      <c r="V14" t="e">
        <f>VLOOKUP(A14,'Projetos ciclo 2018-2022'!$I$7:$I$318,1,FALSE)</f>
        <v>#N/A</v>
      </c>
    </row>
    <row r="15" spans="1:22" x14ac:dyDescent="0.25">
      <c r="A15" s="21" t="s">
        <v>565</v>
      </c>
      <c r="B15" s="154"/>
      <c r="C15" s="154"/>
      <c r="D15" s="155">
        <v>139</v>
      </c>
      <c r="E15" s="158">
        <v>0</v>
      </c>
      <c r="F15" s="155">
        <v>0</v>
      </c>
      <c r="G15" s="158">
        <v>0</v>
      </c>
      <c r="H15" s="155">
        <v>0</v>
      </c>
      <c r="I15" s="158">
        <v>0</v>
      </c>
      <c r="J15" s="155">
        <v>0</v>
      </c>
      <c r="K15" s="158">
        <v>0</v>
      </c>
      <c r="L15" s="155">
        <v>0</v>
      </c>
      <c r="M15" s="158">
        <v>0</v>
      </c>
      <c r="N15" s="155">
        <v>16</v>
      </c>
      <c r="O15" s="158">
        <v>30</v>
      </c>
      <c r="P15" s="155">
        <v>50</v>
      </c>
      <c r="Q15" s="158">
        <v>43</v>
      </c>
      <c r="R15" s="155">
        <v>0</v>
      </c>
      <c r="S15" s="158">
        <v>0</v>
      </c>
      <c r="T15" s="155">
        <v>0</v>
      </c>
      <c r="U15" s="157">
        <v>0</v>
      </c>
      <c r="V15" t="str">
        <f>VLOOKUP(A15,'Projetos ciclo 2018-2022'!$I$7:$I$318,1,FALSE)</f>
        <v>NA</v>
      </c>
    </row>
    <row r="16" spans="1:22" x14ac:dyDescent="0.25">
      <c r="A16" s="149" t="s">
        <v>1199</v>
      </c>
      <c r="B16" s="150"/>
      <c r="C16" s="150"/>
      <c r="D16" s="151">
        <v>0</v>
      </c>
      <c r="E16" s="152">
        <v>0</v>
      </c>
      <c r="F16" s="151">
        <v>0</v>
      </c>
      <c r="G16" s="152">
        <v>0</v>
      </c>
      <c r="H16" s="151">
        <v>0</v>
      </c>
      <c r="I16" s="152">
        <v>0</v>
      </c>
      <c r="J16" s="151">
        <v>0</v>
      </c>
      <c r="K16" s="152">
        <v>0</v>
      </c>
      <c r="L16" s="151">
        <v>0</v>
      </c>
      <c r="M16" s="152">
        <v>0</v>
      </c>
      <c r="N16" s="151">
        <v>0</v>
      </c>
      <c r="O16" s="152">
        <v>0</v>
      </c>
      <c r="P16" s="151">
        <v>0</v>
      </c>
      <c r="Q16" s="152">
        <v>0</v>
      </c>
      <c r="R16" s="151">
        <v>0</v>
      </c>
      <c r="S16" s="152">
        <v>0</v>
      </c>
      <c r="T16" s="151">
        <v>0</v>
      </c>
      <c r="U16" s="153">
        <v>0</v>
      </c>
      <c r="V16" t="e">
        <f>VLOOKUP(A16,'Projetos ciclo 2018-2022'!$I$7:$I$318,1,FALSE)</f>
        <v>#N/A</v>
      </c>
    </row>
    <row r="17" spans="1:22" x14ac:dyDescent="0.25">
      <c r="A17" s="21" t="s">
        <v>1202</v>
      </c>
      <c r="B17" s="154"/>
      <c r="C17" s="154"/>
      <c r="D17" s="155">
        <v>29</v>
      </c>
      <c r="E17" s="158">
        <v>0</v>
      </c>
      <c r="F17" s="155">
        <v>29</v>
      </c>
      <c r="G17" s="158">
        <v>0</v>
      </c>
      <c r="H17" s="155">
        <v>0</v>
      </c>
      <c r="I17" s="158">
        <v>0</v>
      </c>
      <c r="J17" s="155">
        <v>0</v>
      </c>
      <c r="K17" s="158">
        <v>0</v>
      </c>
      <c r="L17" s="155">
        <v>0</v>
      </c>
      <c r="M17" s="158">
        <v>0</v>
      </c>
      <c r="N17" s="155">
        <v>0</v>
      </c>
      <c r="O17" s="158">
        <v>0</v>
      </c>
      <c r="P17" s="155">
        <v>0</v>
      </c>
      <c r="Q17" s="158">
        <v>0</v>
      </c>
      <c r="R17" s="155">
        <v>0</v>
      </c>
      <c r="S17" s="158">
        <v>0</v>
      </c>
      <c r="T17" s="155">
        <v>0</v>
      </c>
      <c r="U17" s="157">
        <v>0</v>
      </c>
      <c r="V17" t="e">
        <f>VLOOKUP(A17,'Projetos ciclo 2018-2022'!$I$7:$I$318,1,FALSE)</f>
        <v>#N/A</v>
      </c>
    </row>
    <row r="18" spans="1:22" x14ac:dyDescent="0.25">
      <c r="A18" s="149" t="s">
        <v>1933</v>
      </c>
      <c r="B18" s="150"/>
      <c r="C18" s="150"/>
      <c r="D18" s="151">
        <v>0</v>
      </c>
      <c r="E18" s="152">
        <v>0</v>
      </c>
      <c r="F18" s="151">
        <v>0</v>
      </c>
      <c r="G18" s="152">
        <v>10</v>
      </c>
      <c r="H18" s="151">
        <v>0</v>
      </c>
      <c r="I18" s="152">
        <v>2.2655799686908722</v>
      </c>
      <c r="J18" s="151">
        <v>0</v>
      </c>
      <c r="K18" s="152">
        <v>2.2655799686908722</v>
      </c>
      <c r="L18" s="151">
        <v>0</v>
      </c>
      <c r="M18" s="152">
        <v>2.2655799686908722</v>
      </c>
      <c r="N18" s="151">
        <v>0</v>
      </c>
      <c r="O18" s="152">
        <v>0</v>
      </c>
      <c r="P18" s="151">
        <v>0</v>
      </c>
      <c r="Q18" s="152">
        <v>0</v>
      </c>
      <c r="R18" s="151">
        <v>0</v>
      </c>
      <c r="S18" s="152">
        <v>0</v>
      </c>
      <c r="T18" s="151">
        <v>0</v>
      </c>
      <c r="U18" s="153">
        <v>0</v>
      </c>
      <c r="V18" t="str">
        <f>VLOOKUP(A18,'Projetos ciclo 2018-2022'!$I$7:$I$318,1,FALSE)</f>
        <v>TI08018</v>
      </c>
    </row>
    <row r="19" spans="1:22" x14ac:dyDescent="0.25">
      <c r="A19" s="21" t="s">
        <v>1194</v>
      </c>
      <c r="B19" s="154"/>
      <c r="C19" s="154"/>
      <c r="D19" s="155">
        <v>0</v>
      </c>
      <c r="E19" s="158">
        <v>0</v>
      </c>
      <c r="F19" s="155">
        <v>0</v>
      </c>
      <c r="G19" s="158">
        <v>0</v>
      </c>
      <c r="H19" s="155">
        <v>0</v>
      </c>
      <c r="I19" s="158">
        <v>0</v>
      </c>
      <c r="J19" s="155">
        <v>0</v>
      </c>
      <c r="K19" s="158">
        <v>0</v>
      </c>
      <c r="L19" s="155">
        <v>0</v>
      </c>
      <c r="M19" s="158">
        <v>0</v>
      </c>
      <c r="N19" s="155">
        <v>0</v>
      </c>
      <c r="O19" s="158">
        <v>0</v>
      </c>
      <c r="P19" s="155">
        <v>0</v>
      </c>
      <c r="Q19" s="158">
        <v>0</v>
      </c>
      <c r="R19" s="155">
        <v>0</v>
      </c>
      <c r="S19" s="158">
        <v>0</v>
      </c>
      <c r="T19" s="155">
        <v>0</v>
      </c>
      <c r="U19" s="157">
        <v>0</v>
      </c>
      <c r="V19" t="e">
        <f>VLOOKUP(A19,'Projetos ciclo 2018-2022'!$I$7:$I$318,1,FALSE)</f>
        <v>#N/A</v>
      </c>
    </row>
    <row r="20" spans="1:22" x14ac:dyDescent="0.25">
      <c r="A20" s="149" t="s">
        <v>1196</v>
      </c>
      <c r="B20" s="150"/>
      <c r="C20" s="150"/>
      <c r="D20" s="151">
        <v>0</v>
      </c>
      <c r="E20" s="152">
        <v>0</v>
      </c>
      <c r="F20" s="151">
        <v>0</v>
      </c>
      <c r="G20" s="152">
        <v>0</v>
      </c>
      <c r="H20" s="151">
        <v>0</v>
      </c>
      <c r="I20" s="152">
        <v>0</v>
      </c>
      <c r="J20" s="151">
        <v>0</v>
      </c>
      <c r="K20" s="152">
        <v>0</v>
      </c>
      <c r="L20" s="151">
        <v>0</v>
      </c>
      <c r="M20" s="152">
        <v>0</v>
      </c>
      <c r="N20" s="151">
        <v>0</v>
      </c>
      <c r="O20" s="152">
        <v>0</v>
      </c>
      <c r="P20" s="151">
        <v>0</v>
      </c>
      <c r="Q20" s="152">
        <v>0</v>
      </c>
      <c r="R20" s="151">
        <v>0</v>
      </c>
      <c r="S20" s="152">
        <v>0</v>
      </c>
      <c r="T20" s="151">
        <v>0</v>
      </c>
      <c r="U20" s="153">
        <v>0</v>
      </c>
      <c r="V20" t="e">
        <f>VLOOKUP(A20,'Projetos ciclo 2018-2022'!$I$7:$I$318,1,FALSE)</f>
        <v>#N/A</v>
      </c>
    </row>
    <row r="21" spans="1:22" x14ac:dyDescent="0.25">
      <c r="A21" s="21" t="s">
        <v>565</v>
      </c>
      <c r="B21" s="154"/>
      <c r="C21" s="154"/>
      <c r="D21" s="155">
        <v>896</v>
      </c>
      <c r="E21" s="158">
        <v>0</v>
      </c>
      <c r="F21" s="155">
        <v>0</v>
      </c>
      <c r="G21" s="158">
        <v>0</v>
      </c>
      <c r="H21" s="155">
        <v>0</v>
      </c>
      <c r="I21" s="158">
        <v>0</v>
      </c>
      <c r="J21" s="155">
        <v>0</v>
      </c>
      <c r="K21" s="158">
        <v>0</v>
      </c>
      <c r="L21" s="155">
        <v>0</v>
      </c>
      <c r="M21" s="158">
        <v>0</v>
      </c>
      <c r="N21" s="155">
        <v>351.5</v>
      </c>
      <c r="O21" s="158">
        <v>214.5</v>
      </c>
      <c r="P21" s="155">
        <v>51.5</v>
      </c>
      <c r="Q21" s="158">
        <v>278.5</v>
      </c>
      <c r="R21" s="155">
        <v>0</v>
      </c>
      <c r="S21" s="158">
        <v>0</v>
      </c>
      <c r="T21" s="155">
        <v>0</v>
      </c>
      <c r="U21" s="157">
        <v>0</v>
      </c>
      <c r="V21" t="str">
        <f>VLOOKUP(A21,'Projetos ciclo 2018-2022'!$I$7:$I$318,1,FALSE)</f>
        <v>NA</v>
      </c>
    </row>
    <row r="22" spans="1:22" x14ac:dyDescent="0.25">
      <c r="A22" s="149" t="s">
        <v>1199</v>
      </c>
      <c r="B22" s="150"/>
      <c r="C22" s="150"/>
      <c r="D22" s="151">
        <v>0</v>
      </c>
      <c r="E22" s="152">
        <v>0</v>
      </c>
      <c r="F22" s="151">
        <v>0</v>
      </c>
      <c r="G22" s="152">
        <v>0</v>
      </c>
      <c r="H22" s="151">
        <v>0</v>
      </c>
      <c r="I22" s="152">
        <v>0</v>
      </c>
      <c r="J22" s="151">
        <v>0</v>
      </c>
      <c r="K22" s="152">
        <v>0</v>
      </c>
      <c r="L22" s="151">
        <v>0</v>
      </c>
      <c r="M22" s="152">
        <v>0</v>
      </c>
      <c r="N22" s="151">
        <v>0</v>
      </c>
      <c r="O22" s="152">
        <v>0</v>
      </c>
      <c r="P22" s="151">
        <v>0</v>
      </c>
      <c r="Q22" s="152">
        <v>0</v>
      </c>
      <c r="R22" s="151">
        <v>0</v>
      </c>
      <c r="S22" s="152">
        <v>0</v>
      </c>
      <c r="T22" s="151">
        <v>0</v>
      </c>
      <c r="U22" s="153">
        <v>0</v>
      </c>
      <c r="V22" t="e">
        <f>VLOOKUP(A22,'Projetos ciclo 2018-2022'!$I$7:$I$318,1,FALSE)</f>
        <v>#N/A</v>
      </c>
    </row>
    <row r="23" spans="1:22" x14ac:dyDescent="0.25">
      <c r="A23" s="21" t="s">
        <v>1468</v>
      </c>
      <c r="B23" s="154"/>
      <c r="C23" s="154"/>
      <c r="D23" s="155">
        <v>0</v>
      </c>
      <c r="E23" s="158">
        <v>0</v>
      </c>
      <c r="F23" s="155">
        <v>0</v>
      </c>
      <c r="G23" s="158">
        <v>59</v>
      </c>
      <c r="H23" s="155">
        <v>0</v>
      </c>
      <c r="I23" s="158">
        <v>0</v>
      </c>
      <c r="J23" s="155">
        <v>0</v>
      </c>
      <c r="K23" s="158">
        <v>0</v>
      </c>
      <c r="L23" s="155">
        <v>47.798999786376953</v>
      </c>
      <c r="M23" s="158">
        <v>47.798999786376953</v>
      </c>
      <c r="N23" s="155">
        <v>0</v>
      </c>
      <c r="O23" s="158">
        <v>0</v>
      </c>
      <c r="P23" s="155">
        <v>0</v>
      </c>
      <c r="Q23" s="158">
        <v>0</v>
      </c>
      <c r="R23" s="155">
        <v>0</v>
      </c>
      <c r="S23" s="158">
        <v>0</v>
      </c>
      <c r="T23" s="155">
        <v>0</v>
      </c>
      <c r="U23" s="157">
        <v>0</v>
      </c>
      <c r="V23" t="str">
        <f>VLOOKUP(A23,'Projetos ciclo 2018-2022'!$I$7:$I$318,1,FALSE)</f>
        <v>TI03218</v>
      </c>
    </row>
    <row r="24" spans="1:22" x14ac:dyDescent="0.25">
      <c r="A24" s="149" t="s">
        <v>1206</v>
      </c>
      <c r="B24" s="150"/>
      <c r="C24" s="150"/>
      <c r="D24" s="151">
        <v>59</v>
      </c>
      <c r="E24" s="152">
        <v>0</v>
      </c>
      <c r="F24" s="151">
        <v>59</v>
      </c>
      <c r="G24" s="152">
        <v>0</v>
      </c>
      <c r="H24" s="151">
        <v>59</v>
      </c>
      <c r="I24" s="152">
        <v>0</v>
      </c>
      <c r="J24" s="151">
        <v>0</v>
      </c>
      <c r="K24" s="152">
        <v>0</v>
      </c>
      <c r="L24" s="151">
        <v>0</v>
      </c>
      <c r="M24" s="152">
        <v>0</v>
      </c>
      <c r="N24" s="151">
        <v>0</v>
      </c>
      <c r="O24" s="152">
        <v>0</v>
      </c>
      <c r="P24" s="151">
        <v>0</v>
      </c>
      <c r="Q24" s="152">
        <v>0</v>
      </c>
      <c r="R24" s="151">
        <v>0</v>
      </c>
      <c r="S24" s="152">
        <v>0</v>
      </c>
      <c r="T24" s="151">
        <v>0</v>
      </c>
      <c r="U24" s="153">
        <v>0</v>
      </c>
      <c r="V24" t="e">
        <f>VLOOKUP(A24,'Projetos ciclo 2018-2022'!$I$7:$I$318,1,FALSE)</f>
        <v>#N/A</v>
      </c>
    </row>
    <row r="25" spans="1:22" x14ac:dyDescent="0.25">
      <c r="A25" s="21" t="s">
        <v>1194</v>
      </c>
      <c r="B25" s="154"/>
      <c r="C25" s="154"/>
      <c r="D25" s="155">
        <v>0</v>
      </c>
      <c r="E25" s="158">
        <v>0</v>
      </c>
      <c r="F25" s="155">
        <v>0</v>
      </c>
      <c r="G25" s="158">
        <v>0</v>
      </c>
      <c r="H25" s="155">
        <v>0</v>
      </c>
      <c r="I25" s="158">
        <v>0</v>
      </c>
      <c r="J25" s="155">
        <v>0</v>
      </c>
      <c r="K25" s="158">
        <v>0</v>
      </c>
      <c r="L25" s="155">
        <v>0</v>
      </c>
      <c r="M25" s="158">
        <v>0</v>
      </c>
      <c r="N25" s="155">
        <v>0</v>
      </c>
      <c r="O25" s="158">
        <v>0</v>
      </c>
      <c r="P25" s="155">
        <v>0</v>
      </c>
      <c r="Q25" s="158">
        <v>0</v>
      </c>
      <c r="R25" s="155">
        <v>0</v>
      </c>
      <c r="S25" s="158">
        <v>0</v>
      </c>
      <c r="T25" s="155">
        <v>0</v>
      </c>
      <c r="U25" s="157">
        <v>0</v>
      </c>
      <c r="V25" t="e">
        <f>VLOOKUP(A25,'Projetos ciclo 2018-2022'!$I$7:$I$318,1,FALSE)</f>
        <v>#N/A</v>
      </c>
    </row>
    <row r="26" spans="1:22" x14ac:dyDescent="0.25">
      <c r="A26" s="149" t="s">
        <v>1196</v>
      </c>
      <c r="B26" s="150"/>
      <c r="C26" s="150"/>
      <c r="D26" s="151">
        <v>0</v>
      </c>
      <c r="E26" s="152">
        <v>0</v>
      </c>
      <c r="F26" s="151">
        <v>0</v>
      </c>
      <c r="G26" s="152">
        <v>0</v>
      </c>
      <c r="H26" s="151">
        <v>0</v>
      </c>
      <c r="I26" s="152">
        <v>0</v>
      </c>
      <c r="J26" s="151">
        <v>0</v>
      </c>
      <c r="K26" s="152">
        <v>0</v>
      </c>
      <c r="L26" s="151">
        <v>0</v>
      </c>
      <c r="M26" s="152">
        <v>0</v>
      </c>
      <c r="N26" s="151">
        <v>0</v>
      </c>
      <c r="O26" s="152">
        <v>0</v>
      </c>
      <c r="P26" s="151">
        <v>0</v>
      </c>
      <c r="Q26" s="152">
        <v>0</v>
      </c>
      <c r="R26" s="151">
        <v>0</v>
      </c>
      <c r="S26" s="152">
        <v>0</v>
      </c>
      <c r="T26" s="151">
        <v>0</v>
      </c>
      <c r="U26" s="153">
        <v>0</v>
      </c>
      <c r="V26" t="e">
        <f>VLOOKUP(A26,'Projetos ciclo 2018-2022'!$I$7:$I$318,1,FALSE)</f>
        <v>#N/A</v>
      </c>
    </row>
    <row r="27" spans="1:22" x14ac:dyDescent="0.25">
      <c r="A27" s="21" t="s">
        <v>565</v>
      </c>
      <c r="B27" s="154"/>
      <c r="C27" s="154"/>
      <c r="D27" s="155">
        <v>4002</v>
      </c>
      <c r="E27" s="158">
        <v>0</v>
      </c>
      <c r="F27" s="155">
        <v>0</v>
      </c>
      <c r="G27" s="158">
        <v>0</v>
      </c>
      <c r="H27" s="155">
        <v>0</v>
      </c>
      <c r="I27" s="158">
        <v>0</v>
      </c>
      <c r="J27" s="155">
        <v>0</v>
      </c>
      <c r="K27" s="158">
        <v>0</v>
      </c>
      <c r="L27" s="155">
        <v>0</v>
      </c>
      <c r="M27" s="158">
        <v>0</v>
      </c>
      <c r="N27" s="155">
        <v>928</v>
      </c>
      <c r="O27" s="158">
        <v>1188</v>
      </c>
      <c r="P27" s="155">
        <v>1123</v>
      </c>
      <c r="Q27" s="158">
        <v>763</v>
      </c>
      <c r="R27" s="155">
        <v>0</v>
      </c>
      <c r="S27" s="158">
        <v>0</v>
      </c>
      <c r="T27" s="155">
        <v>0</v>
      </c>
      <c r="U27" s="157">
        <v>0</v>
      </c>
      <c r="V27" t="str">
        <f>VLOOKUP(A27,'Projetos ciclo 2018-2022'!$I$7:$I$318,1,FALSE)</f>
        <v>NA</v>
      </c>
    </row>
    <row r="28" spans="1:22" x14ac:dyDescent="0.25">
      <c r="A28" s="149" t="s">
        <v>1199</v>
      </c>
      <c r="B28" s="150"/>
      <c r="C28" s="150"/>
      <c r="D28" s="151">
        <v>0</v>
      </c>
      <c r="E28" s="152">
        <v>0</v>
      </c>
      <c r="F28" s="151">
        <v>0</v>
      </c>
      <c r="G28" s="152">
        <v>0</v>
      </c>
      <c r="H28" s="151">
        <v>0</v>
      </c>
      <c r="I28" s="152">
        <v>0</v>
      </c>
      <c r="J28" s="151">
        <v>0</v>
      </c>
      <c r="K28" s="152">
        <v>0</v>
      </c>
      <c r="L28" s="151">
        <v>0</v>
      </c>
      <c r="M28" s="152">
        <v>0</v>
      </c>
      <c r="N28" s="151">
        <v>0</v>
      </c>
      <c r="O28" s="152">
        <v>0</v>
      </c>
      <c r="P28" s="151">
        <v>0</v>
      </c>
      <c r="Q28" s="152">
        <v>0</v>
      </c>
      <c r="R28" s="151">
        <v>0</v>
      </c>
      <c r="S28" s="152">
        <v>0</v>
      </c>
      <c r="T28" s="151">
        <v>0</v>
      </c>
      <c r="U28" s="153">
        <v>0</v>
      </c>
      <c r="V28" t="e">
        <f>VLOOKUP(A28,'Projetos ciclo 2018-2022'!$I$7:$I$318,1,FALSE)</f>
        <v>#N/A</v>
      </c>
    </row>
    <row r="29" spans="1:22" x14ac:dyDescent="0.25">
      <c r="A29" s="21" t="s">
        <v>1117</v>
      </c>
      <c r="B29" s="154"/>
      <c r="C29" s="154"/>
      <c r="D29" s="155">
        <v>0</v>
      </c>
      <c r="E29" s="158">
        <v>0</v>
      </c>
      <c r="F29" s="155">
        <v>0</v>
      </c>
      <c r="G29" s="158">
        <v>119</v>
      </c>
      <c r="H29" s="155">
        <v>0</v>
      </c>
      <c r="I29" s="158">
        <v>119.11103057861328</v>
      </c>
      <c r="J29" s="155">
        <v>0</v>
      </c>
      <c r="K29" s="158">
        <v>119.11103057861328</v>
      </c>
      <c r="L29" s="155">
        <v>0</v>
      </c>
      <c r="M29" s="158">
        <v>119.11103057861328</v>
      </c>
      <c r="N29" s="155">
        <v>0</v>
      </c>
      <c r="O29" s="158">
        <v>0</v>
      </c>
      <c r="P29" s="155">
        <v>0</v>
      </c>
      <c r="Q29" s="158">
        <v>0</v>
      </c>
      <c r="R29" s="155">
        <v>0</v>
      </c>
      <c r="S29" s="158">
        <v>0</v>
      </c>
      <c r="T29" s="155">
        <v>0</v>
      </c>
      <c r="U29" s="157">
        <v>0</v>
      </c>
      <c r="V29" t="str">
        <f>VLOOKUP(A29,'Projetos ciclo 2018-2022'!$I$7:$I$318,1,FALSE)</f>
        <v>TI00218</v>
      </c>
    </row>
    <row r="30" spans="1:22" x14ac:dyDescent="0.25">
      <c r="A30" s="149" t="s">
        <v>800</v>
      </c>
      <c r="B30" s="150"/>
      <c r="C30" s="150"/>
      <c r="D30" s="151">
        <v>0</v>
      </c>
      <c r="E30" s="152">
        <v>0</v>
      </c>
      <c r="F30" s="151">
        <v>0</v>
      </c>
      <c r="G30" s="152">
        <v>490</v>
      </c>
      <c r="H30" s="151">
        <v>0</v>
      </c>
      <c r="I30" s="152">
        <v>199.49535179138184</v>
      </c>
      <c r="J30" s="151">
        <v>0</v>
      </c>
      <c r="K30" s="152">
        <v>199.49535179138184</v>
      </c>
      <c r="L30" s="151">
        <v>284.27999877929687</v>
      </c>
      <c r="M30" s="152">
        <v>483.77535057067871</v>
      </c>
      <c r="N30" s="151">
        <v>0</v>
      </c>
      <c r="O30" s="152">
        <v>0</v>
      </c>
      <c r="P30" s="151">
        <v>0</v>
      </c>
      <c r="Q30" s="152">
        <v>0</v>
      </c>
      <c r="R30" s="151">
        <v>0</v>
      </c>
      <c r="S30" s="152">
        <v>0</v>
      </c>
      <c r="T30" s="151">
        <v>0</v>
      </c>
      <c r="U30" s="153">
        <v>0</v>
      </c>
      <c r="V30" t="str">
        <f>VLOOKUP(A30,'Projetos ciclo 2018-2022'!$I$7:$I$318,1,FALSE)</f>
        <v>TI02216</v>
      </c>
    </row>
    <row r="31" spans="1:22" x14ac:dyDescent="0.25">
      <c r="A31" s="21" t="s">
        <v>1213</v>
      </c>
      <c r="B31" s="154"/>
      <c r="C31" s="154"/>
      <c r="D31" s="155">
        <v>0</v>
      </c>
      <c r="E31" s="158">
        <v>0</v>
      </c>
      <c r="F31" s="155">
        <v>0</v>
      </c>
      <c r="G31" s="158">
        <v>115</v>
      </c>
      <c r="H31" s="155">
        <v>0</v>
      </c>
      <c r="I31" s="158">
        <v>0</v>
      </c>
      <c r="J31" s="155">
        <v>0</v>
      </c>
      <c r="K31" s="158">
        <v>0</v>
      </c>
      <c r="L31" s="155">
        <v>115.19999694824219</v>
      </c>
      <c r="M31" s="158">
        <v>115.19999694824219</v>
      </c>
      <c r="N31" s="155">
        <v>0</v>
      </c>
      <c r="O31" s="158">
        <v>0</v>
      </c>
      <c r="P31" s="155">
        <v>0</v>
      </c>
      <c r="Q31" s="158">
        <v>0</v>
      </c>
      <c r="R31" s="155">
        <v>0</v>
      </c>
      <c r="S31" s="158">
        <v>0</v>
      </c>
      <c r="T31" s="155">
        <v>0</v>
      </c>
      <c r="U31" s="157">
        <v>0</v>
      </c>
      <c r="V31" t="str">
        <f>VLOOKUP(A31,'Projetos ciclo 2018-2022'!$I$7:$I$318,1,FALSE)</f>
        <v>TI03018</v>
      </c>
    </row>
    <row r="32" spans="1:22" x14ac:dyDescent="0.25">
      <c r="A32" s="149" t="s">
        <v>1215</v>
      </c>
      <c r="B32" s="150"/>
      <c r="C32" s="150"/>
      <c r="D32" s="151">
        <v>2118</v>
      </c>
      <c r="E32" s="152">
        <v>0</v>
      </c>
      <c r="F32" s="151">
        <v>1886</v>
      </c>
      <c r="G32" s="152">
        <v>0</v>
      </c>
      <c r="H32" s="151">
        <v>869</v>
      </c>
      <c r="I32" s="152">
        <v>0</v>
      </c>
      <c r="J32" s="151">
        <v>0</v>
      </c>
      <c r="K32" s="152">
        <v>0</v>
      </c>
      <c r="L32" s="151">
        <v>0</v>
      </c>
      <c r="M32" s="152">
        <v>0</v>
      </c>
      <c r="N32" s="151">
        <v>210</v>
      </c>
      <c r="O32" s="152">
        <v>22</v>
      </c>
      <c r="P32" s="151">
        <v>0</v>
      </c>
      <c r="Q32" s="152">
        <v>0</v>
      </c>
      <c r="R32" s="151">
        <v>0</v>
      </c>
      <c r="S32" s="152">
        <v>0</v>
      </c>
      <c r="T32" s="151">
        <v>0</v>
      </c>
      <c r="U32" s="153">
        <v>0</v>
      </c>
      <c r="V32" t="e">
        <f>VLOOKUP(A32,'Projetos ciclo 2018-2022'!$I$7:$I$318,1,FALSE)</f>
        <v>#N/A</v>
      </c>
    </row>
    <row r="33" spans="1:22" x14ac:dyDescent="0.25">
      <c r="A33" s="21" t="s">
        <v>1471</v>
      </c>
      <c r="B33" s="154"/>
      <c r="C33" s="154"/>
      <c r="D33" s="155">
        <v>0</v>
      </c>
      <c r="E33" s="158">
        <v>0</v>
      </c>
      <c r="F33" s="155">
        <v>0</v>
      </c>
      <c r="G33" s="158">
        <v>27</v>
      </c>
      <c r="H33" s="155">
        <v>0</v>
      </c>
      <c r="I33" s="158">
        <v>0</v>
      </c>
      <c r="J33" s="155">
        <v>0</v>
      </c>
      <c r="K33" s="158">
        <v>0</v>
      </c>
      <c r="L33" s="155">
        <v>21.477760314941406</v>
      </c>
      <c r="M33" s="158">
        <v>21.477760314941406</v>
      </c>
      <c r="N33" s="155">
        <v>0</v>
      </c>
      <c r="O33" s="158">
        <v>0</v>
      </c>
      <c r="P33" s="155">
        <v>0</v>
      </c>
      <c r="Q33" s="158">
        <v>0</v>
      </c>
      <c r="R33" s="155">
        <v>0</v>
      </c>
      <c r="S33" s="158">
        <v>0</v>
      </c>
      <c r="T33" s="155">
        <v>0</v>
      </c>
      <c r="U33" s="157">
        <v>0</v>
      </c>
      <c r="V33" t="str">
        <f>VLOOKUP(A33,'Projetos ciclo 2018-2022'!$I$7:$I$318,1,FALSE)</f>
        <v>TI04818</v>
      </c>
    </row>
    <row r="34" spans="1:22" x14ac:dyDescent="0.25">
      <c r="A34" s="149" t="s">
        <v>1474</v>
      </c>
      <c r="B34" s="150"/>
      <c r="C34" s="150"/>
      <c r="D34" s="151">
        <v>0</v>
      </c>
      <c r="E34" s="152">
        <v>0</v>
      </c>
      <c r="F34" s="151">
        <v>0</v>
      </c>
      <c r="G34" s="152">
        <v>32</v>
      </c>
      <c r="H34" s="151">
        <v>0</v>
      </c>
      <c r="I34" s="152">
        <v>28.65779972076416</v>
      </c>
      <c r="J34" s="151">
        <v>0</v>
      </c>
      <c r="K34" s="152">
        <v>28.65779972076416</v>
      </c>
      <c r="L34" s="151">
        <v>0</v>
      </c>
      <c r="M34" s="152">
        <v>28.65779972076416</v>
      </c>
      <c r="N34" s="151">
        <v>0</v>
      </c>
      <c r="O34" s="152">
        <v>0</v>
      </c>
      <c r="P34" s="151">
        <v>0</v>
      </c>
      <c r="Q34" s="152">
        <v>0</v>
      </c>
      <c r="R34" s="151">
        <v>0</v>
      </c>
      <c r="S34" s="152">
        <v>0</v>
      </c>
      <c r="T34" s="151">
        <v>0</v>
      </c>
      <c r="U34" s="153">
        <v>0</v>
      </c>
      <c r="V34" t="str">
        <f>VLOOKUP(A34,'Projetos ciclo 2018-2022'!$I$7:$I$318,1,FALSE)</f>
        <v>TI04918</v>
      </c>
    </row>
    <row r="35" spans="1:22" x14ac:dyDescent="0.25">
      <c r="A35" s="21" t="s">
        <v>1639</v>
      </c>
      <c r="B35" s="154"/>
      <c r="C35" s="154"/>
      <c r="D35" s="155">
        <v>0</v>
      </c>
      <c r="E35" s="158">
        <v>0</v>
      </c>
      <c r="F35" s="155">
        <v>0</v>
      </c>
      <c r="G35" s="158">
        <v>318</v>
      </c>
      <c r="H35" s="155">
        <v>0</v>
      </c>
      <c r="I35" s="158">
        <v>0</v>
      </c>
      <c r="J35" s="155">
        <v>0</v>
      </c>
      <c r="K35" s="158">
        <v>0</v>
      </c>
      <c r="L35" s="155">
        <v>0</v>
      </c>
      <c r="M35" s="158">
        <v>0</v>
      </c>
      <c r="N35" s="155">
        <v>0</v>
      </c>
      <c r="O35" s="158">
        <v>0</v>
      </c>
      <c r="P35" s="155">
        <v>0</v>
      </c>
      <c r="Q35" s="158">
        <v>0</v>
      </c>
      <c r="R35" s="155">
        <v>0</v>
      </c>
      <c r="S35" s="158">
        <v>0</v>
      </c>
      <c r="T35" s="155">
        <v>0</v>
      </c>
      <c r="U35" s="157">
        <v>0</v>
      </c>
      <c r="V35" t="str">
        <f>VLOOKUP(A35,'Projetos ciclo 2018-2022'!$I$7:$I$318,1,FALSE)</f>
        <v>TI05818</v>
      </c>
    </row>
    <row r="36" spans="1:22" x14ac:dyDescent="0.25">
      <c r="A36" s="149" t="s">
        <v>1793</v>
      </c>
      <c r="B36" s="150"/>
      <c r="C36" s="150"/>
      <c r="D36" s="151">
        <v>0</v>
      </c>
      <c r="E36" s="152">
        <v>0</v>
      </c>
      <c r="F36" s="151">
        <v>0</v>
      </c>
      <c r="G36" s="152">
        <v>420</v>
      </c>
      <c r="H36" s="151">
        <v>0</v>
      </c>
      <c r="I36" s="152">
        <v>0</v>
      </c>
      <c r="J36" s="151">
        <v>0</v>
      </c>
      <c r="K36" s="152">
        <v>0</v>
      </c>
      <c r="L36" s="151">
        <v>420</v>
      </c>
      <c r="M36" s="152">
        <v>420</v>
      </c>
      <c r="N36" s="151">
        <v>0</v>
      </c>
      <c r="O36" s="152">
        <v>0</v>
      </c>
      <c r="P36" s="151">
        <v>0</v>
      </c>
      <c r="Q36" s="152">
        <v>0</v>
      </c>
      <c r="R36" s="151">
        <v>0</v>
      </c>
      <c r="S36" s="152">
        <v>0</v>
      </c>
      <c r="T36" s="151">
        <v>0</v>
      </c>
      <c r="U36" s="153">
        <v>0</v>
      </c>
      <c r="V36" t="str">
        <f>VLOOKUP(A36,'Projetos ciclo 2018-2022'!$I$7:$I$318,1,FALSE)</f>
        <v>TI06818</v>
      </c>
    </row>
    <row r="37" spans="1:22" x14ac:dyDescent="0.25">
      <c r="A37" s="21" t="s">
        <v>1795</v>
      </c>
      <c r="B37" s="154"/>
      <c r="C37" s="154"/>
      <c r="D37" s="155">
        <v>0</v>
      </c>
      <c r="E37" s="158">
        <v>0</v>
      </c>
      <c r="F37" s="155">
        <v>0</v>
      </c>
      <c r="G37" s="158">
        <v>22</v>
      </c>
      <c r="H37" s="155">
        <v>0</v>
      </c>
      <c r="I37" s="158">
        <v>0</v>
      </c>
      <c r="J37" s="155">
        <v>0</v>
      </c>
      <c r="K37" s="158">
        <v>0</v>
      </c>
      <c r="L37" s="155">
        <v>21.861900329589844</v>
      </c>
      <c r="M37" s="158">
        <v>21.861900329589844</v>
      </c>
      <c r="N37" s="155">
        <v>0</v>
      </c>
      <c r="O37" s="158">
        <v>0</v>
      </c>
      <c r="P37" s="155">
        <v>0</v>
      </c>
      <c r="Q37" s="158">
        <v>0</v>
      </c>
      <c r="R37" s="155">
        <v>0</v>
      </c>
      <c r="S37" s="158">
        <v>0</v>
      </c>
      <c r="T37" s="155">
        <v>0</v>
      </c>
      <c r="U37" s="157">
        <v>0</v>
      </c>
      <c r="V37" t="str">
        <f>VLOOKUP(A37,'Projetos ciclo 2018-2022'!$I$7:$I$318,1,FALSE)</f>
        <v>TI07218</v>
      </c>
    </row>
    <row r="38" spans="1:22" x14ac:dyDescent="0.25">
      <c r="A38" s="149" t="s">
        <v>1194</v>
      </c>
      <c r="B38" s="150"/>
      <c r="C38" s="150"/>
      <c r="D38" s="151">
        <v>0</v>
      </c>
      <c r="E38" s="152">
        <v>0</v>
      </c>
      <c r="F38" s="151">
        <v>0</v>
      </c>
      <c r="G38" s="152">
        <v>0</v>
      </c>
      <c r="H38" s="151">
        <v>0</v>
      </c>
      <c r="I38" s="152">
        <v>0</v>
      </c>
      <c r="J38" s="151">
        <v>0</v>
      </c>
      <c r="K38" s="152">
        <v>0</v>
      </c>
      <c r="L38" s="151">
        <v>0</v>
      </c>
      <c r="M38" s="152">
        <v>0</v>
      </c>
      <c r="N38" s="151">
        <v>0</v>
      </c>
      <c r="O38" s="152">
        <v>0</v>
      </c>
      <c r="P38" s="151">
        <v>0</v>
      </c>
      <c r="Q38" s="152">
        <v>0</v>
      </c>
      <c r="R38" s="151">
        <v>0</v>
      </c>
      <c r="S38" s="152">
        <v>0</v>
      </c>
      <c r="T38" s="151">
        <v>0</v>
      </c>
      <c r="U38" s="153">
        <v>0</v>
      </c>
      <c r="V38" t="e">
        <f>VLOOKUP(A38,'Projetos ciclo 2018-2022'!$I$7:$I$318,1,FALSE)</f>
        <v>#N/A</v>
      </c>
    </row>
    <row r="39" spans="1:22" x14ac:dyDescent="0.25">
      <c r="A39" s="21" t="s">
        <v>1196</v>
      </c>
      <c r="B39" s="154"/>
      <c r="C39" s="154"/>
      <c r="D39" s="155">
        <v>0</v>
      </c>
      <c r="E39" s="158">
        <v>0</v>
      </c>
      <c r="F39" s="155">
        <v>0</v>
      </c>
      <c r="G39" s="158">
        <v>0</v>
      </c>
      <c r="H39" s="155">
        <v>0</v>
      </c>
      <c r="I39" s="158">
        <v>0</v>
      </c>
      <c r="J39" s="155">
        <v>0</v>
      </c>
      <c r="K39" s="158">
        <v>0</v>
      </c>
      <c r="L39" s="155">
        <v>0</v>
      </c>
      <c r="M39" s="158">
        <v>0</v>
      </c>
      <c r="N39" s="155">
        <v>0</v>
      </c>
      <c r="O39" s="158">
        <v>0</v>
      </c>
      <c r="P39" s="155">
        <v>0</v>
      </c>
      <c r="Q39" s="158">
        <v>0</v>
      </c>
      <c r="R39" s="155">
        <v>0</v>
      </c>
      <c r="S39" s="158">
        <v>0</v>
      </c>
      <c r="T39" s="155">
        <v>0</v>
      </c>
      <c r="U39" s="157">
        <v>0</v>
      </c>
      <c r="V39" t="e">
        <f>VLOOKUP(A39,'Projetos ciclo 2018-2022'!$I$7:$I$318,1,FALSE)</f>
        <v>#N/A</v>
      </c>
    </row>
    <row r="40" spans="1:22" x14ac:dyDescent="0.25">
      <c r="A40" s="149" t="s">
        <v>1447</v>
      </c>
      <c r="B40" s="150"/>
      <c r="C40" s="150"/>
      <c r="D40" s="151">
        <v>0</v>
      </c>
      <c r="E40" s="152">
        <v>0</v>
      </c>
      <c r="F40" s="151">
        <v>0</v>
      </c>
      <c r="G40" s="152">
        <v>0</v>
      </c>
      <c r="H40" s="151">
        <v>0</v>
      </c>
      <c r="I40" s="152">
        <v>0</v>
      </c>
      <c r="J40" s="151">
        <v>0</v>
      </c>
      <c r="K40" s="152">
        <v>0</v>
      </c>
      <c r="L40" s="151">
        <v>0</v>
      </c>
      <c r="M40" s="152">
        <v>0</v>
      </c>
      <c r="N40" s="151">
        <v>0</v>
      </c>
      <c r="O40" s="152">
        <v>0</v>
      </c>
      <c r="P40" s="151">
        <v>0</v>
      </c>
      <c r="Q40" s="152">
        <v>0</v>
      </c>
      <c r="R40" s="151">
        <v>0</v>
      </c>
      <c r="S40" s="152">
        <v>0</v>
      </c>
      <c r="T40" s="151">
        <v>0</v>
      </c>
      <c r="U40" s="153">
        <v>0</v>
      </c>
      <c r="V40" t="e">
        <f>VLOOKUP(A40,'Projetos ciclo 2018-2022'!$I$7:$I$318,1,FALSE)</f>
        <v>#N/A</v>
      </c>
    </row>
    <row r="41" spans="1:22" x14ac:dyDescent="0.25">
      <c r="A41" s="21" t="s">
        <v>565</v>
      </c>
      <c r="B41" s="154"/>
      <c r="C41" s="154"/>
      <c r="D41" s="155">
        <v>0</v>
      </c>
      <c r="E41" s="158">
        <v>0</v>
      </c>
      <c r="F41" s="155">
        <v>0</v>
      </c>
      <c r="G41" s="158">
        <v>0</v>
      </c>
      <c r="H41" s="155">
        <v>0</v>
      </c>
      <c r="I41" s="158">
        <v>0</v>
      </c>
      <c r="J41" s="155">
        <v>0</v>
      </c>
      <c r="K41" s="158">
        <v>0</v>
      </c>
      <c r="L41" s="155">
        <v>0</v>
      </c>
      <c r="M41" s="158">
        <v>0</v>
      </c>
      <c r="N41" s="155">
        <v>0</v>
      </c>
      <c r="O41" s="158">
        <v>0</v>
      </c>
      <c r="P41" s="155">
        <v>0</v>
      </c>
      <c r="Q41" s="158">
        <v>0</v>
      </c>
      <c r="R41" s="155">
        <v>0</v>
      </c>
      <c r="S41" s="158">
        <v>0</v>
      </c>
      <c r="T41" s="155">
        <v>0</v>
      </c>
      <c r="U41" s="157">
        <v>0</v>
      </c>
      <c r="V41" t="str">
        <f>VLOOKUP(A41,'Projetos ciclo 2018-2022'!$I$7:$I$318,1,FALSE)</f>
        <v>NA</v>
      </c>
    </row>
    <row r="42" spans="1:22" x14ac:dyDescent="0.25">
      <c r="A42" s="149" t="s">
        <v>1199</v>
      </c>
      <c r="B42" s="150"/>
      <c r="C42" s="150"/>
      <c r="D42" s="151">
        <v>103</v>
      </c>
      <c r="E42" s="152">
        <v>0</v>
      </c>
      <c r="F42" s="151">
        <v>0</v>
      </c>
      <c r="G42" s="152">
        <v>0</v>
      </c>
      <c r="H42" s="151">
        <v>0</v>
      </c>
      <c r="I42" s="152">
        <v>0</v>
      </c>
      <c r="J42" s="151">
        <v>0</v>
      </c>
      <c r="K42" s="152">
        <v>0</v>
      </c>
      <c r="L42" s="151">
        <v>0</v>
      </c>
      <c r="M42" s="152">
        <v>0</v>
      </c>
      <c r="N42" s="151">
        <v>0</v>
      </c>
      <c r="O42" s="152">
        <v>0</v>
      </c>
      <c r="P42" s="151">
        <v>0</v>
      </c>
      <c r="Q42" s="152">
        <v>0</v>
      </c>
      <c r="R42" s="151">
        <v>0</v>
      </c>
      <c r="S42" s="152">
        <v>0</v>
      </c>
      <c r="T42" s="151">
        <v>0</v>
      </c>
      <c r="U42" s="153">
        <v>0</v>
      </c>
      <c r="V42" t="e">
        <f>VLOOKUP(A42,'Projetos ciclo 2018-2022'!$I$7:$I$318,1,FALSE)</f>
        <v>#N/A</v>
      </c>
    </row>
    <row r="43" spans="1:22" x14ac:dyDescent="0.25">
      <c r="A43" s="21" t="s">
        <v>1194</v>
      </c>
      <c r="B43" s="154"/>
      <c r="C43" s="154"/>
      <c r="D43" s="155">
        <v>0</v>
      </c>
      <c r="E43" s="158">
        <v>0</v>
      </c>
      <c r="F43" s="155">
        <v>0</v>
      </c>
      <c r="G43" s="158">
        <v>0</v>
      </c>
      <c r="H43" s="155">
        <v>0</v>
      </c>
      <c r="I43" s="158">
        <v>0</v>
      </c>
      <c r="J43" s="155">
        <v>0</v>
      </c>
      <c r="K43" s="158">
        <v>0</v>
      </c>
      <c r="L43" s="155">
        <v>0</v>
      </c>
      <c r="M43" s="158">
        <v>0</v>
      </c>
      <c r="N43" s="155">
        <v>0</v>
      </c>
      <c r="O43" s="158">
        <v>0</v>
      </c>
      <c r="P43" s="155">
        <v>0</v>
      </c>
      <c r="Q43" s="158">
        <v>0</v>
      </c>
      <c r="R43" s="155">
        <v>0</v>
      </c>
      <c r="S43" s="158">
        <v>0</v>
      </c>
      <c r="T43" s="155">
        <v>0</v>
      </c>
      <c r="U43" s="157">
        <v>0</v>
      </c>
      <c r="V43" t="e">
        <f>VLOOKUP(A43,'Projetos ciclo 2018-2022'!$I$7:$I$318,1,FALSE)</f>
        <v>#N/A</v>
      </c>
    </row>
    <row r="44" spans="1:22" x14ac:dyDescent="0.25">
      <c r="A44" s="149" t="s">
        <v>1196</v>
      </c>
      <c r="B44" s="150"/>
      <c r="C44" s="150"/>
      <c r="D44" s="151">
        <v>0</v>
      </c>
      <c r="E44" s="152">
        <v>0</v>
      </c>
      <c r="F44" s="151">
        <v>0</v>
      </c>
      <c r="G44" s="152">
        <v>0</v>
      </c>
      <c r="H44" s="151">
        <v>0</v>
      </c>
      <c r="I44" s="152">
        <v>0</v>
      </c>
      <c r="J44" s="151">
        <v>0</v>
      </c>
      <c r="K44" s="152">
        <v>0</v>
      </c>
      <c r="L44" s="151">
        <v>0</v>
      </c>
      <c r="M44" s="152">
        <v>0</v>
      </c>
      <c r="N44" s="151">
        <v>0</v>
      </c>
      <c r="O44" s="152">
        <v>0</v>
      </c>
      <c r="P44" s="151">
        <v>0</v>
      </c>
      <c r="Q44" s="152">
        <v>0</v>
      </c>
      <c r="R44" s="151">
        <v>0</v>
      </c>
      <c r="S44" s="152">
        <v>0</v>
      </c>
      <c r="T44" s="151">
        <v>0</v>
      </c>
      <c r="U44" s="153">
        <v>0</v>
      </c>
      <c r="V44" t="e">
        <f>VLOOKUP(A44,'Projetos ciclo 2018-2022'!$I$7:$I$318,1,FALSE)</f>
        <v>#N/A</v>
      </c>
    </row>
    <row r="45" spans="1:22" x14ac:dyDescent="0.25">
      <c r="A45" s="21" t="s">
        <v>1450</v>
      </c>
      <c r="B45" s="154"/>
      <c r="C45" s="154"/>
      <c r="D45" s="155">
        <v>912</v>
      </c>
      <c r="E45" s="158">
        <v>0</v>
      </c>
      <c r="F45" s="155">
        <v>426</v>
      </c>
      <c r="G45" s="158">
        <v>0</v>
      </c>
      <c r="H45" s="155">
        <v>79</v>
      </c>
      <c r="I45" s="158">
        <v>0</v>
      </c>
      <c r="J45" s="155">
        <v>0</v>
      </c>
      <c r="K45" s="158">
        <v>0</v>
      </c>
      <c r="L45" s="155">
        <v>0</v>
      </c>
      <c r="M45" s="158">
        <v>0</v>
      </c>
      <c r="N45" s="155">
        <v>486</v>
      </c>
      <c r="O45" s="158">
        <v>0</v>
      </c>
      <c r="P45" s="155">
        <v>0</v>
      </c>
      <c r="Q45" s="158">
        <v>0</v>
      </c>
      <c r="R45" s="155">
        <v>0</v>
      </c>
      <c r="S45" s="158">
        <v>0</v>
      </c>
      <c r="T45" s="155">
        <v>0</v>
      </c>
      <c r="U45" s="157">
        <v>0</v>
      </c>
      <c r="V45" t="e">
        <f>VLOOKUP(A45,'Projetos ciclo 2018-2022'!$I$7:$I$318,1,FALSE)</f>
        <v>#N/A</v>
      </c>
    </row>
    <row r="46" spans="1:22" x14ac:dyDescent="0.25">
      <c r="A46" s="149" t="s">
        <v>1223</v>
      </c>
      <c r="B46" s="150"/>
      <c r="C46" s="150"/>
      <c r="D46" s="151">
        <v>0</v>
      </c>
      <c r="E46" s="152">
        <v>0</v>
      </c>
      <c r="F46" s="151">
        <v>0</v>
      </c>
      <c r="G46" s="152">
        <v>82</v>
      </c>
      <c r="H46" s="151">
        <v>0</v>
      </c>
      <c r="I46" s="152">
        <v>10.290000200271606</v>
      </c>
      <c r="J46" s="151">
        <v>0</v>
      </c>
      <c r="K46" s="152">
        <v>10.290000200271606</v>
      </c>
      <c r="L46" s="151">
        <v>54.939998626708984</v>
      </c>
      <c r="M46" s="152">
        <v>65.229998826980591</v>
      </c>
      <c r="N46" s="151">
        <v>0</v>
      </c>
      <c r="O46" s="152">
        <v>0</v>
      </c>
      <c r="P46" s="151">
        <v>0</v>
      </c>
      <c r="Q46" s="152">
        <v>0</v>
      </c>
      <c r="R46" s="151">
        <v>0</v>
      </c>
      <c r="S46" s="152">
        <v>0</v>
      </c>
      <c r="T46" s="151">
        <v>0</v>
      </c>
      <c r="U46" s="153">
        <v>0</v>
      </c>
      <c r="V46" t="str">
        <f>VLOOKUP(A46,'Projetos ciclo 2018-2022'!$I$7:$I$318,1,FALSE)</f>
        <v>MG00318</v>
      </c>
    </row>
    <row r="47" spans="1:22" x14ac:dyDescent="0.25">
      <c r="A47" s="21" t="s">
        <v>2022</v>
      </c>
      <c r="B47" s="154"/>
      <c r="C47" s="154"/>
      <c r="D47" s="155">
        <v>0</v>
      </c>
      <c r="E47" s="158">
        <v>0</v>
      </c>
      <c r="F47" s="155">
        <v>0</v>
      </c>
      <c r="G47" s="158">
        <v>0</v>
      </c>
      <c r="H47" s="155">
        <v>0</v>
      </c>
      <c r="I47" s="158">
        <v>0</v>
      </c>
      <c r="J47" s="155">
        <v>0</v>
      </c>
      <c r="K47" s="158">
        <v>0</v>
      </c>
      <c r="L47" s="155">
        <v>0</v>
      </c>
      <c r="M47" s="158">
        <v>0</v>
      </c>
      <c r="N47" s="155">
        <v>0</v>
      </c>
      <c r="O47" s="158">
        <v>0</v>
      </c>
      <c r="P47" s="155">
        <v>0</v>
      </c>
      <c r="Q47" s="158">
        <v>0</v>
      </c>
      <c r="R47" s="155">
        <v>0</v>
      </c>
      <c r="S47" s="158">
        <v>0</v>
      </c>
      <c r="T47" s="155">
        <v>0</v>
      </c>
      <c r="U47" s="157">
        <v>0</v>
      </c>
      <c r="V47" t="str">
        <f>VLOOKUP(A47,'Projetos ciclo 2018-2022'!$I$7:$I$318,1,FALSE)</f>
        <v>MG50118</v>
      </c>
    </row>
    <row r="48" spans="1:22" x14ac:dyDescent="0.25">
      <c r="A48" s="149" t="s">
        <v>565</v>
      </c>
      <c r="B48" s="150"/>
      <c r="C48" s="150"/>
      <c r="D48" s="151">
        <v>1297</v>
      </c>
      <c r="E48" s="152">
        <v>0</v>
      </c>
      <c r="F48" s="151">
        <v>0</v>
      </c>
      <c r="G48" s="152">
        <v>0</v>
      </c>
      <c r="H48" s="151">
        <v>0</v>
      </c>
      <c r="I48" s="152">
        <v>0</v>
      </c>
      <c r="J48" s="151">
        <v>0</v>
      </c>
      <c r="K48" s="152">
        <v>0</v>
      </c>
      <c r="L48" s="151">
        <v>0</v>
      </c>
      <c r="M48" s="152">
        <v>0</v>
      </c>
      <c r="N48" s="151">
        <v>0</v>
      </c>
      <c r="O48" s="152">
        <v>602</v>
      </c>
      <c r="P48" s="151">
        <v>498</v>
      </c>
      <c r="Q48" s="152">
        <v>197</v>
      </c>
      <c r="R48" s="151">
        <v>0</v>
      </c>
      <c r="S48" s="152">
        <v>0</v>
      </c>
      <c r="T48" s="151">
        <v>0</v>
      </c>
      <c r="U48" s="153">
        <v>0</v>
      </c>
      <c r="V48" t="str">
        <f>VLOOKUP(A48,'Projetos ciclo 2018-2022'!$I$7:$I$318,1,FALSE)</f>
        <v>NA</v>
      </c>
    </row>
    <row r="49" spans="1:22" x14ac:dyDescent="0.25">
      <c r="A49" s="21" t="s">
        <v>1230</v>
      </c>
      <c r="B49" s="154"/>
      <c r="C49" s="154"/>
      <c r="D49" s="155">
        <v>0</v>
      </c>
      <c r="E49" s="158">
        <v>0</v>
      </c>
      <c r="F49" s="155">
        <v>0</v>
      </c>
      <c r="G49" s="158">
        <v>74</v>
      </c>
      <c r="H49" s="155">
        <v>0</v>
      </c>
      <c r="I49" s="158">
        <v>0</v>
      </c>
      <c r="J49" s="155">
        <v>0</v>
      </c>
      <c r="K49" s="158">
        <v>0</v>
      </c>
      <c r="L49" s="155">
        <v>11.967060089111328</v>
      </c>
      <c r="M49" s="158">
        <v>11.967060089111328</v>
      </c>
      <c r="N49" s="155">
        <v>0</v>
      </c>
      <c r="O49" s="158">
        <v>0</v>
      </c>
      <c r="P49" s="155">
        <v>0</v>
      </c>
      <c r="Q49" s="158">
        <v>0</v>
      </c>
      <c r="R49" s="155">
        <v>0</v>
      </c>
      <c r="S49" s="158">
        <v>0</v>
      </c>
      <c r="T49" s="155">
        <v>0</v>
      </c>
      <c r="U49" s="157">
        <v>0</v>
      </c>
      <c r="V49" t="str">
        <f>VLOOKUP(A49,'Projetos ciclo 2018-2022'!$I$7:$I$318,1,FALSE)</f>
        <v>PO00117</v>
      </c>
    </row>
    <row r="50" spans="1:22" x14ac:dyDescent="0.25">
      <c r="A50" s="149" t="s">
        <v>1233</v>
      </c>
      <c r="B50" s="150"/>
      <c r="C50" s="150"/>
      <c r="D50" s="151">
        <v>0</v>
      </c>
      <c r="E50" s="152">
        <v>0</v>
      </c>
      <c r="F50" s="151">
        <v>0</v>
      </c>
      <c r="G50" s="152">
        <v>270</v>
      </c>
      <c r="H50" s="151">
        <v>0</v>
      </c>
      <c r="I50" s="152">
        <v>88.91908073425293</v>
      </c>
      <c r="J50" s="151">
        <v>0</v>
      </c>
      <c r="K50" s="152">
        <v>88.91908073425293</v>
      </c>
      <c r="L50" s="151">
        <v>89.26792049407959</v>
      </c>
      <c r="M50" s="152">
        <v>178.18700122833252</v>
      </c>
      <c r="N50" s="151">
        <v>0</v>
      </c>
      <c r="O50" s="152">
        <v>0</v>
      </c>
      <c r="P50" s="151">
        <v>0</v>
      </c>
      <c r="Q50" s="152">
        <v>0</v>
      </c>
      <c r="R50" s="151">
        <v>0</v>
      </c>
      <c r="S50" s="152">
        <v>0</v>
      </c>
      <c r="T50" s="151">
        <v>0</v>
      </c>
      <c r="U50" s="153">
        <v>0</v>
      </c>
      <c r="V50" t="str">
        <f>VLOOKUP(A50,'Projetos ciclo 2018-2022'!$I$7:$I$318,1,FALSE)</f>
        <v>PO00118</v>
      </c>
    </row>
    <row r="51" spans="1:22" x14ac:dyDescent="0.25">
      <c r="A51" s="21" t="s">
        <v>1199</v>
      </c>
      <c r="B51" s="154"/>
      <c r="C51" s="154"/>
      <c r="D51" s="155">
        <v>92</v>
      </c>
      <c r="E51" s="158">
        <v>0</v>
      </c>
      <c r="F51" s="155">
        <v>0</v>
      </c>
      <c r="G51" s="158">
        <v>0</v>
      </c>
      <c r="H51" s="155">
        <v>0</v>
      </c>
      <c r="I51" s="158">
        <v>0</v>
      </c>
      <c r="J51" s="155">
        <v>0</v>
      </c>
      <c r="K51" s="158">
        <v>0</v>
      </c>
      <c r="L51" s="155">
        <v>0</v>
      </c>
      <c r="M51" s="158">
        <v>0</v>
      </c>
      <c r="N51" s="155">
        <v>0</v>
      </c>
      <c r="O51" s="158">
        <v>0</v>
      </c>
      <c r="P51" s="155">
        <v>0</v>
      </c>
      <c r="Q51" s="158">
        <v>0</v>
      </c>
      <c r="R51" s="155">
        <v>0</v>
      </c>
      <c r="S51" s="158">
        <v>0</v>
      </c>
      <c r="T51" s="155">
        <v>0</v>
      </c>
      <c r="U51" s="157">
        <v>0</v>
      </c>
      <c r="V51" t="e">
        <f>VLOOKUP(A51,'Projetos ciclo 2018-2022'!$I$7:$I$318,1,FALSE)</f>
        <v>#N/A</v>
      </c>
    </row>
    <row r="52" spans="1:22" x14ac:dyDescent="0.25">
      <c r="A52" s="149" t="s">
        <v>1194</v>
      </c>
      <c r="B52" s="150"/>
      <c r="C52" s="150"/>
      <c r="D52" s="151">
        <v>0</v>
      </c>
      <c r="E52" s="152">
        <v>0</v>
      </c>
      <c r="F52" s="151">
        <v>0</v>
      </c>
      <c r="G52" s="152">
        <v>0</v>
      </c>
      <c r="H52" s="151">
        <v>0</v>
      </c>
      <c r="I52" s="152">
        <v>0</v>
      </c>
      <c r="J52" s="151">
        <v>0</v>
      </c>
      <c r="K52" s="152">
        <v>0</v>
      </c>
      <c r="L52" s="151">
        <v>0</v>
      </c>
      <c r="M52" s="152">
        <v>0</v>
      </c>
      <c r="N52" s="151">
        <v>0</v>
      </c>
      <c r="O52" s="152">
        <v>0</v>
      </c>
      <c r="P52" s="151">
        <v>0</v>
      </c>
      <c r="Q52" s="152">
        <v>0</v>
      </c>
      <c r="R52" s="151">
        <v>0</v>
      </c>
      <c r="S52" s="152">
        <v>0</v>
      </c>
      <c r="T52" s="151">
        <v>0</v>
      </c>
      <c r="U52" s="153">
        <v>0</v>
      </c>
      <c r="V52" t="e">
        <f>VLOOKUP(A52,'Projetos ciclo 2018-2022'!$I$7:$I$318,1,FALSE)</f>
        <v>#N/A</v>
      </c>
    </row>
    <row r="53" spans="1:22" x14ac:dyDescent="0.25">
      <c r="A53" s="21" t="s">
        <v>1196</v>
      </c>
      <c r="B53" s="154"/>
      <c r="C53" s="154"/>
      <c r="D53" s="155">
        <v>0</v>
      </c>
      <c r="E53" s="158">
        <v>0</v>
      </c>
      <c r="F53" s="155">
        <v>0</v>
      </c>
      <c r="G53" s="158">
        <v>0</v>
      </c>
      <c r="H53" s="155">
        <v>0</v>
      </c>
      <c r="I53" s="158">
        <v>0</v>
      </c>
      <c r="J53" s="155">
        <v>0</v>
      </c>
      <c r="K53" s="158">
        <v>0</v>
      </c>
      <c r="L53" s="155">
        <v>0</v>
      </c>
      <c r="M53" s="158">
        <v>0</v>
      </c>
      <c r="N53" s="155">
        <v>0</v>
      </c>
      <c r="O53" s="158">
        <v>0</v>
      </c>
      <c r="P53" s="155">
        <v>0</v>
      </c>
      <c r="Q53" s="158">
        <v>0</v>
      </c>
      <c r="R53" s="155">
        <v>0</v>
      </c>
      <c r="S53" s="158">
        <v>0</v>
      </c>
      <c r="T53" s="155">
        <v>0</v>
      </c>
      <c r="U53" s="157">
        <v>0</v>
      </c>
      <c r="V53" t="e">
        <f>VLOOKUP(A53,'Projetos ciclo 2018-2022'!$I$7:$I$318,1,FALSE)</f>
        <v>#N/A</v>
      </c>
    </row>
    <row r="54" spans="1:22" x14ac:dyDescent="0.25">
      <c r="A54" s="149" t="s">
        <v>1453</v>
      </c>
      <c r="B54" s="150"/>
      <c r="C54" s="150"/>
      <c r="D54" s="151">
        <v>320</v>
      </c>
      <c r="E54" s="152">
        <v>0</v>
      </c>
      <c r="F54" s="151">
        <v>0</v>
      </c>
      <c r="G54" s="152">
        <v>0</v>
      </c>
      <c r="H54" s="151">
        <v>0</v>
      </c>
      <c r="I54" s="152">
        <v>0</v>
      </c>
      <c r="J54" s="151">
        <v>0</v>
      </c>
      <c r="K54" s="152">
        <v>0</v>
      </c>
      <c r="L54" s="151">
        <v>0</v>
      </c>
      <c r="M54" s="152">
        <v>0</v>
      </c>
      <c r="N54" s="151">
        <v>320</v>
      </c>
      <c r="O54" s="152">
        <v>0</v>
      </c>
      <c r="P54" s="151">
        <v>0</v>
      </c>
      <c r="Q54" s="152">
        <v>0</v>
      </c>
      <c r="R54" s="151">
        <v>0</v>
      </c>
      <c r="S54" s="152">
        <v>0</v>
      </c>
      <c r="T54" s="151">
        <v>0</v>
      </c>
      <c r="U54" s="153">
        <v>0</v>
      </c>
      <c r="V54" t="e">
        <f>VLOOKUP(A54,'Projetos ciclo 2018-2022'!$I$7:$I$318,1,FALSE)</f>
        <v>#N/A</v>
      </c>
    </row>
    <row r="55" spans="1:22" x14ac:dyDescent="0.25">
      <c r="A55" s="21" t="s">
        <v>565</v>
      </c>
      <c r="B55" s="154"/>
      <c r="C55" s="154"/>
      <c r="D55" s="155">
        <v>1591</v>
      </c>
      <c r="E55" s="158">
        <v>0</v>
      </c>
      <c r="F55" s="155">
        <v>0</v>
      </c>
      <c r="G55" s="158">
        <v>0</v>
      </c>
      <c r="H55" s="155">
        <v>0</v>
      </c>
      <c r="I55" s="158">
        <v>0</v>
      </c>
      <c r="J55" s="155">
        <v>0</v>
      </c>
      <c r="K55" s="158">
        <v>0</v>
      </c>
      <c r="L55" s="155">
        <v>0</v>
      </c>
      <c r="M55" s="158">
        <v>0</v>
      </c>
      <c r="N55" s="155">
        <v>110</v>
      </c>
      <c r="O55" s="158">
        <v>204</v>
      </c>
      <c r="P55" s="155">
        <v>1251</v>
      </c>
      <c r="Q55" s="158">
        <v>26</v>
      </c>
      <c r="R55" s="155">
        <v>0</v>
      </c>
      <c r="S55" s="158">
        <v>0</v>
      </c>
      <c r="T55" s="155">
        <v>0</v>
      </c>
      <c r="U55" s="157">
        <v>0</v>
      </c>
      <c r="V55" t="str">
        <f>VLOOKUP(A55,'Projetos ciclo 2018-2022'!$I$7:$I$318,1,FALSE)</f>
        <v>NA</v>
      </c>
    </row>
    <row r="56" spans="1:22" x14ac:dyDescent="0.25">
      <c r="A56" s="149" t="s">
        <v>2021</v>
      </c>
      <c r="B56" s="150"/>
      <c r="C56" s="150"/>
      <c r="D56" s="151">
        <v>0</v>
      </c>
      <c r="E56" s="152">
        <v>0</v>
      </c>
      <c r="F56" s="151">
        <v>0</v>
      </c>
      <c r="G56" s="152">
        <v>0</v>
      </c>
      <c r="H56" s="151">
        <v>0</v>
      </c>
      <c r="I56" s="152">
        <v>0</v>
      </c>
      <c r="J56" s="151">
        <v>0</v>
      </c>
      <c r="K56" s="152">
        <v>0</v>
      </c>
      <c r="L56" s="151">
        <v>0</v>
      </c>
      <c r="M56" s="152">
        <v>0</v>
      </c>
      <c r="N56" s="151">
        <v>0</v>
      </c>
      <c r="O56" s="152">
        <v>0</v>
      </c>
      <c r="P56" s="151">
        <v>0</v>
      </c>
      <c r="Q56" s="152">
        <v>0</v>
      </c>
      <c r="R56" s="151">
        <v>0</v>
      </c>
      <c r="S56" s="152">
        <v>0</v>
      </c>
      <c r="T56" s="151">
        <v>0</v>
      </c>
      <c r="U56" s="153">
        <v>0</v>
      </c>
      <c r="V56" t="str">
        <f>VLOOKUP(A56,'Projetos ciclo 2018-2022'!$I$7:$I$318,1,FALSE)</f>
        <v>SC01418</v>
      </c>
    </row>
    <row r="57" spans="1:22" x14ac:dyDescent="0.25">
      <c r="A57" s="21" t="s">
        <v>1199</v>
      </c>
      <c r="B57" s="154"/>
      <c r="C57" s="154"/>
      <c r="D57" s="155">
        <v>0</v>
      </c>
      <c r="E57" s="158">
        <v>0</v>
      </c>
      <c r="F57" s="155">
        <v>0</v>
      </c>
      <c r="G57" s="158">
        <v>0</v>
      </c>
      <c r="H57" s="155">
        <v>0</v>
      </c>
      <c r="I57" s="158">
        <v>0</v>
      </c>
      <c r="J57" s="155">
        <v>0</v>
      </c>
      <c r="K57" s="158">
        <v>0</v>
      </c>
      <c r="L57" s="155">
        <v>0</v>
      </c>
      <c r="M57" s="158">
        <v>0</v>
      </c>
      <c r="N57" s="155">
        <v>0</v>
      </c>
      <c r="O57" s="158">
        <v>0</v>
      </c>
      <c r="P57" s="155">
        <v>0</v>
      </c>
      <c r="Q57" s="158">
        <v>0</v>
      </c>
      <c r="R57" s="155">
        <v>0</v>
      </c>
      <c r="S57" s="158">
        <v>0</v>
      </c>
      <c r="T57" s="155">
        <v>0</v>
      </c>
      <c r="U57" s="157">
        <v>0</v>
      </c>
      <c r="V57" t="e">
        <f>VLOOKUP(A57,'Projetos ciclo 2018-2022'!$I$7:$I$318,1,FALSE)</f>
        <v>#N/A</v>
      </c>
    </row>
    <row r="58" spans="1:22" x14ac:dyDescent="0.25">
      <c r="A58" s="149" t="s">
        <v>1194</v>
      </c>
      <c r="B58" s="150"/>
      <c r="C58" s="150"/>
      <c r="D58" s="151">
        <v>0</v>
      </c>
      <c r="E58" s="152">
        <v>0</v>
      </c>
      <c r="F58" s="151">
        <v>0</v>
      </c>
      <c r="G58" s="152">
        <v>0</v>
      </c>
      <c r="H58" s="151">
        <v>0</v>
      </c>
      <c r="I58" s="152">
        <v>0</v>
      </c>
      <c r="J58" s="151">
        <v>0</v>
      </c>
      <c r="K58" s="152">
        <v>0</v>
      </c>
      <c r="L58" s="151">
        <v>0</v>
      </c>
      <c r="M58" s="152">
        <v>0</v>
      </c>
      <c r="N58" s="151">
        <v>0</v>
      </c>
      <c r="O58" s="152">
        <v>0</v>
      </c>
      <c r="P58" s="151">
        <v>0</v>
      </c>
      <c r="Q58" s="152">
        <v>0</v>
      </c>
      <c r="R58" s="151">
        <v>0</v>
      </c>
      <c r="S58" s="152">
        <v>0</v>
      </c>
      <c r="T58" s="151">
        <v>0</v>
      </c>
      <c r="U58" s="153">
        <v>0</v>
      </c>
      <c r="V58" t="e">
        <f>VLOOKUP(A58,'Projetos ciclo 2018-2022'!$I$7:$I$318,1,FALSE)</f>
        <v>#N/A</v>
      </c>
    </row>
    <row r="59" spans="1:22" x14ac:dyDescent="0.25">
      <c r="A59" s="21" t="s">
        <v>1196</v>
      </c>
      <c r="B59" s="154"/>
      <c r="C59" s="154"/>
      <c r="D59" s="155">
        <v>0</v>
      </c>
      <c r="E59" s="158">
        <v>0</v>
      </c>
      <c r="F59" s="155">
        <v>0</v>
      </c>
      <c r="G59" s="158">
        <v>0</v>
      </c>
      <c r="H59" s="155">
        <v>0</v>
      </c>
      <c r="I59" s="158">
        <v>0</v>
      </c>
      <c r="J59" s="155">
        <v>0</v>
      </c>
      <c r="K59" s="158">
        <v>0</v>
      </c>
      <c r="L59" s="155">
        <v>0</v>
      </c>
      <c r="M59" s="158">
        <v>0</v>
      </c>
      <c r="N59" s="155">
        <v>0</v>
      </c>
      <c r="O59" s="158">
        <v>0</v>
      </c>
      <c r="P59" s="155">
        <v>0</v>
      </c>
      <c r="Q59" s="158">
        <v>0</v>
      </c>
      <c r="R59" s="155">
        <v>0</v>
      </c>
      <c r="S59" s="158">
        <v>0</v>
      </c>
      <c r="T59" s="155">
        <v>0</v>
      </c>
      <c r="U59" s="157">
        <v>0</v>
      </c>
      <c r="V59" t="e">
        <f>VLOOKUP(A59,'Projetos ciclo 2018-2022'!$I$7:$I$318,1,FALSE)</f>
        <v>#N/A</v>
      </c>
    </row>
    <row r="60" spans="1:22" x14ac:dyDescent="0.25">
      <c r="A60" s="149" t="s">
        <v>565</v>
      </c>
      <c r="B60" s="150"/>
      <c r="C60" s="150"/>
      <c r="D60" s="151">
        <v>257</v>
      </c>
      <c r="E60" s="152">
        <v>0</v>
      </c>
      <c r="F60" s="151">
        <v>0</v>
      </c>
      <c r="G60" s="152">
        <v>0</v>
      </c>
      <c r="H60" s="151">
        <v>0</v>
      </c>
      <c r="I60" s="152">
        <v>0</v>
      </c>
      <c r="J60" s="151">
        <v>0</v>
      </c>
      <c r="K60" s="152">
        <v>0</v>
      </c>
      <c r="L60" s="151">
        <v>0</v>
      </c>
      <c r="M60" s="152">
        <v>0</v>
      </c>
      <c r="N60" s="151">
        <v>6</v>
      </c>
      <c r="O60" s="152">
        <v>83</v>
      </c>
      <c r="P60" s="151">
        <v>90</v>
      </c>
      <c r="Q60" s="152">
        <v>78</v>
      </c>
      <c r="R60" s="151">
        <v>0</v>
      </c>
      <c r="S60" s="152">
        <v>0</v>
      </c>
      <c r="T60" s="151">
        <v>0</v>
      </c>
      <c r="U60" s="153">
        <v>0</v>
      </c>
      <c r="V60" t="str">
        <f>VLOOKUP(A60,'Projetos ciclo 2018-2022'!$I$7:$I$318,1,FALSE)</f>
        <v>NA</v>
      </c>
    </row>
    <row r="61" spans="1:22" x14ac:dyDescent="0.25">
      <c r="A61" s="21" t="s">
        <v>1199</v>
      </c>
      <c r="B61" s="154"/>
      <c r="C61" s="154"/>
      <c r="D61" s="155">
        <v>0</v>
      </c>
      <c r="E61" s="158">
        <v>0</v>
      </c>
      <c r="F61" s="155">
        <v>0</v>
      </c>
      <c r="G61" s="158">
        <v>0</v>
      </c>
      <c r="H61" s="155">
        <v>0</v>
      </c>
      <c r="I61" s="158">
        <v>0</v>
      </c>
      <c r="J61" s="155">
        <v>0</v>
      </c>
      <c r="K61" s="158">
        <v>0</v>
      </c>
      <c r="L61" s="155">
        <v>0</v>
      </c>
      <c r="M61" s="158">
        <v>0</v>
      </c>
      <c r="N61" s="155">
        <v>0</v>
      </c>
      <c r="O61" s="158">
        <v>0</v>
      </c>
      <c r="P61" s="155">
        <v>0</v>
      </c>
      <c r="Q61" s="158">
        <v>0</v>
      </c>
      <c r="R61" s="155">
        <v>0</v>
      </c>
      <c r="S61" s="158">
        <v>0</v>
      </c>
      <c r="T61" s="155">
        <v>0</v>
      </c>
      <c r="U61" s="157">
        <v>0</v>
      </c>
      <c r="V61" t="e">
        <f>VLOOKUP(A61,'Projetos ciclo 2018-2022'!$I$7:$I$318,1,FALSE)</f>
        <v>#N/A</v>
      </c>
    </row>
    <row r="62" spans="1:22" x14ac:dyDescent="0.25">
      <c r="A62" s="149" t="s">
        <v>1242</v>
      </c>
      <c r="B62" s="150"/>
      <c r="C62" s="150"/>
      <c r="D62" s="151">
        <v>182</v>
      </c>
      <c r="E62" s="152">
        <v>0</v>
      </c>
      <c r="F62" s="151">
        <v>142</v>
      </c>
      <c r="G62" s="152">
        <v>0</v>
      </c>
      <c r="H62" s="151">
        <v>0</v>
      </c>
      <c r="I62" s="152">
        <v>0</v>
      </c>
      <c r="J62" s="151">
        <v>0</v>
      </c>
      <c r="K62" s="152">
        <v>0</v>
      </c>
      <c r="L62" s="151">
        <v>0</v>
      </c>
      <c r="M62" s="152">
        <v>0</v>
      </c>
      <c r="N62" s="151">
        <v>40</v>
      </c>
      <c r="O62" s="152">
        <v>0</v>
      </c>
      <c r="P62" s="151">
        <v>0</v>
      </c>
      <c r="Q62" s="152">
        <v>0</v>
      </c>
      <c r="R62" s="151">
        <v>0</v>
      </c>
      <c r="S62" s="152">
        <v>0</v>
      </c>
      <c r="T62" s="151">
        <v>0</v>
      </c>
      <c r="U62" s="153">
        <v>0</v>
      </c>
      <c r="V62" t="e">
        <f>VLOOKUP(A62,'Projetos ciclo 2018-2022'!$I$7:$I$318,1,FALSE)</f>
        <v>#N/A</v>
      </c>
    </row>
    <row r="63" spans="1:22" x14ac:dyDescent="0.25">
      <c r="A63" s="21" t="s">
        <v>1742</v>
      </c>
      <c r="B63" s="154"/>
      <c r="C63" s="154"/>
      <c r="D63" s="155">
        <v>0</v>
      </c>
      <c r="E63" s="158">
        <v>0</v>
      </c>
      <c r="F63" s="155">
        <v>0</v>
      </c>
      <c r="G63" s="158">
        <v>142</v>
      </c>
      <c r="H63" s="155">
        <v>0</v>
      </c>
      <c r="I63" s="158">
        <v>0</v>
      </c>
      <c r="J63" s="155">
        <v>0</v>
      </c>
      <c r="K63" s="158">
        <v>0</v>
      </c>
      <c r="L63" s="155">
        <v>142.21935653686523</v>
      </c>
      <c r="M63" s="158">
        <v>142.21935653686523</v>
      </c>
      <c r="N63" s="155">
        <v>0</v>
      </c>
      <c r="O63" s="158">
        <v>0</v>
      </c>
      <c r="P63" s="155">
        <v>0</v>
      </c>
      <c r="Q63" s="158">
        <v>0</v>
      </c>
      <c r="R63" s="155">
        <v>0</v>
      </c>
      <c r="S63" s="158">
        <v>0</v>
      </c>
      <c r="T63" s="155">
        <v>0</v>
      </c>
      <c r="U63" s="157">
        <v>0</v>
      </c>
      <c r="V63" t="str">
        <f>VLOOKUP(A63,'Projetos ciclo 2018-2022'!$I$7:$I$318,1,FALSE)</f>
        <v>TI06618</v>
      </c>
    </row>
    <row r="64" spans="1:22" x14ac:dyDescent="0.25">
      <c r="A64" s="149" t="s">
        <v>1969</v>
      </c>
      <c r="B64" s="150"/>
      <c r="C64" s="150"/>
      <c r="D64" s="151">
        <v>0</v>
      </c>
      <c r="E64" s="152">
        <v>0</v>
      </c>
      <c r="F64" s="151">
        <v>0</v>
      </c>
      <c r="G64" s="152">
        <v>0</v>
      </c>
      <c r="H64" s="151">
        <v>0</v>
      </c>
      <c r="I64" s="152">
        <v>0</v>
      </c>
      <c r="J64" s="151">
        <v>0</v>
      </c>
      <c r="K64" s="152">
        <v>0</v>
      </c>
      <c r="L64" s="151">
        <v>0</v>
      </c>
      <c r="M64" s="152">
        <v>0</v>
      </c>
      <c r="N64" s="151">
        <v>0</v>
      </c>
      <c r="O64" s="152">
        <v>0</v>
      </c>
      <c r="P64" s="151">
        <v>0</v>
      </c>
      <c r="Q64" s="152">
        <v>0</v>
      </c>
      <c r="R64" s="151">
        <v>0</v>
      </c>
      <c r="S64" s="152">
        <v>0</v>
      </c>
      <c r="T64" s="151">
        <v>0</v>
      </c>
      <c r="U64" s="153">
        <v>0</v>
      </c>
      <c r="V64" t="str">
        <f>VLOOKUP(A64,'Projetos ciclo 2018-2022'!$I$7:$I$318,1,FALSE)</f>
        <v>TI07818</v>
      </c>
    </row>
    <row r="65" spans="1:22" x14ac:dyDescent="0.25">
      <c r="A65" s="21" t="s">
        <v>1194</v>
      </c>
      <c r="B65" s="154"/>
      <c r="C65" s="154"/>
      <c r="D65" s="155">
        <v>0</v>
      </c>
      <c r="E65" s="158">
        <v>0</v>
      </c>
      <c r="F65" s="155">
        <v>0</v>
      </c>
      <c r="G65" s="158">
        <v>0</v>
      </c>
      <c r="H65" s="155">
        <v>0</v>
      </c>
      <c r="I65" s="158">
        <v>0</v>
      </c>
      <c r="J65" s="155">
        <v>0</v>
      </c>
      <c r="K65" s="158">
        <v>0</v>
      </c>
      <c r="L65" s="155">
        <v>0</v>
      </c>
      <c r="M65" s="158">
        <v>0</v>
      </c>
      <c r="N65" s="155">
        <v>0</v>
      </c>
      <c r="O65" s="158">
        <v>0</v>
      </c>
      <c r="P65" s="155">
        <v>0</v>
      </c>
      <c r="Q65" s="158">
        <v>0</v>
      </c>
      <c r="R65" s="155">
        <v>0</v>
      </c>
      <c r="S65" s="158">
        <v>0</v>
      </c>
      <c r="T65" s="155">
        <v>0</v>
      </c>
      <c r="U65" s="157">
        <v>0</v>
      </c>
      <c r="V65" t="e">
        <f>VLOOKUP(A65,'Projetos ciclo 2018-2022'!$I$7:$I$318,1,FALSE)</f>
        <v>#N/A</v>
      </c>
    </row>
    <row r="66" spans="1:22" x14ac:dyDescent="0.25">
      <c r="A66" s="149" t="s">
        <v>1196</v>
      </c>
      <c r="B66" s="150"/>
      <c r="C66" s="150"/>
      <c r="D66" s="151">
        <v>0</v>
      </c>
      <c r="E66" s="152">
        <v>0</v>
      </c>
      <c r="F66" s="151">
        <v>0</v>
      </c>
      <c r="G66" s="152">
        <v>0</v>
      </c>
      <c r="H66" s="151">
        <v>0</v>
      </c>
      <c r="I66" s="152">
        <v>0</v>
      </c>
      <c r="J66" s="151">
        <v>0</v>
      </c>
      <c r="K66" s="152">
        <v>0</v>
      </c>
      <c r="L66" s="151">
        <v>0</v>
      </c>
      <c r="M66" s="152">
        <v>0</v>
      </c>
      <c r="N66" s="151">
        <v>0</v>
      </c>
      <c r="O66" s="152">
        <v>0</v>
      </c>
      <c r="P66" s="151">
        <v>0</v>
      </c>
      <c r="Q66" s="152">
        <v>0</v>
      </c>
      <c r="R66" s="151">
        <v>0</v>
      </c>
      <c r="S66" s="152">
        <v>0</v>
      </c>
      <c r="T66" s="151">
        <v>0</v>
      </c>
      <c r="U66" s="153">
        <v>0</v>
      </c>
      <c r="V66" t="e">
        <f>VLOOKUP(A66,'Projetos ciclo 2018-2022'!$I$7:$I$318,1,FALSE)</f>
        <v>#N/A</v>
      </c>
    </row>
    <row r="67" spans="1:22" x14ac:dyDescent="0.25">
      <c r="A67" s="21" t="s">
        <v>565</v>
      </c>
      <c r="B67" s="154"/>
      <c r="C67" s="154"/>
      <c r="D67" s="155">
        <v>529</v>
      </c>
      <c r="E67" s="158">
        <v>0</v>
      </c>
      <c r="F67" s="155">
        <v>0</v>
      </c>
      <c r="G67" s="158">
        <v>0</v>
      </c>
      <c r="H67" s="155">
        <v>0</v>
      </c>
      <c r="I67" s="158">
        <v>0</v>
      </c>
      <c r="J67" s="155">
        <v>0</v>
      </c>
      <c r="K67" s="158">
        <v>0</v>
      </c>
      <c r="L67" s="155">
        <v>0</v>
      </c>
      <c r="M67" s="158">
        <v>0</v>
      </c>
      <c r="N67" s="155">
        <v>55</v>
      </c>
      <c r="O67" s="158">
        <v>209</v>
      </c>
      <c r="P67" s="155">
        <v>55</v>
      </c>
      <c r="Q67" s="158">
        <v>210</v>
      </c>
      <c r="R67" s="155">
        <v>0</v>
      </c>
      <c r="S67" s="158">
        <v>0</v>
      </c>
      <c r="T67" s="155">
        <v>0</v>
      </c>
      <c r="U67" s="157">
        <v>0</v>
      </c>
      <c r="V67" t="str">
        <f>VLOOKUP(A67,'Projetos ciclo 2018-2022'!$I$7:$I$318,1,FALSE)</f>
        <v>NA</v>
      </c>
    </row>
    <row r="68" spans="1:22" x14ac:dyDescent="0.25">
      <c r="A68" s="149" t="s">
        <v>1199</v>
      </c>
      <c r="B68" s="150"/>
      <c r="C68" s="150"/>
      <c r="D68" s="151">
        <v>0</v>
      </c>
      <c r="E68" s="152">
        <v>0</v>
      </c>
      <c r="F68" s="151">
        <v>0</v>
      </c>
      <c r="G68" s="152">
        <v>0</v>
      </c>
      <c r="H68" s="151">
        <v>0</v>
      </c>
      <c r="I68" s="152">
        <v>0</v>
      </c>
      <c r="J68" s="151">
        <v>0</v>
      </c>
      <c r="K68" s="152">
        <v>0</v>
      </c>
      <c r="L68" s="151">
        <v>0</v>
      </c>
      <c r="M68" s="152">
        <v>0</v>
      </c>
      <c r="N68" s="151">
        <v>0</v>
      </c>
      <c r="O68" s="152">
        <v>0</v>
      </c>
      <c r="P68" s="151">
        <v>0</v>
      </c>
      <c r="Q68" s="152">
        <v>0</v>
      </c>
      <c r="R68" s="151">
        <v>0</v>
      </c>
      <c r="S68" s="152">
        <v>0</v>
      </c>
      <c r="T68" s="151">
        <v>0</v>
      </c>
      <c r="U68" s="153">
        <v>0</v>
      </c>
      <c r="V68" t="e">
        <f>VLOOKUP(A68,'Projetos ciclo 2018-2022'!$I$7:$I$318,1,FALSE)</f>
        <v>#N/A</v>
      </c>
    </row>
    <row r="69" spans="1:22" x14ac:dyDescent="0.25">
      <c r="A69" s="21" t="s">
        <v>1246</v>
      </c>
      <c r="B69" s="154"/>
      <c r="C69" s="154"/>
      <c r="D69" s="155">
        <v>415</v>
      </c>
      <c r="E69" s="158">
        <v>0</v>
      </c>
      <c r="F69" s="155">
        <v>415</v>
      </c>
      <c r="G69" s="158">
        <v>0</v>
      </c>
      <c r="H69" s="155">
        <v>0</v>
      </c>
      <c r="I69" s="158">
        <v>0</v>
      </c>
      <c r="J69" s="155">
        <v>0</v>
      </c>
      <c r="K69" s="158">
        <v>0</v>
      </c>
      <c r="L69" s="155">
        <v>0</v>
      </c>
      <c r="M69" s="158">
        <v>0</v>
      </c>
      <c r="N69" s="155">
        <v>0</v>
      </c>
      <c r="O69" s="158">
        <v>0</v>
      </c>
      <c r="P69" s="155">
        <v>0</v>
      </c>
      <c r="Q69" s="158">
        <v>0</v>
      </c>
      <c r="R69" s="155">
        <v>0</v>
      </c>
      <c r="S69" s="158">
        <v>0</v>
      </c>
      <c r="T69" s="155">
        <v>0</v>
      </c>
      <c r="U69" s="157">
        <v>0</v>
      </c>
      <c r="V69" t="e">
        <f>VLOOKUP(A69,'Projetos ciclo 2018-2022'!$I$7:$I$318,1,FALSE)</f>
        <v>#N/A</v>
      </c>
    </row>
    <row r="70" spans="1:22" x14ac:dyDescent="0.25">
      <c r="A70" s="149" t="s">
        <v>1477</v>
      </c>
      <c r="B70" s="150"/>
      <c r="C70" s="150"/>
      <c r="D70" s="151">
        <v>0</v>
      </c>
      <c r="E70" s="152">
        <v>0</v>
      </c>
      <c r="F70" s="151">
        <v>0</v>
      </c>
      <c r="G70" s="152">
        <v>415</v>
      </c>
      <c r="H70" s="151">
        <v>0</v>
      </c>
      <c r="I70" s="152">
        <v>0</v>
      </c>
      <c r="J70" s="151">
        <v>0</v>
      </c>
      <c r="K70" s="152">
        <v>0</v>
      </c>
      <c r="L70" s="151">
        <v>388.48779296875</v>
      </c>
      <c r="M70" s="152">
        <v>388.48779296875</v>
      </c>
      <c r="N70" s="151">
        <v>0</v>
      </c>
      <c r="O70" s="152">
        <v>0</v>
      </c>
      <c r="P70" s="151">
        <v>0</v>
      </c>
      <c r="Q70" s="152">
        <v>0</v>
      </c>
      <c r="R70" s="151">
        <v>0</v>
      </c>
      <c r="S70" s="152">
        <v>0</v>
      </c>
      <c r="T70" s="151">
        <v>0</v>
      </c>
      <c r="U70" s="153">
        <v>0</v>
      </c>
      <c r="V70" t="str">
        <f>VLOOKUP(A70,'Projetos ciclo 2018-2022'!$I$7:$I$318,1,FALSE)</f>
        <v>TI04418</v>
      </c>
    </row>
    <row r="71" spans="1:22" x14ac:dyDescent="0.25">
      <c r="A71" s="21" t="s">
        <v>1194</v>
      </c>
      <c r="B71" s="154"/>
      <c r="C71" s="154"/>
      <c r="D71" s="155">
        <v>0</v>
      </c>
      <c r="E71" s="158">
        <v>0</v>
      </c>
      <c r="F71" s="155">
        <v>0</v>
      </c>
      <c r="G71" s="158">
        <v>0</v>
      </c>
      <c r="H71" s="155">
        <v>0</v>
      </c>
      <c r="I71" s="158">
        <v>0</v>
      </c>
      <c r="J71" s="155">
        <v>0</v>
      </c>
      <c r="K71" s="158">
        <v>0</v>
      </c>
      <c r="L71" s="155">
        <v>0</v>
      </c>
      <c r="M71" s="158">
        <v>0</v>
      </c>
      <c r="N71" s="155">
        <v>0</v>
      </c>
      <c r="O71" s="158">
        <v>0</v>
      </c>
      <c r="P71" s="155">
        <v>0</v>
      </c>
      <c r="Q71" s="158">
        <v>0</v>
      </c>
      <c r="R71" s="155">
        <v>0</v>
      </c>
      <c r="S71" s="158">
        <v>0</v>
      </c>
      <c r="T71" s="155">
        <v>0</v>
      </c>
      <c r="U71" s="157">
        <v>0</v>
      </c>
      <c r="V71" t="e">
        <f>VLOOKUP(A71,'Projetos ciclo 2018-2022'!$I$7:$I$318,1,FALSE)</f>
        <v>#N/A</v>
      </c>
    </row>
    <row r="72" spans="1:22" x14ac:dyDescent="0.25">
      <c r="A72" s="149" t="s">
        <v>1196</v>
      </c>
      <c r="B72" s="150"/>
      <c r="C72" s="150"/>
      <c r="D72" s="151">
        <v>0</v>
      </c>
      <c r="E72" s="152">
        <v>0</v>
      </c>
      <c r="F72" s="151">
        <v>0</v>
      </c>
      <c r="G72" s="152">
        <v>0</v>
      </c>
      <c r="H72" s="151">
        <v>0</v>
      </c>
      <c r="I72" s="152">
        <v>0</v>
      </c>
      <c r="J72" s="151">
        <v>0</v>
      </c>
      <c r="K72" s="152">
        <v>0</v>
      </c>
      <c r="L72" s="151">
        <v>0</v>
      </c>
      <c r="M72" s="152">
        <v>0</v>
      </c>
      <c r="N72" s="151">
        <v>0</v>
      </c>
      <c r="O72" s="152">
        <v>0</v>
      </c>
      <c r="P72" s="151">
        <v>0</v>
      </c>
      <c r="Q72" s="152">
        <v>0</v>
      </c>
      <c r="R72" s="151">
        <v>0</v>
      </c>
      <c r="S72" s="152">
        <v>0</v>
      </c>
      <c r="T72" s="151">
        <v>0</v>
      </c>
      <c r="U72" s="153">
        <v>0</v>
      </c>
      <c r="V72" t="e">
        <f>VLOOKUP(A72,'Projetos ciclo 2018-2022'!$I$7:$I$318,1,FALSE)</f>
        <v>#N/A</v>
      </c>
    </row>
    <row r="73" spans="1:22" x14ac:dyDescent="0.25">
      <c r="A73" s="21" t="s">
        <v>565</v>
      </c>
      <c r="B73" s="154"/>
      <c r="C73" s="154"/>
      <c r="D73" s="155">
        <v>385.5</v>
      </c>
      <c r="E73" s="158">
        <v>0</v>
      </c>
      <c r="F73" s="155">
        <v>0</v>
      </c>
      <c r="G73" s="158">
        <v>0</v>
      </c>
      <c r="H73" s="155">
        <v>0</v>
      </c>
      <c r="I73" s="158">
        <v>0</v>
      </c>
      <c r="J73" s="155">
        <v>0</v>
      </c>
      <c r="K73" s="158">
        <v>0</v>
      </c>
      <c r="L73" s="155">
        <v>0</v>
      </c>
      <c r="M73" s="158">
        <v>0</v>
      </c>
      <c r="N73" s="155">
        <v>0</v>
      </c>
      <c r="O73" s="158">
        <v>128.5</v>
      </c>
      <c r="P73" s="155">
        <v>128.5</v>
      </c>
      <c r="Q73" s="158">
        <v>128.5</v>
      </c>
      <c r="R73" s="155">
        <v>0</v>
      </c>
      <c r="S73" s="158">
        <v>0</v>
      </c>
      <c r="T73" s="155">
        <v>0</v>
      </c>
      <c r="U73" s="157">
        <v>0</v>
      </c>
      <c r="V73" t="str">
        <f>VLOOKUP(A73,'Projetos ciclo 2018-2022'!$I$7:$I$318,1,FALSE)</f>
        <v>NA</v>
      </c>
    </row>
    <row r="74" spans="1:22" x14ac:dyDescent="0.25">
      <c r="A74" s="149" t="s">
        <v>1199</v>
      </c>
      <c r="B74" s="150"/>
      <c r="C74" s="150"/>
      <c r="D74" s="151">
        <v>-0.5</v>
      </c>
      <c r="E74" s="152">
        <v>0</v>
      </c>
      <c r="F74" s="151">
        <v>0</v>
      </c>
      <c r="G74" s="152">
        <v>0</v>
      </c>
      <c r="H74" s="151">
        <v>0</v>
      </c>
      <c r="I74" s="152">
        <v>0</v>
      </c>
      <c r="J74" s="151">
        <v>0</v>
      </c>
      <c r="K74" s="152">
        <v>0</v>
      </c>
      <c r="L74" s="151">
        <v>0</v>
      </c>
      <c r="M74" s="152">
        <v>0</v>
      </c>
      <c r="N74" s="151">
        <v>0</v>
      </c>
      <c r="O74" s="152">
        <v>0</v>
      </c>
      <c r="P74" s="151">
        <v>0</v>
      </c>
      <c r="Q74" s="152">
        <v>0</v>
      </c>
      <c r="R74" s="151">
        <v>0</v>
      </c>
      <c r="S74" s="152">
        <v>0</v>
      </c>
      <c r="T74" s="151">
        <v>0</v>
      </c>
      <c r="U74" s="153">
        <v>0</v>
      </c>
      <c r="V74" t="e">
        <f>VLOOKUP(A74,'Projetos ciclo 2018-2022'!$I$7:$I$318,1,FALSE)</f>
        <v>#N/A</v>
      </c>
    </row>
    <row r="75" spans="1:22" x14ac:dyDescent="0.25">
      <c r="A75" s="21" t="s">
        <v>1249</v>
      </c>
      <c r="B75" s="154"/>
      <c r="C75" s="154"/>
      <c r="D75" s="155">
        <v>258</v>
      </c>
      <c r="E75" s="158">
        <v>0</v>
      </c>
      <c r="F75" s="155">
        <v>129</v>
      </c>
      <c r="G75" s="158">
        <v>0</v>
      </c>
      <c r="H75" s="155">
        <v>98</v>
      </c>
      <c r="I75" s="158">
        <v>0</v>
      </c>
      <c r="J75" s="155">
        <v>0</v>
      </c>
      <c r="K75" s="158">
        <v>0</v>
      </c>
      <c r="L75" s="155">
        <v>0</v>
      </c>
      <c r="M75" s="158">
        <v>0</v>
      </c>
      <c r="N75" s="155">
        <v>129</v>
      </c>
      <c r="O75" s="158">
        <v>0</v>
      </c>
      <c r="P75" s="155">
        <v>0</v>
      </c>
      <c r="Q75" s="158">
        <v>0</v>
      </c>
      <c r="R75" s="155">
        <v>0</v>
      </c>
      <c r="S75" s="158">
        <v>0</v>
      </c>
      <c r="T75" s="155">
        <v>0</v>
      </c>
      <c r="U75" s="157">
        <v>0</v>
      </c>
      <c r="V75" t="e">
        <f>VLOOKUP(A75,'Projetos ciclo 2018-2022'!$I$7:$I$318,1,FALSE)</f>
        <v>#N/A</v>
      </c>
    </row>
    <row r="76" spans="1:22" x14ac:dyDescent="0.25">
      <c r="A76" s="149" t="s">
        <v>1665</v>
      </c>
      <c r="B76" s="150"/>
      <c r="C76" s="150"/>
      <c r="D76" s="151">
        <v>0</v>
      </c>
      <c r="E76" s="152">
        <v>0</v>
      </c>
      <c r="F76" s="151">
        <v>0</v>
      </c>
      <c r="G76" s="152">
        <v>98</v>
      </c>
      <c r="H76" s="151">
        <v>0</v>
      </c>
      <c r="I76" s="152">
        <v>97.797317504882813</v>
      </c>
      <c r="J76" s="151">
        <v>0</v>
      </c>
      <c r="K76" s="152">
        <v>97.797317504882813</v>
      </c>
      <c r="L76" s="151">
        <v>0</v>
      </c>
      <c r="M76" s="152">
        <v>97.797317504882813</v>
      </c>
      <c r="N76" s="151">
        <v>0</v>
      </c>
      <c r="O76" s="152">
        <v>0</v>
      </c>
      <c r="P76" s="151">
        <v>0</v>
      </c>
      <c r="Q76" s="152">
        <v>0</v>
      </c>
      <c r="R76" s="151">
        <v>0</v>
      </c>
      <c r="S76" s="152">
        <v>0</v>
      </c>
      <c r="T76" s="151">
        <v>0</v>
      </c>
      <c r="U76" s="153">
        <v>0</v>
      </c>
      <c r="V76" t="str">
        <f>VLOOKUP(A76,'Projetos ciclo 2018-2022'!$I$7:$I$318,1,FALSE)</f>
        <v>TI06118</v>
      </c>
    </row>
    <row r="77" spans="1:22" x14ac:dyDescent="0.25">
      <c r="A77" s="21" t="s">
        <v>2030</v>
      </c>
      <c r="B77" s="154"/>
      <c r="C77" s="154"/>
      <c r="D77" s="155">
        <v>0</v>
      </c>
      <c r="E77" s="158">
        <v>0</v>
      </c>
      <c r="F77" s="155">
        <v>0</v>
      </c>
      <c r="G77" s="158">
        <v>0</v>
      </c>
      <c r="H77" s="155">
        <v>0</v>
      </c>
      <c r="I77" s="158">
        <v>0</v>
      </c>
      <c r="J77" s="155">
        <v>0</v>
      </c>
      <c r="K77" s="158">
        <v>0</v>
      </c>
      <c r="L77" s="155">
        <v>0</v>
      </c>
      <c r="M77" s="158">
        <v>0</v>
      </c>
      <c r="N77" s="155">
        <v>0</v>
      </c>
      <c r="O77" s="158">
        <v>0</v>
      </c>
      <c r="P77" s="155">
        <v>0</v>
      </c>
      <c r="Q77" s="158">
        <v>0</v>
      </c>
      <c r="R77" s="155">
        <v>0</v>
      </c>
      <c r="S77" s="158">
        <v>0</v>
      </c>
      <c r="T77" s="155">
        <v>0</v>
      </c>
      <c r="U77" s="157">
        <v>0</v>
      </c>
      <c r="V77" t="e">
        <f>VLOOKUP(A77,'Projetos ciclo 2018-2022'!$I$7:$I$318,1,FALSE)</f>
        <v>#N/A</v>
      </c>
    </row>
    <row r="78" spans="1:22" x14ac:dyDescent="0.25">
      <c r="A78" s="149" t="s">
        <v>1194</v>
      </c>
      <c r="B78" s="150"/>
      <c r="C78" s="150"/>
      <c r="D78" s="151">
        <v>0</v>
      </c>
      <c r="E78" s="152">
        <v>0</v>
      </c>
      <c r="F78" s="151">
        <v>0</v>
      </c>
      <c r="G78" s="152">
        <v>0</v>
      </c>
      <c r="H78" s="151">
        <v>0</v>
      </c>
      <c r="I78" s="152">
        <v>0</v>
      </c>
      <c r="J78" s="151">
        <v>0</v>
      </c>
      <c r="K78" s="152">
        <v>0</v>
      </c>
      <c r="L78" s="151">
        <v>0</v>
      </c>
      <c r="M78" s="152">
        <v>0</v>
      </c>
      <c r="N78" s="151">
        <v>0</v>
      </c>
      <c r="O78" s="152">
        <v>0</v>
      </c>
      <c r="P78" s="151">
        <v>0</v>
      </c>
      <c r="Q78" s="152">
        <v>0</v>
      </c>
      <c r="R78" s="151">
        <v>0</v>
      </c>
      <c r="S78" s="152">
        <v>0</v>
      </c>
      <c r="T78" s="151">
        <v>0</v>
      </c>
      <c r="U78" s="153">
        <v>0</v>
      </c>
      <c r="V78" t="e">
        <f>VLOOKUP(A78,'Projetos ciclo 2018-2022'!$I$7:$I$318,1,FALSE)</f>
        <v>#N/A</v>
      </c>
    </row>
    <row r="79" spans="1:22" x14ac:dyDescent="0.25">
      <c r="A79" s="21" t="s">
        <v>1196</v>
      </c>
      <c r="B79" s="154"/>
      <c r="C79" s="154"/>
      <c r="D79" s="155">
        <v>0</v>
      </c>
      <c r="E79" s="158">
        <v>0</v>
      </c>
      <c r="F79" s="155">
        <v>0</v>
      </c>
      <c r="G79" s="158">
        <v>0</v>
      </c>
      <c r="H79" s="155">
        <v>0</v>
      </c>
      <c r="I79" s="158">
        <v>0</v>
      </c>
      <c r="J79" s="155">
        <v>0</v>
      </c>
      <c r="K79" s="158">
        <v>0</v>
      </c>
      <c r="L79" s="155">
        <v>0</v>
      </c>
      <c r="M79" s="158">
        <v>0</v>
      </c>
      <c r="N79" s="155">
        <v>0</v>
      </c>
      <c r="O79" s="158">
        <v>0</v>
      </c>
      <c r="P79" s="155">
        <v>0</v>
      </c>
      <c r="Q79" s="158">
        <v>0</v>
      </c>
      <c r="R79" s="155">
        <v>0</v>
      </c>
      <c r="S79" s="158">
        <v>0</v>
      </c>
      <c r="T79" s="155">
        <v>0</v>
      </c>
      <c r="U79" s="157">
        <v>0</v>
      </c>
      <c r="V79" t="e">
        <f>VLOOKUP(A79,'Projetos ciclo 2018-2022'!$I$7:$I$318,1,FALSE)</f>
        <v>#N/A</v>
      </c>
    </row>
    <row r="80" spans="1:22" x14ac:dyDescent="0.25">
      <c r="A80" s="149" t="s">
        <v>1456</v>
      </c>
      <c r="B80" s="150"/>
      <c r="C80" s="150"/>
      <c r="D80" s="151">
        <v>3046</v>
      </c>
      <c r="E80" s="152">
        <v>0</v>
      </c>
      <c r="F80" s="151">
        <v>988</v>
      </c>
      <c r="G80" s="152">
        <v>0</v>
      </c>
      <c r="H80" s="151">
        <v>0</v>
      </c>
      <c r="I80" s="152">
        <v>0</v>
      </c>
      <c r="J80" s="151">
        <v>0</v>
      </c>
      <c r="K80" s="152">
        <v>0</v>
      </c>
      <c r="L80" s="151">
        <v>0</v>
      </c>
      <c r="M80" s="152">
        <v>0</v>
      </c>
      <c r="N80" s="151">
        <v>0</v>
      </c>
      <c r="O80" s="152">
        <v>1050</v>
      </c>
      <c r="P80" s="151">
        <v>1008</v>
      </c>
      <c r="Q80" s="152">
        <v>0</v>
      </c>
      <c r="R80" s="151">
        <v>0</v>
      </c>
      <c r="S80" s="152">
        <v>0</v>
      </c>
      <c r="T80" s="151">
        <v>0</v>
      </c>
      <c r="U80" s="153">
        <v>0</v>
      </c>
      <c r="V80" t="e">
        <f>VLOOKUP(A80,'Projetos ciclo 2018-2022'!$I$7:$I$318,1,FALSE)</f>
        <v>#N/A</v>
      </c>
    </row>
    <row r="81" spans="1:22" x14ac:dyDescent="0.25">
      <c r="A81" s="21" t="s">
        <v>1514</v>
      </c>
      <c r="B81" s="154"/>
      <c r="C81" s="154"/>
      <c r="D81" s="155">
        <v>0</v>
      </c>
      <c r="E81" s="158">
        <v>0</v>
      </c>
      <c r="F81" s="155">
        <v>0</v>
      </c>
      <c r="G81" s="158">
        <v>988</v>
      </c>
      <c r="H81" s="155">
        <v>0</v>
      </c>
      <c r="I81" s="158">
        <v>0</v>
      </c>
      <c r="J81" s="155">
        <v>0</v>
      </c>
      <c r="K81" s="158">
        <v>0</v>
      </c>
      <c r="L81" s="155">
        <v>988</v>
      </c>
      <c r="M81" s="158">
        <v>988</v>
      </c>
      <c r="N81" s="155">
        <v>0</v>
      </c>
      <c r="O81" s="158">
        <v>0</v>
      </c>
      <c r="P81" s="155">
        <v>0</v>
      </c>
      <c r="Q81" s="158">
        <v>0</v>
      </c>
      <c r="R81" s="155">
        <v>0</v>
      </c>
      <c r="S81" s="158">
        <v>0</v>
      </c>
      <c r="T81" s="155">
        <v>0</v>
      </c>
      <c r="U81" s="157">
        <v>0</v>
      </c>
      <c r="V81" t="str">
        <f>VLOOKUP(A81,'Projetos ciclo 2018-2022'!$I$7:$I$318,1,FALSE)</f>
        <v>MT00218</v>
      </c>
    </row>
    <row r="82" spans="1:22" x14ac:dyDescent="0.25">
      <c r="A82" s="149" t="s">
        <v>565</v>
      </c>
      <c r="B82" s="150"/>
      <c r="C82" s="150"/>
      <c r="D82" s="151">
        <v>0</v>
      </c>
      <c r="E82" s="152">
        <v>0</v>
      </c>
      <c r="F82" s="151">
        <v>0</v>
      </c>
      <c r="G82" s="152">
        <v>0</v>
      </c>
      <c r="H82" s="151">
        <v>0</v>
      </c>
      <c r="I82" s="152">
        <v>0</v>
      </c>
      <c r="J82" s="151">
        <v>0</v>
      </c>
      <c r="K82" s="152">
        <v>0</v>
      </c>
      <c r="L82" s="151">
        <v>0</v>
      </c>
      <c r="M82" s="152">
        <v>0</v>
      </c>
      <c r="N82" s="151">
        <v>0</v>
      </c>
      <c r="O82" s="152">
        <v>0</v>
      </c>
      <c r="P82" s="151">
        <v>0</v>
      </c>
      <c r="Q82" s="152">
        <v>0</v>
      </c>
      <c r="R82" s="151">
        <v>0</v>
      </c>
      <c r="S82" s="152">
        <v>0</v>
      </c>
      <c r="T82" s="151">
        <v>0</v>
      </c>
      <c r="U82" s="153">
        <v>0</v>
      </c>
      <c r="V82" t="str">
        <f>VLOOKUP(A82,'Projetos ciclo 2018-2022'!$I$7:$I$318,1,FALSE)</f>
        <v>NA</v>
      </c>
    </row>
    <row r="83" spans="1:22" x14ac:dyDescent="0.25">
      <c r="A83" s="21" t="s">
        <v>1199</v>
      </c>
      <c r="B83" s="154"/>
      <c r="C83" s="154"/>
      <c r="D83" s="155">
        <v>630.09999999999991</v>
      </c>
      <c r="E83" s="158">
        <v>0</v>
      </c>
      <c r="F83" s="155">
        <v>0</v>
      </c>
      <c r="G83" s="158">
        <v>0</v>
      </c>
      <c r="H83" s="155">
        <v>0</v>
      </c>
      <c r="I83" s="158">
        <v>0</v>
      </c>
      <c r="J83" s="155">
        <v>0</v>
      </c>
      <c r="K83" s="158">
        <v>0</v>
      </c>
      <c r="L83" s="155">
        <v>0</v>
      </c>
      <c r="M83" s="158">
        <v>0</v>
      </c>
      <c r="N83" s="155">
        <v>0</v>
      </c>
      <c r="O83" s="158">
        <v>0</v>
      </c>
      <c r="P83" s="155">
        <v>0</v>
      </c>
      <c r="Q83" s="158">
        <v>0</v>
      </c>
      <c r="R83" s="155">
        <v>0</v>
      </c>
      <c r="S83" s="158">
        <v>0</v>
      </c>
      <c r="T83" s="155">
        <v>0</v>
      </c>
      <c r="U83" s="157">
        <v>0</v>
      </c>
      <c r="V83" t="e">
        <f>VLOOKUP(A83,'Projetos ciclo 2018-2022'!$I$7:$I$318,1,FALSE)</f>
        <v>#N/A</v>
      </c>
    </row>
    <row r="84" spans="1:22" x14ac:dyDescent="0.25">
      <c r="A84" s="149" t="s">
        <v>1194</v>
      </c>
      <c r="B84" s="150"/>
      <c r="C84" s="150"/>
      <c r="D84" s="151">
        <v>0</v>
      </c>
      <c r="E84" s="152">
        <v>0</v>
      </c>
      <c r="F84" s="151">
        <v>0</v>
      </c>
      <c r="G84" s="152">
        <v>0</v>
      </c>
      <c r="H84" s="151">
        <v>0</v>
      </c>
      <c r="I84" s="152">
        <v>0</v>
      </c>
      <c r="J84" s="151">
        <v>0</v>
      </c>
      <c r="K84" s="152">
        <v>0</v>
      </c>
      <c r="L84" s="151">
        <v>0</v>
      </c>
      <c r="M84" s="152">
        <v>0</v>
      </c>
      <c r="N84" s="151">
        <v>0</v>
      </c>
      <c r="O84" s="152">
        <v>0</v>
      </c>
      <c r="P84" s="151">
        <v>0</v>
      </c>
      <c r="Q84" s="152">
        <v>0</v>
      </c>
      <c r="R84" s="151">
        <v>0</v>
      </c>
      <c r="S84" s="152">
        <v>0</v>
      </c>
      <c r="T84" s="151">
        <v>0</v>
      </c>
      <c r="U84" s="153">
        <v>0</v>
      </c>
      <c r="V84" t="e">
        <f>VLOOKUP(A84,'Projetos ciclo 2018-2022'!$I$7:$I$318,1,FALSE)</f>
        <v>#N/A</v>
      </c>
    </row>
    <row r="85" spans="1:22" x14ac:dyDescent="0.25">
      <c r="A85" s="21" t="s">
        <v>1196</v>
      </c>
      <c r="B85" s="154"/>
      <c r="C85" s="154"/>
      <c r="D85" s="155">
        <v>0</v>
      </c>
      <c r="E85" s="158">
        <v>0</v>
      </c>
      <c r="F85" s="155">
        <v>0</v>
      </c>
      <c r="G85" s="158">
        <v>0</v>
      </c>
      <c r="H85" s="155">
        <v>0</v>
      </c>
      <c r="I85" s="158">
        <v>0</v>
      </c>
      <c r="J85" s="155">
        <v>0</v>
      </c>
      <c r="K85" s="158">
        <v>0</v>
      </c>
      <c r="L85" s="155">
        <v>0</v>
      </c>
      <c r="M85" s="158">
        <v>0</v>
      </c>
      <c r="N85" s="155">
        <v>0</v>
      </c>
      <c r="O85" s="158">
        <v>0</v>
      </c>
      <c r="P85" s="155">
        <v>0</v>
      </c>
      <c r="Q85" s="158">
        <v>0</v>
      </c>
      <c r="R85" s="155">
        <v>0</v>
      </c>
      <c r="S85" s="158">
        <v>0</v>
      </c>
      <c r="T85" s="155">
        <v>0</v>
      </c>
      <c r="U85" s="157">
        <v>0</v>
      </c>
      <c r="V85" t="e">
        <f>VLOOKUP(A85,'Projetos ciclo 2018-2022'!$I$7:$I$318,1,FALSE)</f>
        <v>#N/A</v>
      </c>
    </row>
    <row r="86" spans="1:22" x14ac:dyDescent="0.25">
      <c r="A86" s="149" t="s">
        <v>1459</v>
      </c>
      <c r="B86" s="150"/>
      <c r="C86" s="150"/>
      <c r="D86" s="151">
        <v>2113</v>
      </c>
      <c r="E86" s="152">
        <v>0</v>
      </c>
      <c r="F86" s="151">
        <v>1787</v>
      </c>
      <c r="G86" s="152">
        <v>0</v>
      </c>
      <c r="H86" s="151">
        <v>240</v>
      </c>
      <c r="I86" s="152">
        <v>0</v>
      </c>
      <c r="J86" s="151">
        <v>0</v>
      </c>
      <c r="K86" s="152">
        <v>0</v>
      </c>
      <c r="L86" s="151">
        <v>0</v>
      </c>
      <c r="M86" s="152">
        <v>0</v>
      </c>
      <c r="N86" s="151">
        <v>326</v>
      </c>
      <c r="O86" s="152">
        <v>0</v>
      </c>
      <c r="P86" s="151">
        <v>0</v>
      </c>
      <c r="Q86" s="152">
        <v>0</v>
      </c>
      <c r="R86" s="151">
        <v>0</v>
      </c>
      <c r="S86" s="152">
        <v>0</v>
      </c>
      <c r="T86" s="151">
        <v>0</v>
      </c>
      <c r="U86" s="153">
        <v>0</v>
      </c>
      <c r="V86" t="e">
        <f>VLOOKUP(A86,'Projetos ciclo 2018-2022'!$I$7:$I$318,1,FALSE)</f>
        <v>#N/A</v>
      </c>
    </row>
    <row r="87" spans="1:22" x14ac:dyDescent="0.25">
      <c r="A87" s="21" t="s">
        <v>1253</v>
      </c>
      <c r="B87" s="154"/>
      <c r="C87" s="154"/>
      <c r="D87" s="155">
        <v>0</v>
      </c>
      <c r="E87" s="158">
        <v>0</v>
      </c>
      <c r="F87" s="155">
        <v>0</v>
      </c>
      <c r="G87" s="158">
        <v>5</v>
      </c>
      <c r="H87" s="155">
        <v>0</v>
      </c>
      <c r="I87" s="158">
        <v>4.3380299806594849</v>
      </c>
      <c r="J87" s="155">
        <v>0</v>
      </c>
      <c r="K87" s="158">
        <v>4.3380299806594849</v>
      </c>
      <c r="L87" s="155">
        <v>5.7958297729492188</v>
      </c>
      <c r="M87" s="158">
        <v>10.133859753608704</v>
      </c>
      <c r="N87" s="155">
        <v>0</v>
      </c>
      <c r="O87" s="158">
        <v>0</v>
      </c>
      <c r="P87" s="155">
        <v>0</v>
      </c>
      <c r="Q87" s="158">
        <v>0</v>
      </c>
      <c r="R87" s="155">
        <v>0</v>
      </c>
      <c r="S87" s="158">
        <v>0</v>
      </c>
      <c r="T87" s="155">
        <v>0</v>
      </c>
      <c r="U87" s="157">
        <v>0</v>
      </c>
      <c r="V87" t="str">
        <f>VLOOKUP(A87,'Projetos ciclo 2018-2022'!$I$7:$I$318,1,FALSE)</f>
        <v>MT00516</v>
      </c>
    </row>
    <row r="88" spans="1:22" x14ac:dyDescent="0.25">
      <c r="A88" s="149" t="s">
        <v>1256</v>
      </c>
      <c r="B88" s="150"/>
      <c r="C88" s="150"/>
      <c r="D88" s="151">
        <v>0</v>
      </c>
      <c r="E88" s="152">
        <v>0</v>
      </c>
      <c r="F88" s="151">
        <v>0</v>
      </c>
      <c r="G88" s="152">
        <v>1082</v>
      </c>
      <c r="H88" s="151">
        <v>0</v>
      </c>
      <c r="I88" s="152">
        <v>31.809390187263489</v>
      </c>
      <c r="J88" s="151">
        <v>0</v>
      </c>
      <c r="K88" s="152">
        <v>31.809390187263489</v>
      </c>
      <c r="L88" s="151">
        <v>971.01232767105103</v>
      </c>
      <c r="M88" s="152">
        <v>1002.8217178583145</v>
      </c>
      <c r="N88" s="151">
        <v>0</v>
      </c>
      <c r="O88" s="152">
        <v>0</v>
      </c>
      <c r="P88" s="151">
        <v>0</v>
      </c>
      <c r="Q88" s="152">
        <v>0</v>
      </c>
      <c r="R88" s="151">
        <v>0</v>
      </c>
      <c r="S88" s="152">
        <v>0</v>
      </c>
      <c r="T88" s="151">
        <v>0</v>
      </c>
      <c r="U88" s="153">
        <v>0</v>
      </c>
      <c r="V88" t="str">
        <f>VLOOKUP(A88,'Projetos ciclo 2018-2022'!$I$7:$I$318,1,FALSE)</f>
        <v>MT01017</v>
      </c>
    </row>
    <row r="89" spans="1:22" x14ac:dyDescent="0.25">
      <c r="A89" s="21" t="s">
        <v>1972</v>
      </c>
      <c r="B89" s="154"/>
      <c r="C89" s="154"/>
      <c r="D89" s="155">
        <v>0</v>
      </c>
      <c r="E89" s="158">
        <v>0</v>
      </c>
      <c r="F89" s="155">
        <v>0</v>
      </c>
      <c r="G89" s="158">
        <v>0</v>
      </c>
      <c r="H89" s="155">
        <v>0</v>
      </c>
      <c r="I89" s="158">
        <v>0</v>
      </c>
      <c r="J89" s="155">
        <v>0</v>
      </c>
      <c r="K89" s="158">
        <v>0</v>
      </c>
      <c r="L89" s="155">
        <v>0</v>
      </c>
      <c r="M89" s="158">
        <v>0</v>
      </c>
      <c r="N89" s="155">
        <v>0</v>
      </c>
      <c r="O89" s="158">
        <v>0</v>
      </c>
      <c r="P89" s="155">
        <v>0</v>
      </c>
      <c r="Q89" s="158">
        <v>0</v>
      </c>
      <c r="R89" s="155">
        <v>0</v>
      </c>
      <c r="S89" s="158">
        <v>0</v>
      </c>
      <c r="T89" s="155">
        <v>0</v>
      </c>
      <c r="U89" s="157">
        <v>0</v>
      </c>
      <c r="V89" t="str">
        <f>VLOOKUP(A89,'Projetos ciclo 2018-2022'!$I$7:$I$318,1,FALSE)</f>
        <v>MT50118</v>
      </c>
    </row>
    <row r="90" spans="1:22" x14ac:dyDescent="0.25">
      <c r="A90" s="149" t="s">
        <v>565</v>
      </c>
      <c r="B90" s="150"/>
      <c r="C90" s="150"/>
      <c r="D90" s="151">
        <v>4497</v>
      </c>
      <c r="E90" s="152">
        <v>0</v>
      </c>
      <c r="F90" s="151">
        <v>0</v>
      </c>
      <c r="G90" s="152">
        <v>0</v>
      </c>
      <c r="H90" s="151">
        <v>0</v>
      </c>
      <c r="I90" s="152">
        <v>0</v>
      </c>
      <c r="J90" s="151">
        <v>0</v>
      </c>
      <c r="K90" s="152">
        <v>0</v>
      </c>
      <c r="L90" s="151">
        <v>0</v>
      </c>
      <c r="M90" s="152">
        <v>0</v>
      </c>
      <c r="N90" s="151">
        <v>1170</v>
      </c>
      <c r="O90" s="152">
        <v>777</v>
      </c>
      <c r="P90" s="151">
        <v>2550</v>
      </c>
      <c r="Q90" s="152">
        <v>0</v>
      </c>
      <c r="R90" s="151">
        <v>0</v>
      </c>
      <c r="S90" s="152">
        <v>0</v>
      </c>
      <c r="T90" s="151">
        <v>0</v>
      </c>
      <c r="U90" s="153">
        <v>0</v>
      </c>
      <c r="V90" t="str">
        <f>VLOOKUP(A90,'Projetos ciclo 2018-2022'!$I$7:$I$318,1,FALSE)</f>
        <v>NA</v>
      </c>
    </row>
    <row r="91" spans="1:22" x14ac:dyDescent="0.25">
      <c r="A91" s="21" t="s">
        <v>1260</v>
      </c>
      <c r="B91" s="154"/>
      <c r="C91" s="154"/>
      <c r="D91" s="155">
        <v>0</v>
      </c>
      <c r="E91" s="158">
        <v>0</v>
      </c>
      <c r="F91" s="155">
        <v>0</v>
      </c>
      <c r="G91" s="158">
        <v>700</v>
      </c>
      <c r="H91" s="155">
        <v>0</v>
      </c>
      <c r="I91" s="158">
        <v>138.02630925178528</v>
      </c>
      <c r="J91" s="155">
        <v>0</v>
      </c>
      <c r="K91" s="158">
        <v>138.02630925178528</v>
      </c>
      <c r="L91" s="155">
        <v>529</v>
      </c>
      <c r="M91" s="158">
        <v>667.02630925178528</v>
      </c>
      <c r="N91" s="155">
        <v>0</v>
      </c>
      <c r="O91" s="158">
        <v>0</v>
      </c>
      <c r="P91" s="155">
        <v>0</v>
      </c>
      <c r="Q91" s="158">
        <v>0</v>
      </c>
      <c r="R91" s="155">
        <v>0</v>
      </c>
      <c r="S91" s="158">
        <v>0</v>
      </c>
      <c r="T91" s="155">
        <v>0</v>
      </c>
      <c r="U91" s="157">
        <v>0</v>
      </c>
      <c r="V91" t="str">
        <f>VLOOKUP(A91,'Projetos ciclo 2018-2022'!$I$7:$I$318,1,FALSE)</f>
        <v>PO00417</v>
      </c>
    </row>
    <row r="92" spans="1:22" x14ac:dyDescent="0.25">
      <c r="A92" s="149" t="s">
        <v>1199</v>
      </c>
      <c r="B92" s="150"/>
      <c r="C92" s="150"/>
      <c r="D92" s="151">
        <v>28</v>
      </c>
      <c r="E92" s="152">
        <v>0</v>
      </c>
      <c r="F92" s="151">
        <v>0</v>
      </c>
      <c r="G92" s="152">
        <v>0</v>
      </c>
      <c r="H92" s="151">
        <v>0</v>
      </c>
      <c r="I92" s="152">
        <v>0</v>
      </c>
      <c r="J92" s="151">
        <v>0</v>
      </c>
      <c r="K92" s="152">
        <v>0</v>
      </c>
      <c r="L92" s="151">
        <v>0</v>
      </c>
      <c r="M92" s="152">
        <v>0</v>
      </c>
      <c r="N92" s="151">
        <v>0</v>
      </c>
      <c r="O92" s="152">
        <v>0</v>
      </c>
      <c r="P92" s="151">
        <v>0</v>
      </c>
      <c r="Q92" s="152">
        <v>0</v>
      </c>
      <c r="R92" s="151">
        <v>0</v>
      </c>
      <c r="S92" s="152">
        <v>0</v>
      </c>
      <c r="T92" s="151">
        <v>0</v>
      </c>
      <c r="U92" s="153">
        <v>0</v>
      </c>
      <c r="V92" t="e">
        <f>VLOOKUP(A92,'Projetos ciclo 2018-2022'!$I$7:$I$318,1,FALSE)</f>
        <v>#N/A</v>
      </c>
    </row>
    <row r="93" spans="1:22" x14ac:dyDescent="0.25">
      <c r="A93" s="21" t="s">
        <v>1905</v>
      </c>
      <c r="B93" s="154"/>
      <c r="C93" s="154"/>
      <c r="D93" s="155">
        <v>0</v>
      </c>
      <c r="E93" s="158">
        <v>0</v>
      </c>
      <c r="F93" s="155">
        <v>0</v>
      </c>
      <c r="G93" s="158">
        <v>53</v>
      </c>
      <c r="H93" s="155">
        <v>0</v>
      </c>
      <c r="I93" s="158">
        <v>0</v>
      </c>
      <c r="J93" s="155">
        <v>0</v>
      </c>
      <c r="K93" s="158">
        <v>0</v>
      </c>
      <c r="L93" s="155">
        <v>45.313129663467407</v>
      </c>
      <c r="M93" s="158">
        <v>45.313129663467407</v>
      </c>
      <c r="N93" s="155">
        <v>0</v>
      </c>
      <c r="O93" s="158">
        <v>0</v>
      </c>
      <c r="P93" s="155">
        <v>0</v>
      </c>
      <c r="Q93" s="158">
        <v>0</v>
      </c>
      <c r="R93" s="155">
        <v>0</v>
      </c>
      <c r="S93" s="158">
        <v>0</v>
      </c>
      <c r="T93" s="155">
        <v>0</v>
      </c>
      <c r="U93" s="157">
        <v>0</v>
      </c>
      <c r="V93" t="str">
        <f>VLOOKUP(A93,'Projetos ciclo 2018-2022'!$I$7:$I$318,1,FALSE)</f>
        <v>AD00118</v>
      </c>
    </row>
    <row r="94" spans="1:22" x14ac:dyDescent="0.25">
      <c r="A94" s="149" t="s">
        <v>2033</v>
      </c>
      <c r="B94" s="150"/>
      <c r="C94" s="150"/>
      <c r="D94" s="151">
        <v>0</v>
      </c>
      <c r="E94" s="152">
        <v>0</v>
      </c>
      <c r="F94" s="151">
        <v>0</v>
      </c>
      <c r="G94" s="152">
        <v>306</v>
      </c>
      <c r="H94" s="151">
        <v>0</v>
      </c>
      <c r="I94" s="152">
        <v>0</v>
      </c>
      <c r="J94" s="151">
        <v>0</v>
      </c>
      <c r="K94" s="152">
        <v>0</v>
      </c>
      <c r="L94" s="151">
        <v>302.0836181640625</v>
      </c>
      <c r="M94" s="152">
        <v>302.0836181640625</v>
      </c>
      <c r="N94" s="151">
        <v>0</v>
      </c>
      <c r="O94" s="152">
        <v>0</v>
      </c>
      <c r="P94" s="151">
        <v>0</v>
      </c>
      <c r="Q94" s="152">
        <v>0</v>
      </c>
      <c r="R94" s="151">
        <v>0</v>
      </c>
      <c r="S94" s="152">
        <v>0</v>
      </c>
      <c r="T94" s="151">
        <v>0</v>
      </c>
      <c r="U94" s="153">
        <v>0</v>
      </c>
      <c r="V94" t="str">
        <f>VLOOKUP(A94,'Projetos ciclo 2018-2022'!$I$7:$I$318,1,FALSE)</f>
        <v>AD00218</v>
      </c>
    </row>
    <row r="95" spans="1:22" x14ac:dyDescent="0.25">
      <c r="A95" s="21" t="s">
        <v>1194</v>
      </c>
      <c r="B95" s="154"/>
      <c r="C95" s="154"/>
      <c r="D95" s="155">
        <v>0</v>
      </c>
      <c r="E95" s="158">
        <v>0</v>
      </c>
      <c r="F95" s="155">
        <v>0</v>
      </c>
      <c r="G95" s="158">
        <v>0</v>
      </c>
      <c r="H95" s="155">
        <v>0</v>
      </c>
      <c r="I95" s="158">
        <v>0</v>
      </c>
      <c r="J95" s="155">
        <v>0</v>
      </c>
      <c r="K95" s="158">
        <v>0</v>
      </c>
      <c r="L95" s="155">
        <v>0</v>
      </c>
      <c r="M95" s="158">
        <v>0</v>
      </c>
      <c r="N95" s="155">
        <v>0</v>
      </c>
      <c r="O95" s="158">
        <v>0</v>
      </c>
      <c r="P95" s="155">
        <v>0</v>
      </c>
      <c r="Q95" s="158">
        <v>0</v>
      </c>
      <c r="R95" s="155">
        <v>0</v>
      </c>
      <c r="S95" s="158">
        <v>0</v>
      </c>
      <c r="T95" s="155">
        <v>0</v>
      </c>
      <c r="U95" s="157">
        <v>0</v>
      </c>
      <c r="V95" t="e">
        <f>VLOOKUP(A95,'Projetos ciclo 2018-2022'!$I$7:$I$318,1,FALSE)</f>
        <v>#N/A</v>
      </c>
    </row>
    <row r="96" spans="1:22" x14ac:dyDescent="0.25">
      <c r="A96" s="149" t="s">
        <v>1291</v>
      </c>
      <c r="B96" s="150"/>
      <c r="C96" s="150"/>
      <c r="D96" s="151">
        <v>0</v>
      </c>
      <c r="E96" s="152">
        <v>0</v>
      </c>
      <c r="F96" s="151">
        <v>0</v>
      </c>
      <c r="G96" s="152">
        <v>13</v>
      </c>
      <c r="H96" s="151">
        <v>0</v>
      </c>
      <c r="I96" s="152">
        <v>11.104649901390076</v>
      </c>
      <c r="J96" s="151">
        <v>0</v>
      </c>
      <c r="K96" s="152">
        <v>11.104649901390076</v>
      </c>
      <c r="L96" s="151">
        <v>0</v>
      </c>
      <c r="M96" s="152">
        <v>11.104649901390076</v>
      </c>
      <c r="N96" s="151">
        <v>0</v>
      </c>
      <c r="O96" s="152">
        <v>0</v>
      </c>
      <c r="P96" s="151">
        <v>0</v>
      </c>
      <c r="Q96" s="152">
        <v>0</v>
      </c>
      <c r="R96" s="151">
        <v>0</v>
      </c>
      <c r="S96" s="152">
        <v>0</v>
      </c>
      <c r="T96" s="151">
        <v>0</v>
      </c>
      <c r="U96" s="153">
        <v>0</v>
      </c>
      <c r="V96" t="str">
        <f>VLOOKUP(A96,'Projetos ciclo 2018-2022'!$I$7:$I$318,1,FALSE)</f>
        <v>CD00315</v>
      </c>
    </row>
    <row r="97" spans="1:22" x14ac:dyDescent="0.25">
      <c r="A97" s="21" t="s">
        <v>1196</v>
      </c>
      <c r="B97" s="154"/>
      <c r="C97" s="154"/>
      <c r="D97" s="155">
        <v>0</v>
      </c>
      <c r="E97" s="158">
        <v>0</v>
      </c>
      <c r="F97" s="155">
        <v>0</v>
      </c>
      <c r="G97" s="158">
        <v>0</v>
      </c>
      <c r="H97" s="155">
        <v>0</v>
      </c>
      <c r="I97" s="158">
        <v>0</v>
      </c>
      <c r="J97" s="155">
        <v>0</v>
      </c>
      <c r="K97" s="158">
        <v>0</v>
      </c>
      <c r="L97" s="155">
        <v>0</v>
      </c>
      <c r="M97" s="158">
        <v>0</v>
      </c>
      <c r="N97" s="155">
        <v>0</v>
      </c>
      <c r="O97" s="158">
        <v>0</v>
      </c>
      <c r="P97" s="155">
        <v>0</v>
      </c>
      <c r="Q97" s="158">
        <v>0</v>
      </c>
      <c r="R97" s="155">
        <v>0</v>
      </c>
      <c r="S97" s="158">
        <v>0</v>
      </c>
      <c r="T97" s="155">
        <v>0</v>
      </c>
      <c r="U97" s="157">
        <v>0</v>
      </c>
      <c r="V97" t="e">
        <f>VLOOKUP(A97,'Projetos ciclo 2018-2022'!$I$7:$I$318,1,FALSE)</f>
        <v>#N/A</v>
      </c>
    </row>
    <row r="98" spans="1:22" x14ac:dyDescent="0.25">
      <c r="A98" s="149" t="s">
        <v>1898</v>
      </c>
      <c r="B98" s="150"/>
      <c r="C98" s="150"/>
      <c r="D98" s="151">
        <v>0</v>
      </c>
      <c r="E98" s="152">
        <v>0</v>
      </c>
      <c r="F98" s="151">
        <v>0</v>
      </c>
      <c r="G98" s="152">
        <v>149</v>
      </c>
      <c r="H98" s="151">
        <v>0</v>
      </c>
      <c r="I98" s="152">
        <v>0</v>
      </c>
      <c r="J98" s="151">
        <v>0</v>
      </c>
      <c r="K98" s="152">
        <v>0</v>
      </c>
      <c r="L98" s="151">
        <v>137.69760131835937</v>
      </c>
      <c r="M98" s="152">
        <v>137.69760131835937</v>
      </c>
      <c r="N98" s="151">
        <v>0</v>
      </c>
      <c r="O98" s="152">
        <v>0</v>
      </c>
      <c r="P98" s="151">
        <v>0</v>
      </c>
      <c r="Q98" s="152">
        <v>0</v>
      </c>
      <c r="R98" s="151">
        <v>0</v>
      </c>
      <c r="S98" s="152">
        <v>0</v>
      </c>
      <c r="T98" s="151">
        <v>0</v>
      </c>
      <c r="U98" s="153">
        <v>0</v>
      </c>
      <c r="V98" t="str">
        <f>VLOOKUP(A98,'Projetos ciclo 2018-2022'!$I$7:$I$318,1,FALSE)</f>
        <v>EA00118</v>
      </c>
    </row>
    <row r="99" spans="1:22" x14ac:dyDescent="0.25">
      <c r="A99" s="21" t="s">
        <v>1758</v>
      </c>
      <c r="B99" s="154"/>
      <c r="C99" s="154"/>
      <c r="D99" s="155">
        <v>0</v>
      </c>
      <c r="E99" s="158">
        <v>0</v>
      </c>
      <c r="F99" s="155">
        <v>0</v>
      </c>
      <c r="G99" s="158">
        <v>405</v>
      </c>
      <c r="H99" s="155">
        <v>0</v>
      </c>
      <c r="I99" s="158">
        <v>0</v>
      </c>
      <c r="J99" s="155">
        <v>0</v>
      </c>
      <c r="K99" s="158">
        <v>0</v>
      </c>
      <c r="L99" s="155">
        <v>398.80000638961792</v>
      </c>
      <c r="M99" s="158">
        <v>398.80000638961792</v>
      </c>
      <c r="N99" s="155">
        <v>0</v>
      </c>
      <c r="O99" s="158">
        <v>0</v>
      </c>
      <c r="P99" s="155">
        <v>0</v>
      </c>
      <c r="Q99" s="158">
        <v>0</v>
      </c>
      <c r="R99" s="155">
        <v>0</v>
      </c>
      <c r="S99" s="158">
        <v>0</v>
      </c>
      <c r="T99" s="155">
        <v>0</v>
      </c>
      <c r="U99" s="157">
        <v>0</v>
      </c>
      <c r="V99" t="str">
        <f>VLOOKUP(A99,'Projetos ciclo 2018-2022'!$I$7:$I$318,1,FALSE)</f>
        <v>EM00118</v>
      </c>
    </row>
    <row r="100" spans="1:22" x14ac:dyDescent="0.25">
      <c r="A100" s="149" t="s">
        <v>1294</v>
      </c>
      <c r="B100" s="150"/>
      <c r="C100" s="150"/>
      <c r="D100" s="151">
        <v>2590</v>
      </c>
      <c r="E100" s="152">
        <v>0</v>
      </c>
      <c r="F100" s="151">
        <v>2350</v>
      </c>
      <c r="G100" s="152">
        <v>0</v>
      </c>
      <c r="H100" s="151">
        <v>76</v>
      </c>
      <c r="I100" s="152">
        <v>0</v>
      </c>
      <c r="J100" s="151">
        <v>0</v>
      </c>
      <c r="K100" s="152">
        <v>0</v>
      </c>
      <c r="L100" s="151">
        <v>0</v>
      </c>
      <c r="M100" s="152">
        <v>0</v>
      </c>
      <c r="N100" s="151">
        <v>240</v>
      </c>
      <c r="O100" s="152">
        <v>0</v>
      </c>
      <c r="P100" s="151">
        <v>0</v>
      </c>
      <c r="Q100" s="152">
        <v>0</v>
      </c>
      <c r="R100" s="151">
        <v>0</v>
      </c>
      <c r="S100" s="152">
        <v>0</v>
      </c>
      <c r="T100" s="151">
        <v>0</v>
      </c>
      <c r="U100" s="153">
        <v>0</v>
      </c>
      <c r="V100" t="e">
        <f>VLOOKUP(A100,'Projetos ciclo 2018-2022'!$I$7:$I$318,1,FALSE)</f>
        <v>#N/A</v>
      </c>
    </row>
    <row r="101" spans="1:22" x14ac:dyDescent="0.25">
      <c r="A101" s="21" t="s">
        <v>1641</v>
      </c>
      <c r="B101" s="154"/>
      <c r="C101" s="154"/>
      <c r="D101" s="155">
        <v>0</v>
      </c>
      <c r="E101" s="158">
        <v>0</v>
      </c>
      <c r="F101" s="155">
        <v>0</v>
      </c>
      <c r="G101" s="158">
        <v>350</v>
      </c>
      <c r="H101" s="155">
        <v>0</v>
      </c>
      <c r="I101" s="158">
        <v>0</v>
      </c>
      <c r="J101" s="155">
        <v>0</v>
      </c>
      <c r="K101" s="158">
        <v>0</v>
      </c>
      <c r="L101" s="155">
        <v>0</v>
      </c>
      <c r="M101" s="158">
        <v>0</v>
      </c>
      <c r="N101" s="155">
        <v>0</v>
      </c>
      <c r="O101" s="158">
        <v>0</v>
      </c>
      <c r="P101" s="155">
        <v>0</v>
      </c>
      <c r="Q101" s="158">
        <v>0</v>
      </c>
      <c r="R101" s="155">
        <v>0</v>
      </c>
      <c r="S101" s="158">
        <v>0</v>
      </c>
      <c r="T101" s="155">
        <v>0</v>
      </c>
      <c r="U101" s="157">
        <v>0</v>
      </c>
      <c r="V101" t="str">
        <f>VLOOKUP(A101,'Projetos ciclo 2018-2022'!$I$7:$I$318,1,FALSE)</f>
        <v>GR00118</v>
      </c>
    </row>
    <row r="102" spans="1:22" x14ac:dyDescent="0.25">
      <c r="A102" s="149" t="s">
        <v>1425</v>
      </c>
      <c r="B102" s="150"/>
      <c r="C102" s="150"/>
      <c r="D102" s="151">
        <v>0</v>
      </c>
      <c r="E102" s="152">
        <v>0</v>
      </c>
      <c r="F102" s="151">
        <v>0</v>
      </c>
      <c r="G102" s="152">
        <v>631</v>
      </c>
      <c r="H102" s="151">
        <v>0</v>
      </c>
      <c r="I102" s="152">
        <v>7.9200000762939453</v>
      </c>
      <c r="J102" s="151">
        <v>0</v>
      </c>
      <c r="K102" s="152">
        <v>7.9200000762939453</v>
      </c>
      <c r="L102" s="151">
        <v>350.97048950195313</v>
      </c>
      <c r="M102" s="152">
        <v>358.89048957824707</v>
      </c>
      <c r="N102" s="151">
        <v>0</v>
      </c>
      <c r="O102" s="152">
        <v>0</v>
      </c>
      <c r="P102" s="151">
        <v>0</v>
      </c>
      <c r="Q102" s="152">
        <v>0</v>
      </c>
      <c r="R102" s="151">
        <v>0</v>
      </c>
      <c r="S102" s="152">
        <v>0</v>
      </c>
      <c r="T102" s="151">
        <v>0</v>
      </c>
      <c r="U102" s="153">
        <v>0</v>
      </c>
      <c r="V102" t="str">
        <f>VLOOKUP(A102,'Projetos ciclo 2018-2022'!$I$7:$I$318,1,FALSE)</f>
        <v>MD00118</v>
      </c>
    </row>
    <row r="103" spans="1:22" x14ac:dyDescent="0.25">
      <c r="A103" s="21" t="s">
        <v>565</v>
      </c>
      <c r="B103" s="154"/>
      <c r="C103" s="154"/>
      <c r="D103" s="155">
        <v>11427</v>
      </c>
      <c r="E103" s="158">
        <v>0</v>
      </c>
      <c r="F103" s="155">
        <v>0</v>
      </c>
      <c r="G103" s="158">
        <v>0</v>
      </c>
      <c r="H103" s="155">
        <v>0</v>
      </c>
      <c r="I103" s="158">
        <v>0</v>
      </c>
      <c r="J103" s="155">
        <v>0</v>
      </c>
      <c r="K103" s="158">
        <v>0</v>
      </c>
      <c r="L103" s="155">
        <v>0</v>
      </c>
      <c r="M103" s="158">
        <v>0</v>
      </c>
      <c r="N103" s="155">
        <v>1995</v>
      </c>
      <c r="O103" s="158">
        <v>3005</v>
      </c>
      <c r="P103" s="155">
        <v>3898</v>
      </c>
      <c r="Q103" s="158">
        <v>2529</v>
      </c>
      <c r="R103" s="155">
        <v>0</v>
      </c>
      <c r="S103" s="158">
        <v>0</v>
      </c>
      <c r="T103" s="155">
        <v>0</v>
      </c>
      <c r="U103" s="157">
        <v>0</v>
      </c>
      <c r="V103" t="str">
        <f>VLOOKUP(A103,'Projetos ciclo 2018-2022'!$I$7:$I$318,1,FALSE)</f>
        <v>NA</v>
      </c>
    </row>
    <row r="104" spans="1:22" x14ac:dyDescent="0.25">
      <c r="A104" s="149" t="s">
        <v>1570</v>
      </c>
      <c r="B104" s="150"/>
      <c r="C104" s="150"/>
      <c r="D104" s="151">
        <v>0</v>
      </c>
      <c r="E104" s="152">
        <v>0</v>
      </c>
      <c r="F104" s="151">
        <v>0</v>
      </c>
      <c r="G104" s="152">
        <v>254</v>
      </c>
      <c r="H104" s="151">
        <v>0</v>
      </c>
      <c r="I104" s="152">
        <v>0</v>
      </c>
      <c r="J104" s="151">
        <v>0</v>
      </c>
      <c r="K104" s="152">
        <v>0</v>
      </c>
      <c r="L104" s="151">
        <v>243.13971972465515</v>
      </c>
      <c r="M104" s="152">
        <v>243.13971972465515</v>
      </c>
      <c r="N104" s="151">
        <v>0</v>
      </c>
      <c r="O104" s="152">
        <v>0</v>
      </c>
      <c r="P104" s="151">
        <v>0</v>
      </c>
      <c r="Q104" s="152">
        <v>0</v>
      </c>
      <c r="R104" s="151">
        <v>0</v>
      </c>
      <c r="S104" s="152">
        <v>0</v>
      </c>
      <c r="T104" s="151">
        <v>0</v>
      </c>
      <c r="U104" s="153">
        <v>0</v>
      </c>
      <c r="V104" t="str">
        <f>VLOOKUP(A104,'Projetos ciclo 2018-2022'!$I$7:$I$318,1,FALSE)</f>
        <v>RH00218</v>
      </c>
    </row>
    <row r="105" spans="1:22" x14ac:dyDescent="0.25">
      <c r="A105" s="21" t="s">
        <v>1199</v>
      </c>
      <c r="B105" s="154"/>
      <c r="C105" s="154"/>
      <c r="D105" s="155">
        <v>67</v>
      </c>
      <c r="E105" s="158">
        <v>0</v>
      </c>
      <c r="F105" s="155">
        <v>0</v>
      </c>
      <c r="G105" s="158">
        <v>0</v>
      </c>
      <c r="H105" s="155">
        <v>0</v>
      </c>
      <c r="I105" s="158">
        <v>0</v>
      </c>
      <c r="J105" s="155">
        <v>0</v>
      </c>
      <c r="K105" s="158">
        <v>0</v>
      </c>
      <c r="L105" s="155">
        <v>0</v>
      </c>
      <c r="M105" s="158">
        <v>0</v>
      </c>
      <c r="N105" s="155">
        <v>0</v>
      </c>
      <c r="O105" s="158">
        <v>0</v>
      </c>
      <c r="P105" s="155">
        <v>0</v>
      </c>
      <c r="Q105" s="158">
        <v>0</v>
      </c>
      <c r="R105" s="155">
        <v>0</v>
      </c>
      <c r="S105" s="158">
        <v>0</v>
      </c>
      <c r="T105" s="155">
        <v>0</v>
      </c>
      <c r="U105" s="157">
        <v>0</v>
      </c>
      <c r="V105" t="e">
        <f>VLOOKUP(A105,'Projetos ciclo 2018-2022'!$I$7:$I$318,1,FALSE)</f>
        <v>#N/A</v>
      </c>
    </row>
    <row r="106" spans="1:22" x14ac:dyDescent="0.25">
      <c r="A106" s="149" t="s">
        <v>1194</v>
      </c>
      <c r="B106" s="150"/>
      <c r="C106" s="150"/>
      <c r="D106" s="151">
        <v>0</v>
      </c>
      <c r="E106" s="152">
        <v>0</v>
      </c>
      <c r="F106" s="151">
        <v>0</v>
      </c>
      <c r="G106" s="152">
        <v>0</v>
      </c>
      <c r="H106" s="151">
        <v>0</v>
      </c>
      <c r="I106" s="152">
        <v>0</v>
      </c>
      <c r="J106" s="151">
        <v>0</v>
      </c>
      <c r="K106" s="152">
        <v>0</v>
      </c>
      <c r="L106" s="151">
        <v>0</v>
      </c>
      <c r="M106" s="152">
        <v>0</v>
      </c>
      <c r="N106" s="151">
        <v>0</v>
      </c>
      <c r="O106" s="152">
        <v>0</v>
      </c>
      <c r="P106" s="151">
        <v>0</v>
      </c>
      <c r="Q106" s="152">
        <v>0</v>
      </c>
      <c r="R106" s="151">
        <v>0</v>
      </c>
      <c r="S106" s="152">
        <v>0</v>
      </c>
      <c r="T106" s="151">
        <v>0</v>
      </c>
      <c r="U106" s="153">
        <v>0</v>
      </c>
      <c r="V106" t="e">
        <f>VLOOKUP(A106,'Projetos ciclo 2018-2022'!$I$7:$I$318,1,FALSE)</f>
        <v>#N/A</v>
      </c>
    </row>
    <row r="107" spans="1:22" x14ac:dyDescent="0.25">
      <c r="A107" s="21" t="s">
        <v>1157</v>
      </c>
      <c r="B107" s="154"/>
      <c r="C107" s="154"/>
      <c r="D107" s="155">
        <v>0</v>
      </c>
      <c r="E107" s="158">
        <v>0</v>
      </c>
      <c r="F107" s="155">
        <v>0</v>
      </c>
      <c r="G107" s="158">
        <v>56</v>
      </c>
      <c r="H107" s="155">
        <v>0</v>
      </c>
      <c r="I107" s="158">
        <v>54.296999216079712</v>
      </c>
      <c r="J107" s="155">
        <v>0</v>
      </c>
      <c r="K107" s="158">
        <v>54.296999216079712</v>
      </c>
      <c r="L107" s="155">
        <v>0</v>
      </c>
      <c r="M107" s="158">
        <v>54.296999216079712</v>
      </c>
      <c r="N107" s="155">
        <v>0</v>
      </c>
      <c r="O107" s="158">
        <v>0</v>
      </c>
      <c r="P107" s="155">
        <v>0</v>
      </c>
      <c r="Q107" s="158">
        <v>0</v>
      </c>
      <c r="R107" s="155">
        <v>0</v>
      </c>
      <c r="S107" s="158">
        <v>0</v>
      </c>
      <c r="T107" s="155">
        <v>0</v>
      </c>
      <c r="U107" s="157">
        <v>0</v>
      </c>
      <c r="V107" t="str">
        <f>VLOOKUP(A107,'Projetos ciclo 2018-2022'!$I$7:$I$318,1,FALSE)</f>
        <v>CD00215</v>
      </c>
    </row>
    <row r="108" spans="1:22" x14ac:dyDescent="0.25">
      <c r="A108" s="149" t="s">
        <v>1662</v>
      </c>
      <c r="B108" s="150"/>
      <c r="C108" s="150"/>
      <c r="D108" s="151">
        <v>0</v>
      </c>
      <c r="E108" s="152">
        <v>0</v>
      </c>
      <c r="F108" s="151">
        <v>0</v>
      </c>
      <c r="G108" s="152">
        <v>92</v>
      </c>
      <c r="H108" s="151">
        <v>0</v>
      </c>
      <c r="I108" s="152">
        <v>0</v>
      </c>
      <c r="J108" s="151">
        <v>0</v>
      </c>
      <c r="K108" s="152">
        <v>0</v>
      </c>
      <c r="L108" s="151">
        <v>89.942001342773438</v>
      </c>
      <c r="M108" s="152">
        <v>89.942001342773438</v>
      </c>
      <c r="N108" s="151">
        <v>0</v>
      </c>
      <c r="O108" s="152">
        <v>0</v>
      </c>
      <c r="P108" s="151">
        <v>0</v>
      </c>
      <c r="Q108" s="152">
        <v>0</v>
      </c>
      <c r="R108" s="151">
        <v>0</v>
      </c>
      <c r="S108" s="152">
        <v>0</v>
      </c>
      <c r="T108" s="151">
        <v>0</v>
      </c>
      <c r="U108" s="153">
        <v>0</v>
      </c>
      <c r="V108" t="str">
        <f>VLOOKUP(A108,'Projetos ciclo 2018-2022'!$I$7:$I$318,1,FALSE)</f>
        <v>CE00118</v>
      </c>
    </row>
    <row r="109" spans="1:22" x14ac:dyDescent="0.25">
      <c r="A109" s="21" t="s">
        <v>1196</v>
      </c>
      <c r="B109" s="154"/>
      <c r="C109" s="154"/>
      <c r="D109" s="155">
        <v>0</v>
      </c>
      <c r="E109" s="158">
        <v>0</v>
      </c>
      <c r="F109" s="155">
        <v>0</v>
      </c>
      <c r="G109" s="158">
        <v>0</v>
      </c>
      <c r="H109" s="155">
        <v>0</v>
      </c>
      <c r="I109" s="158">
        <v>0</v>
      </c>
      <c r="J109" s="155">
        <v>0</v>
      </c>
      <c r="K109" s="158">
        <v>0</v>
      </c>
      <c r="L109" s="155">
        <v>0</v>
      </c>
      <c r="M109" s="158">
        <v>0</v>
      </c>
      <c r="N109" s="155">
        <v>0</v>
      </c>
      <c r="O109" s="158">
        <v>0</v>
      </c>
      <c r="P109" s="155">
        <v>0</v>
      </c>
      <c r="Q109" s="158">
        <v>0</v>
      </c>
      <c r="R109" s="155">
        <v>0</v>
      </c>
      <c r="S109" s="158">
        <v>0</v>
      </c>
      <c r="T109" s="155">
        <v>0</v>
      </c>
      <c r="U109" s="157">
        <v>0</v>
      </c>
      <c r="V109" t="e">
        <f>VLOOKUP(A109,'Projetos ciclo 2018-2022'!$I$7:$I$318,1,FALSE)</f>
        <v>#N/A</v>
      </c>
    </row>
    <row r="110" spans="1:22" x14ac:dyDescent="0.25">
      <c r="A110" s="149" t="s">
        <v>1759</v>
      </c>
      <c r="B110" s="150"/>
      <c r="C110" s="150"/>
      <c r="D110" s="151">
        <v>0</v>
      </c>
      <c r="E110" s="152">
        <v>0</v>
      </c>
      <c r="F110" s="151">
        <v>0</v>
      </c>
      <c r="G110" s="152">
        <v>125</v>
      </c>
      <c r="H110" s="151">
        <v>0</v>
      </c>
      <c r="I110" s="152">
        <v>0</v>
      </c>
      <c r="J110" s="151">
        <v>0</v>
      </c>
      <c r="K110" s="152">
        <v>0</v>
      </c>
      <c r="L110" s="151">
        <v>115.20000123977661</v>
      </c>
      <c r="M110" s="152">
        <v>115.20000123977661</v>
      </c>
      <c r="N110" s="151">
        <v>0</v>
      </c>
      <c r="O110" s="152">
        <v>0</v>
      </c>
      <c r="P110" s="151">
        <v>0</v>
      </c>
      <c r="Q110" s="152">
        <v>0</v>
      </c>
      <c r="R110" s="151">
        <v>0</v>
      </c>
      <c r="S110" s="152">
        <v>0</v>
      </c>
      <c r="T110" s="151">
        <v>0</v>
      </c>
      <c r="U110" s="153">
        <v>0</v>
      </c>
      <c r="V110" t="str">
        <f>VLOOKUP(A110,'Projetos ciclo 2018-2022'!$I$7:$I$318,1,FALSE)</f>
        <v>EM00218</v>
      </c>
    </row>
    <row r="111" spans="1:22" x14ac:dyDescent="0.25">
      <c r="A111" s="21" t="s">
        <v>1161</v>
      </c>
      <c r="B111" s="154"/>
      <c r="C111" s="154"/>
      <c r="D111" s="155">
        <v>0</v>
      </c>
      <c r="E111" s="158">
        <v>0</v>
      </c>
      <c r="F111" s="155">
        <v>0</v>
      </c>
      <c r="G111" s="158">
        <v>0</v>
      </c>
      <c r="H111" s="155">
        <v>0</v>
      </c>
      <c r="I111" s="158">
        <v>-6.9145699739456177</v>
      </c>
      <c r="J111" s="155">
        <v>0</v>
      </c>
      <c r="K111" s="158">
        <v>-6.9145699739456177</v>
      </c>
      <c r="L111" s="155">
        <v>0</v>
      </c>
      <c r="M111" s="158">
        <v>-6.9145699739456177</v>
      </c>
      <c r="N111" s="155">
        <v>0</v>
      </c>
      <c r="O111" s="158">
        <v>0</v>
      </c>
      <c r="P111" s="155">
        <v>0</v>
      </c>
      <c r="Q111" s="158">
        <v>0</v>
      </c>
      <c r="R111" s="155">
        <v>0</v>
      </c>
      <c r="S111" s="158">
        <v>0</v>
      </c>
      <c r="T111" s="155">
        <v>0</v>
      </c>
      <c r="U111" s="157">
        <v>0</v>
      </c>
      <c r="V111" t="str">
        <f>VLOOKUP(A111,'Projetos ciclo 2018-2022'!$I$7:$I$318,1,FALSE)</f>
        <v>GE00214</v>
      </c>
    </row>
    <row r="112" spans="1:22" x14ac:dyDescent="0.25">
      <c r="A112" s="149" t="s">
        <v>1303</v>
      </c>
      <c r="B112" s="150"/>
      <c r="C112" s="150"/>
      <c r="D112" s="151">
        <v>8011</v>
      </c>
      <c r="E112" s="152">
        <v>0</v>
      </c>
      <c r="F112" s="151">
        <v>3894</v>
      </c>
      <c r="G112" s="152">
        <v>0</v>
      </c>
      <c r="H112" s="151">
        <v>177</v>
      </c>
      <c r="I112" s="152">
        <v>0</v>
      </c>
      <c r="J112" s="151">
        <v>0</v>
      </c>
      <c r="K112" s="152">
        <v>0</v>
      </c>
      <c r="L112" s="151">
        <v>0</v>
      </c>
      <c r="M112" s="152">
        <v>0</v>
      </c>
      <c r="N112" s="151">
        <v>2343</v>
      </c>
      <c r="O112" s="152">
        <v>1774</v>
      </c>
      <c r="P112" s="151">
        <v>0</v>
      </c>
      <c r="Q112" s="152">
        <v>0</v>
      </c>
      <c r="R112" s="151">
        <v>0</v>
      </c>
      <c r="S112" s="152">
        <v>0</v>
      </c>
      <c r="T112" s="151">
        <v>0</v>
      </c>
      <c r="U112" s="153">
        <v>0</v>
      </c>
      <c r="V112" t="e">
        <f>VLOOKUP(A112,'Projetos ciclo 2018-2022'!$I$7:$I$318,1,FALSE)</f>
        <v>#N/A</v>
      </c>
    </row>
    <row r="113" spans="1:22" x14ac:dyDescent="0.25">
      <c r="A113" s="21" t="s">
        <v>1613</v>
      </c>
      <c r="B113" s="154"/>
      <c r="C113" s="154"/>
      <c r="D113" s="155">
        <v>0</v>
      </c>
      <c r="E113" s="158">
        <v>0</v>
      </c>
      <c r="F113" s="155">
        <v>0</v>
      </c>
      <c r="G113" s="158">
        <v>110</v>
      </c>
      <c r="H113" s="155">
        <v>0</v>
      </c>
      <c r="I113" s="158">
        <v>10.5</v>
      </c>
      <c r="J113" s="155">
        <v>0</v>
      </c>
      <c r="K113" s="158">
        <v>10.5</v>
      </c>
      <c r="L113" s="155">
        <v>18.359859466552734</v>
      </c>
      <c r="M113" s="158">
        <v>28.859859466552734</v>
      </c>
      <c r="N113" s="155">
        <v>0</v>
      </c>
      <c r="O113" s="158">
        <v>0</v>
      </c>
      <c r="P113" s="155">
        <v>0</v>
      </c>
      <c r="Q113" s="158">
        <v>0</v>
      </c>
      <c r="R113" s="155">
        <v>0</v>
      </c>
      <c r="S113" s="158">
        <v>0</v>
      </c>
      <c r="T113" s="155">
        <v>0</v>
      </c>
      <c r="U113" s="157">
        <v>0</v>
      </c>
      <c r="V113" t="str">
        <f>VLOOKUP(A113,'Projetos ciclo 2018-2022'!$I$7:$I$318,1,FALSE)</f>
        <v>GE01018</v>
      </c>
    </row>
    <row r="114" spans="1:22" x14ac:dyDescent="0.25">
      <c r="A114" s="149" t="s">
        <v>1672</v>
      </c>
      <c r="B114" s="150"/>
      <c r="C114" s="150"/>
      <c r="D114" s="151">
        <v>0</v>
      </c>
      <c r="E114" s="152">
        <v>0</v>
      </c>
      <c r="F114" s="151">
        <v>0</v>
      </c>
      <c r="G114" s="152">
        <v>81</v>
      </c>
      <c r="H114" s="151">
        <v>0</v>
      </c>
      <c r="I114" s="152">
        <v>0</v>
      </c>
      <c r="J114" s="151">
        <v>0</v>
      </c>
      <c r="K114" s="152">
        <v>0</v>
      </c>
      <c r="L114" s="151">
        <v>63.748771667480469</v>
      </c>
      <c r="M114" s="152">
        <v>63.748771667480469</v>
      </c>
      <c r="N114" s="151">
        <v>0</v>
      </c>
      <c r="O114" s="152">
        <v>0</v>
      </c>
      <c r="P114" s="151">
        <v>0</v>
      </c>
      <c r="Q114" s="152">
        <v>0</v>
      </c>
      <c r="R114" s="151">
        <v>0</v>
      </c>
      <c r="S114" s="152">
        <v>0</v>
      </c>
      <c r="T114" s="151">
        <v>0</v>
      </c>
      <c r="U114" s="153">
        <v>0</v>
      </c>
      <c r="V114" t="str">
        <f>VLOOKUP(A114,'Projetos ciclo 2018-2022'!$I$7:$I$318,1,FALSE)</f>
        <v>GE01118</v>
      </c>
    </row>
    <row r="115" spans="1:22" x14ac:dyDescent="0.25">
      <c r="A115" s="21" t="s">
        <v>1998</v>
      </c>
      <c r="B115" s="154"/>
      <c r="C115" s="154"/>
      <c r="D115" s="155">
        <v>0</v>
      </c>
      <c r="E115" s="158">
        <v>0</v>
      </c>
      <c r="F115" s="155">
        <v>0</v>
      </c>
      <c r="G115" s="158">
        <v>25</v>
      </c>
      <c r="H115" s="155">
        <v>0</v>
      </c>
      <c r="I115" s="158">
        <v>0</v>
      </c>
      <c r="J115" s="155">
        <v>0</v>
      </c>
      <c r="K115" s="158">
        <v>0</v>
      </c>
      <c r="L115" s="155">
        <v>0</v>
      </c>
      <c r="M115" s="158">
        <v>0</v>
      </c>
      <c r="N115" s="155">
        <v>0</v>
      </c>
      <c r="O115" s="158">
        <v>0</v>
      </c>
      <c r="P115" s="155">
        <v>0</v>
      </c>
      <c r="Q115" s="158">
        <v>0</v>
      </c>
      <c r="R115" s="155">
        <v>0</v>
      </c>
      <c r="S115" s="158">
        <v>0</v>
      </c>
      <c r="T115" s="155">
        <v>0</v>
      </c>
      <c r="U115" s="157">
        <v>0</v>
      </c>
      <c r="V115" t="str">
        <f>VLOOKUP(A115,'Projetos ciclo 2018-2022'!$I$7:$I$318,1,FALSE)</f>
        <v>GE01418</v>
      </c>
    </row>
    <row r="116" spans="1:22" x14ac:dyDescent="0.25">
      <c r="A116" s="149" t="s">
        <v>1942</v>
      </c>
      <c r="B116" s="150"/>
      <c r="C116" s="150"/>
      <c r="D116" s="151">
        <v>0</v>
      </c>
      <c r="E116" s="152">
        <v>0</v>
      </c>
      <c r="F116" s="151">
        <v>0</v>
      </c>
      <c r="G116" s="152">
        <v>114</v>
      </c>
      <c r="H116" s="151">
        <v>0</v>
      </c>
      <c r="I116" s="152">
        <v>0</v>
      </c>
      <c r="J116" s="151">
        <v>0</v>
      </c>
      <c r="K116" s="152">
        <v>0</v>
      </c>
      <c r="L116" s="151">
        <v>0</v>
      </c>
      <c r="M116" s="152">
        <v>0</v>
      </c>
      <c r="N116" s="151">
        <v>0</v>
      </c>
      <c r="O116" s="152">
        <v>0</v>
      </c>
      <c r="P116" s="151">
        <v>0</v>
      </c>
      <c r="Q116" s="152">
        <v>0</v>
      </c>
      <c r="R116" s="151">
        <v>0</v>
      </c>
      <c r="S116" s="152">
        <v>0</v>
      </c>
      <c r="T116" s="151">
        <v>0</v>
      </c>
      <c r="U116" s="153">
        <v>0</v>
      </c>
      <c r="V116" t="str">
        <f>VLOOKUP(A116,'Projetos ciclo 2018-2022'!$I$7:$I$318,1,FALSE)</f>
        <v>MS00118</v>
      </c>
    </row>
    <row r="117" spans="1:22" x14ac:dyDescent="0.25">
      <c r="A117" s="21" t="s">
        <v>565</v>
      </c>
      <c r="B117" s="154"/>
      <c r="C117" s="154"/>
      <c r="D117" s="155">
        <v>30075</v>
      </c>
      <c r="E117" s="158">
        <v>0</v>
      </c>
      <c r="F117" s="155">
        <v>0</v>
      </c>
      <c r="G117" s="158">
        <v>0</v>
      </c>
      <c r="H117" s="155">
        <v>0</v>
      </c>
      <c r="I117" s="158">
        <v>0</v>
      </c>
      <c r="J117" s="155">
        <v>0</v>
      </c>
      <c r="K117" s="158">
        <v>0</v>
      </c>
      <c r="L117" s="155">
        <v>0</v>
      </c>
      <c r="M117" s="158">
        <v>0</v>
      </c>
      <c r="N117" s="155">
        <v>6360</v>
      </c>
      <c r="O117" s="158">
        <v>8062</v>
      </c>
      <c r="P117" s="155">
        <v>9596</v>
      </c>
      <c r="Q117" s="158">
        <v>6057</v>
      </c>
      <c r="R117" s="155">
        <v>0</v>
      </c>
      <c r="S117" s="158">
        <v>0</v>
      </c>
      <c r="T117" s="155">
        <v>0</v>
      </c>
      <c r="U117" s="157">
        <v>0</v>
      </c>
      <c r="V117" t="str">
        <f>VLOOKUP(A117,'Projetos ciclo 2018-2022'!$I$7:$I$318,1,FALSE)</f>
        <v>NA</v>
      </c>
    </row>
    <row r="118" spans="1:22" x14ac:dyDescent="0.25">
      <c r="A118" s="149" t="s">
        <v>1518</v>
      </c>
      <c r="B118" s="150"/>
      <c r="C118" s="150"/>
      <c r="D118" s="151">
        <v>0</v>
      </c>
      <c r="E118" s="152">
        <v>0</v>
      </c>
      <c r="F118" s="151">
        <v>0</v>
      </c>
      <c r="G118" s="152">
        <v>124</v>
      </c>
      <c r="H118" s="151">
        <v>0</v>
      </c>
      <c r="I118" s="152">
        <v>0</v>
      </c>
      <c r="J118" s="151">
        <v>0</v>
      </c>
      <c r="K118" s="152">
        <v>0</v>
      </c>
      <c r="L118" s="151">
        <v>103.1910982131958</v>
      </c>
      <c r="M118" s="152">
        <v>103.1910982131958</v>
      </c>
      <c r="N118" s="151">
        <v>0</v>
      </c>
      <c r="O118" s="152">
        <v>0</v>
      </c>
      <c r="P118" s="151">
        <v>0</v>
      </c>
      <c r="Q118" s="152">
        <v>0</v>
      </c>
      <c r="R118" s="151">
        <v>0</v>
      </c>
      <c r="S118" s="152">
        <v>0</v>
      </c>
      <c r="T118" s="151">
        <v>0</v>
      </c>
      <c r="U118" s="153">
        <v>0</v>
      </c>
      <c r="V118" t="str">
        <f>VLOOKUP(A118,'Projetos ciclo 2018-2022'!$I$7:$I$318,1,FALSE)</f>
        <v>RH00118</v>
      </c>
    </row>
    <row r="119" spans="1:22" x14ac:dyDescent="0.25">
      <c r="A119" s="21" t="s">
        <v>1153</v>
      </c>
      <c r="B119" s="154"/>
      <c r="C119" s="154"/>
      <c r="D119" s="155">
        <v>0</v>
      </c>
      <c r="E119" s="158">
        <v>0</v>
      </c>
      <c r="F119" s="155">
        <v>0</v>
      </c>
      <c r="G119" s="158">
        <v>52</v>
      </c>
      <c r="H119" s="155">
        <v>0</v>
      </c>
      <c r="I119" s="158">
        <v>0</v>
      </c>
      <c r="J119" s="155">
        <v>0</v>
      </c>
      <c r="K119" s="158">
        <v>0</v>
      </c>
      <c r="L119" s="155">
        <v>51</v>
      </c>
      <c r="M119" s="158">
        <v>51</v>
      </c>
      <c r="N119" s="155">
        <v>0</v>
      </c>
      <c r="O119" s="158">
        <v>0</v>
      </c>
      <c r="P119" s="155">
        <v>0</v>
      </c>
      <c r="Q119" s="158">
        <v>0</v>
      </c>
      <c r="R119" s="155">
        <v>0</v>
      </c>
      <c r="S119" s="158">
        <v>0</v>
      </c>
      <c r="T119" s="155">
        <v>0</v>
      </c>
      <c r="U119" s="157">
        <v>0</v>
      </c>
      <c r="V119" t="str">
        <f>VLOOKUP(A119,'Projetos ciclo 2018-2022'!$I$7:$I$318,1,FALSE)</f>
        <v>SC00117</v>
      </c>
    </row>
    <row r="120" spans="1:22" x14ac:dyDescent="0.25">
      <c r="A120" s="149" t="s">
        <v>1152</v>
      </c>
      <c r="B120" s="150"/>
      <c r="C120" s="150"/>
      <c r="D120" s="151">
        <v>0</v>
      </c>
      <c r="E120" s="152">
        <v>0</v>
      </c>
      <c r="F120" s="151">
        <v>0</v>
      </c>
      <c r="G120" s="152">
        <v>30</v>
      </c>
      <c r="H120" s="151">
        <v>0</v>
      </c>
      <c r="I120" s="152">
        <v>0</v>
      </c>
      <c r="J120" s="151">
        <v>0</v>
      </c>
      <c r="K120" s="152">
        <v>0</v>
      </c>
      <c r="L120" s="151">
        <v>0</v>
      </c>
      <c r="M120" s="152">
        <v>0</v>
      </c>
      <c r="N120" s="151">
        <v>0</v>
      </c>
      <c r="O120" s="152">
        <v>0</v>
      </c>
      <c r="P120" s="151">
        <v>0</v>
      </c>
      <c r="Q120" s="152">
        <v>0</v>
      </c>
      <c r="R120" s="151">
        <v>0</v>
      </c>
      <c r="S120" s="152">
        <v>0</v>
      </c>
      <c r="T120" s="151">
        <v>0</v>
      </c>
      <c r="U120" s="153">
        <v>0</v>
      </c>
      <c r="V120" t="str">
        <f>VLOOKUP(A120,'Projetos ciclo 2018-2022'!$I$7:$I$318,1,FALSE)</f>
        <v>SC00118</v>
      </c>
    </row>
    <row r="121" spans="1:22" x14ac:dyDescent="0.25">
      <c r="A121" s="21" t="s">
        <v>1534</v>
      </c>
      <c r="B121" s="154"/>
      <c r="C121" s="154"/>
      <c r="D121" s="155">
        <v>0</v>
      </c>
      <c r="E121" s="158">
        <v>0</v>
      </c>
      <c r="F121" s="155">
        <v>0</v>
      </c>
      <c r="G121" s="158">
        <v>153</v>
      </c>
      <c r="H121" s="155">
        <v>0</v>
      </c>
      <c r="I121" s="158">
        <v>85.232650756835938</v>
      </c>
      <c r="J121" s="155">
        <v>0</v>
      </c>
      <c r="K121" s="158">
        <v>85.232650756835938</v>
      </c>
      <c r="L121" s="155">
        <v>43.656999588012695</v>
      </c>
      <c r="M121" s="158">
        <v>128.88965034484863</v>
      </c>
      <c r="N121" s="155">
        <v>0</v>
      </c>
      <c r="O121" s="158">
        <v>0</v>
      </c>
      <c r="P121" s="155">
        <v>0</v>
      </c>
      <c r="Q121" s="158">
        <v>0</v>
      </c>
      <c r="R121" s="155">
        <v>0</v>
      </c>
      <c r="S121" s="158">
        <v>0</v>
      </c>
      <c r="T121" s="155">
        <v>0</v>
      </c>
      <c r="U121" s="157">
        <v>0</v>
      </c>
      <c r="V121" t="str">
        <f>VLOOKUP(A121,'Projetos ciclo 2018-2022'!$I$7:$I$318,1,FALSE)</f>
        <v>SC00418</v>
      </c>
    </row>
    <row r="122" spans="1:22" x14ac:dyDescent="0.25">
      <c r="A122" s="149" t="s">
        <v>1619</v>
      </c>
      <c r="B122" s="150"/>
      <c r="C122" s="150"/>
      <c r="D122" s="151">
        <v>0</v>
      </c>
      <c r="E122" s="152">
        <v>0</v>
      </c>
      <c r="F122" s="151">
        <v>0</v>
      </c>
      <c r="G122" s="152">
        <v>23</v>
      </c>
      <c r="H122" s="151">
        <v>0</v>
      </c>
      <c r="I122" s="152">
        <v>0</v>
      </c>
      <c r="J122" s="151">
        <v>0</v>
      </c>
      <c r="K122" s="152">
        <v>0</v>
      </c>
      <c r="L122" s="151">
        <v>21.78000020980835</v>
      </c>
      <c r="M122" s="152">
        <v>21.78000020980835</v>
      </c>
      <c r="N122" s="151">
        <v>0</v>
      </c>
      <c r="O122" s="152">
        <v>0</v>
      </c>
      <c r="P122" s="151">
        <v>0</v>
      </c>
      <c r="Q122" s="152">
        <v>0</v>
      </c>
      <c r="R122" s="151">
        <v>0</v>
      </c>
      <c r="S122" s="152">
        <v>0</v>
      </c>
      <c r="T122" s="151">
        <v>0</v>
      </c>
      <c r="U122" s="153">
        <v>0</v>
      </c>
      <c r="V122" t="str">
        <f>VLOOKUP(A122,'Projetos ciclo 2018-2022'!$I$7:$I$318,1,FALSE)</f>
        <v>SC00518</v>
      </c>
    </row>
    <row r="123" spans="1:22" x14ac:dyDescent="0.25">
      <c r="A123" s="21" t="s">
        <v>1654</v>
      </c>
      <c r="B123" s="154"/>
      <c r="C123" s="154"/>
      <c r="D123" s="155">
        <v>0</v>
      </c>
      <c r="E123" s="158">
        <v>0</v>
      </c>
      <c r="F123" s="155">
        <v>0</v>
      </c>
      <c r="G123" s="158">
        <v>1209</v>
      </c>
      <c r="H123" s="155">
        <v>0</v>
      </c>
      <c r="I123" s="158">
        <v>0</v>
      </c>
      <c r="J123" s="155">
        <v>0</v>
      </c>
      <c r="K123" s="158">
        <v>0</v>
      </c>
      <c r="L123" s="155">
        <v>1206</v>
      </c>
      <c r="M123" s="158">
        <v>1206</v>
      </c>
      <c r="N123" s="155">
        <v>0</v>
      </c>
      <c r="O123" s="158">
        <v>0</v>
      </c>
      <c r="P123" s="155">
        <v>0</v>
      </c>
      <c r="Q123" s="158">
        <v>0</v>
      </c>
      <c r="R123" s="155">
        <v>0</v>
      </c>
      <c r="S123" s="158">
        <v>0</v>
      </c>
      <c r="T123" s="155">
        <v>0</v>
      </c>
      <c r="U123" s="157">
        <v>0</v>
      </c>
      <c r="V123" t="str">
        <f>VLOOKUP(A123,'Projetos ciclo 2018-2022'!$I$7:$I$318,1,FALSE)</f>
        <v>SC00618</v>
      </c>
    </row>
    <row r="124" spans="1:22" x14ac:dyDescent="0.25">
      <c r="A124" s="149" t="s">
        <v>1657</v>
      </c>
      <c r="B124" s="150"/>
      <c r="C124" s="150"/>
      <c r="D124" s="151">
        <v>0</v>
      </c>
      <c r="E124" s="152">
        <v>0</v>
      </c>
      <c r="F124" s="151">
        <v>0</v>
      </c>
      <c r="G124" s="152">
        <v>176</v>
      </c>
      <c r="H124" s="151">
        <v>0</v>
      </c>
      <c r="I124" s="152">
        <v>10.799999952316284</v>
      </c>
      <c r="J124" s="151">
        <v>0</v>
      </c>
      <c r="K124" s="152">
        <v>10.799999952316284</v>
      </c>
      <c r="L124" s="151">
        <v>0</v>
      </c>
      <c r="M124" s="152">
        <v>10.799999952316284</v>
      </c>
      <c r="N124" s="151">
        <v>0</v>
      </c>
      <c r="O124" s="152">
        <v>0</v>
      </c>
      <c r="P124" s="151">
        <v>0</v>
      </c>
      <c r="Q124" s="152">
        <v>0</v>
      </c>
      <c r="R124" s="151">
        <v>0</v>
      </c>
      <c r="S124" s="152">
        <v>0</v>
      </c>
      <c r="T124" s="151">
        <v>0</v>
      </c>
      <c r="U124" s="153">
        <v>0</v>
      </c>
      <c r="V124" t="str">
        <f>VLOOKUP(A124,'Projetos ciclo 2018-2022'!$I$7:$I$318,1,FALSE)</f>
        <v>SC00718</v>
      </c>
    </row>
    <row r="125" spans="1:22" x14ac:dyDescent="0.25">
      <c r="A125" s="21" t="s">
        <v>1927</v>
      </c>
      <c r="B125" s="154"/>
      <c r="C125" s="154"/>
      <c r="D125" s="155">
        <v>0</v>
      </c>
      <c r="E125" s="158">
        <v>0</v>
      </c>
      <c r="F125" s="155">
        <v>0</v>
      </c>
      <c r="G125" s="158">
        <v>7</v>
      </c>
      <c r="H125" s="155">
        <v>0</v>
      </c>
      <c r="I125" s="158">
        <v>2.8900001049041748</v>
      </c>
      <c r="J125" s="155">
        <v>0</v>
      </c>
      <c r="K125" s="158">
        <v>2.8900001049041748</v>
      </c>
      <c r="L125" s="155">
        <v>0</v>
      </c>
      <c r="M125" s="158">
        <v>2.8900001049041748</v>
      </c>
      <c r="N125" s="155">
        <v>0</v>
      </c>
      <c r="O125" s="158">
        <v>0</v>
      </c>
      <c r="P125" s="155">
        <v>0</v>
      </c>
      <c r="Q125" s="158">
        <v>0</v>
      </c>
      <c r="R125" s="155">
        <v>0</v>
      </c>
      <c r="S125" s="158">
        <v>0</v>
      </c>
      <c r="T125" s="155">
        <v>0</v>
      </c>
      <c r="U125" s="157">
        <v>0</v>
      </c>
      <c r="V125" t="str">
        <f>VLOOKUP(A125,'Projetos ciclo 2018-2022'!$I$7:$I$318,1,FALSE)</f>
        <v>SC00818</v>
      </c>
    </row>
    <row r="126" spans="1:22" x14ac:dyDescent="0.25">
      <c r="A126" s="149" t="s">
        <v>1925</v>
      </c>
      <c r="B126" s="150"/>
      <c r="C126" s="150"/>
      <c r="D126" s="151">
        <v>0</v>
      </c>
      <c r="E126" s="152">
        <v>0</v>
      </c>
      <c r="F126" s="151">
        <v>0</v>
      </c>
      <c r="G126" s="152">
        <v>9</v>
      </c>
      <c r="H126" s="151">
        <v>0</v>
      </c>
      <c r="I126" s="152">
        <v>0</v>
      </c>
      <c r="J126" s="151">
        <v>0</v>
      </c>
      <c r="K126" s="152">
        <v>0</v>
      </c>
      <c r="L126" s="151">
        <v>9.25</v>
      </c>
      <c r="M126" s="152">
        <v>9.25</v>
      </c>
      <c r="N126" s="151">
        <v>0</v>
      </c>
      <c r="O126" s="152">
        <v>0</v>
      </c>
      <c r="P126" s="151">
        <v>0</v>
      </c>
      <c r="Q126" s="152">
        <v>0</v>
      </c>
      <c r="R126" s="151">
        <v>0</v>
      </c>
      <c r="S126" s="152">
        <v>0</v>
      </c>
      <c r="T126" s="151">
        <v>0</v>
      </c>
      <c r="U126" s="153">
        <v>0</v>
      </c>
      <c r="V126" t="str">
        <f>VLOOKUP(A126,'Projetos ciclo 2018-2022'!$I$7:$I$318,1,FALSE)</f>
        <v>SC00918</v>
      </c>
    </row>
    <row r="127" spans="1:22" x14ac:dyDescent="0.25">
      <c r="A127" s="21" t="s">
        <v>1199</v>
      </c>
      <c r="B127" s="154"/>
      <c r="C127" s="154"/>
      <c r="D127" s="155">
        <v>2365.5</v>
      </c>
      <c r="E127" s="158">
        <v>0</v>
      </c>
      <c r="F127" s="155">
        <v>0</v>
      </c>
      <c r="G127" s="158">
        <v>0</v>
      </c>
      <c r="H127" s="155">
        <v>0</v>
      </c>
      <c r="I127" s="158">
        <v>0</v>
      </c>
      <c r="J127" s="155">
        <v>0</v>
      </c>
      <c r="K127" s="158">
        <v>0</v>
      </c>
      <c r="L127" s="155">
        <v>0</v>
      </c>
      <c r="M127" s="158">
        <v>0</v>
      </c>
      <c r="N127" s="155">
        <v>0</v>
      </c>
      <c r="O127" s="158">
        <v>0</v>
      </c>
      <c r="P127" s="155">
        <v>0</v>
      </c>
      <c r="Q127" s="158">
        <v>0</v>
      </c>
      <c r="R127" s="155">
        <v>0</v>
      </c>
      <c r="S127" s="158">
        <v>0</v>
      </c>
      <c r="T127" s="155">
        <v>0</v>
      </c>
      <c r="U127" s="157">
        <v>0</v>
      </c>
      <c r="V127" t="e">
        <f>VLOOKUP(A127,'Projetos ciclo 2018-2022'!$I$7:$I$318,1,FALSE)</f>
        <v>#N/A</v>
      </c>
    </row>
    <row r="128" spans="1:22" x14ac:dyDescent="0.25">
      <c r="A128" s="149" t="s">
        <v>1538</v>
      </c>
      <c r="B128" s="150"/>
      <c r="C128" s="150"/>
      <c r="D128" s="151">
        <v>0</v>
      </c>
      <c r="E128" s="152">
        <v>0</v>
      </c>
      <c r="F128" s="151">
        <v>0</v>
      </c>
      <c r="G128" s="152">
        <v>20</v>
      </c>
      <c r="H128" s="151">
        <v>0</v>
      </c>
      <c r="I128" s="152">
        <v>11.725610017776489</v>
      </c>
      <c r="J128" s="151">
        <v>0</v>
      </c>
      <c r="K128" s="152">
        <v>11.725610017776489</v>
      </c>
      <c r="L128" s="151">
        <v>0</v>
      </c>
      <c r="M128" s="152">
        <v>11.725610017776489</v>
      </c>
      <c r="N128" s="151">
        <v>0</v>
      </c>
      <c r="O128" s="152">
        <v>0</v>
      </c>
      <c r="P128" s="151">
        <v>0</v>
      </c>
      <c r="Q128" s="152">
        <v>0</v>
      </c>
      <c r="R128" s="151">
        <v>0</v>
      </c>
      <c r="S128" s="152">
        <v>0</v>
      </c>
      <c r="T128" s="151">
        <v>0</v>
      </c>
      <c r="U128" s="153">
        <v>0</v>
      </c>
      <c r="V128" t="str">
        <f>VLOOKUP(A128,'Projetos ciclo 2018-2022'!$I$7:$I$318,1,FALSE)</f>
        <v>TI05018</v>
      </c>
    </row>
    <row r="129" spans="1:22" x14ac:dyDescent="0.25">
      <c r="A129" s="21" t="s">
        <v>1194</v>
      </c>
      <c r="B129" s="154"/>
      <c r="C129" s="154"/>
      <c r="D129" s="155">
        <v>0</v>
      </c>
      <c r="E129" s="158">
        <v>0</v>
      </c>
      <c r="F129" s="155">
        <v>0</v>
      </c>
      <c r="G129" s="158">
        <v>0</v>
      </c>
      <c r="H129" s="155">
        <v>0</v>
      </c>
      <c r="I129" s="158">
        <v>0</v>
      </c>
      <c r="J129" s="155">
        <v>0</v>
      </c>
      <c r="K129" s="158">
        <v>0</v>
      </c>
      <c r="L129" s="155">
        <v>0</v>
      </c>
      <c r="M129" s="158">
        <v>0</v>
      </c>
      <c r="N129" s="155">
        <v>0</v>
      </c>
      <c r="O129" s="158">
        <v>0</v>
      </c>
      <c r="P129" s="155">
        <v>0</v>
      </c>
      <c r="Q129" s="158">
        <v>0</v>
      </c>
      <c r="R129" s="155">
        <v>0</v>
      </c>
      <c r="S129" s="158">
        <v>0</v>
      </c>
      <c r="T129" s="155">
        <v>0</v>
      </c>
      <c r="U129" s="157">
        <v>0</v>
      </c>
      <c r="V129" t="e">
        <f>VLOOKUP(A129,'Projetos ciclo 2018-2022'!$I$7:$I$318,1,FALSE)</f>
        <v>#N/A</v>
      </c>
    </row>
    <row r="130" spans="1:22" x14ac:dyDescent="0.25">
      <c r="A130" s="149" t="s">
        <v>1196</v>
      </c>
      <c r="B130" s="150"/>
      <c r="C130" s="150"/>
      <c r="D130" s="151">
        <v>0</v>
      </c>
      <c r="E130" s="152">
        <v>0</v>
      </c>
      <c r="F130" s="151">
        <v>0</v>
      </c>
      <c r="G130" s="152">
        <v>0</v>
      </c>
      <c r="H130" s="151">
        <v>0</v>
      </c>
      <c r="I130" s="152">
        <v>0</v>
      </c>
      <c r="J130" s="151">
        <v>0</v>
      </c>
      <c r="K130" s="152">
        <v>0</v>
      </c>
      <c r="L130" s="151">
        <v>0</v>
      </c>
      <c r="M130" s="152">
        <v>0</v>
      </c>
      <c r="N130" s="151">
        <v>0</v>
      </c>
      <c r="O130" s="152">
        <v>0</v>
      </c>
      <c r="P130" s="151">
        <v>0</v>
      </c>
      <c r="Q130" s="152">
        <v>0</v>
      </c>
      <c r="R130" s="151">
        <v>0</v>
      </c>
      <c r="S130" s="152">
        <v>0</v>
      </c>
      <c r="T130" s="151">
        <v>0</v>
      </c>
      <c r="U130" s="153">
        <v>0</v>
      </c>
      <c r="V130" t="e">
        <f>VLOOKUP(A130,'Projetos ciclo 2018-2022'!$I$7:$I$318,1,FALSE)</f>
        <v>#N/A</v>
      </c>
    </row>
    <row r="131" spans="1:22" x14ac:dyDescent="0.25">
      <c r="A131" s="21" t="s">
        <v>565</v>
      </c>
      <c r="B131" s="154"/>
      <c r="C131" s="154"/>
      <c r="D131" s="155">
        <v>30051</v>
      </c>
      <c r="E131" s="158">
        <v>0</v>
      </c>
      <c r="F131" s="155">
        <v>0</v>
      </c>
      <c r="G131" s="158">
        <v>0</v>
      </c>
      <c r="H131" s="155">
        <v>0</v>
      </c>
      <c r="I131" s="158">
        <v>0</v>
      </c>
      <c r="J131" s="155">
        <v>0</v>
      </c>
      <c r="K131" s="158">
        <v>0</v>
      </c>
      <c r="L131" s="155">
        <v>0</v>
      </c>
      <c r="M131" s="158">
        <v>0</v>
      </c>
      <c r="N131" s="155">
        <v>5003</v>
      </c>
      <c r="O131" s="158">
        <v>8113</v>
      </c>
      <c r="P131" s="155">
        <v>9847</v>
      </c>
      <c r="Q131" s="158">
        <v>7088</v>
      </c>
      <c r="R131" s="155">
        <v>0</v>
      </c>
      <c r="S131" s="158">
        <v>0</v>
      </c>
      <c r="T131" s="155">
        <v>0</v>
      </c>
      <c r="U131" s="157">
        <v>0</v>
      </c>
      <c r="V131" t="str">
        <f>VLOOKUP(A131,'Projetos ciclo 2018-2022'!$I$7:$I$318,1,FALSE)</f>
        <v>NA</v>
      </c>
    </row>
    <row r="132" spans="1:22" x14ac:dyDescent="0.25">
      <c r="A132" s="149" t="s">
        <v>1199</v>
      </c>
      <c r="B132" s="150"/>
      <c r="C132" s="150"/>
      <c r="D132" s="151">
        <v>-1</v>
      </c>
      <c r="E132" s="152">
        <v>0</v>
      </c>
      <c r="F132" s="151">
        <v>0</v>
      </c>
      <c r="G132" s="152">
        <v>0</v>
      </c>
      <c r="H132" s="151">
        <v>0</v>
      </c>
      <c r="I132" s="152">
        <v>0</v>
      </c>
      <c r="J132" s="151">
        <v>0</v>
      </c>
      <c r="K132" s="152">
        <v>0</v>
      </c>
      <c r="L132" s="151">
        <v>0</v>
      </c>
      <c r="M132" s="152">
        <v>0</v>
      </c>
      <c r="N132" s="151">
        <v>0</v>
      </c>
      <c r="O132" s="152">
        <v>0</v>
      </c>
      <c r="P132" s="151">
        <v>0</v>
      </c>
      <c r="Q132" s="152">
        <v>0</v>
      </c>
      <c r="R132" s="151">
        <v>0</v>
      </c>
      <c r="S132" s="152">
        <v>0</v>
      </c>
      <c r="T132" s="151">
        <v>0</v>
      </c>
      <c r="U132" s="153">
        <v>0</v>
      </c>
      <c r="V132" t="e">
        <f>VLOOKUP(A132,'Projetos ciclo 2018-2022'!$I$7:$I$318,1,FALSE)</f>
        <v>#N/A</v>
      </c>
    </row>
    <row r="133" spans="1:22" x14ac:dyDescent="0.25">
      <c r="A133" s="21" t="s">
        <v>1308</v>
      </c>
      <c r="B133" s="154"/>
      <c r="C133" s="154"/>
      <c r="D133" s="155">
        <v>4512</v>
      </c>
      <c r="E133" s="158">
        <v>0</v>
      </c>
      <c r="F133" s="155">
        <v>4112</v>
      </c>
      <c r="G133" s="158">
        <v>0</v>
      </c>
      <c r="H133" s="155">
        <v>610</v>
      </c>
      <c r="I133" s="158">
        <v>0</v>
      </c>
      <c r="J133" s="155">
        <v>0</v>
      </c>
      <c r="K133" s="158">
        <v>0</v>
      </c>
      <c r="L133" s="155">
        <v>0</v>
      </c>
      <c r="M133" s="158">
        <v>0</v>
      </c>
      <c r="N133" s="155">
        <v>200</v>
      </c>
      <c r="O133" s="158">
        <v>200</v>
      </c>
      <c r="P133" s="155">
        <v>0</v>
      </c>
      <c r="Q133" s="158">
        <v>0</v>
      </c>
      <c r="R133" s="155">
        <v>0</v>
      </c>
      <c r="S133" s="158">
        <v>0</v>
      </c>
      <c r="T133" s="155">
        <v>0</v>
      </c>
      <c r="U133" s="157">
        <v>0</v>
      </c>
      <c r="V133" t="e">
        <f>VLOOKUP(A133,'Projetos ciclo 2018-2022'!$I$7:$I$318,1,FALSE)</f>
        <v>#N/A</v>
      </c>
    </row>
    <row r="134" spans="1:22" x14ac:dyDescent="0.25">
      <c r="A134" s="149" t="s">
        <v>1192</v>
      </c>
      <c r="B134" s="150"/>
      <c r="C134" s="150"/>
      <c r="D134" s="151">
        <v>0</v>
      </c>
      <c r="E134" s="152">
        <v>0</v>
      </c>
      <c r="F134" s="151">
        <v>0</v>
      </c>
      <c r="G134" s="152">
        <v>367</v>
      </c>
      <c r="H134" s="151">
        <v>0</v>
      </c>
      <c r="I134" s="152">
        <v>0</v>
      </c>
      <c r="J134" s="151">
        <v>0</v>
      </c>
      <c r="K134" s="152">
        <v>0</v>
      </c>
      <c r="L134" s="151">
        <v>356.9999942779541</v>
      </c>
      <c r="M134" s="152">
        <v>356.9999942779541</v>
      </c>
      <c r="N134" s="151">
        <v>0</v>
      </c>
      <c r="O134" s="152">
        <v>0</v>
      </c>
      <c r="P134" s="151">
        <v>0</v>
      </c>
      <c r="Q134" s="152">
        <v>0</v>
      </c>
      <c r="R134" s="151">
        <v>0</v>
      </c>
      <c r="S134" s="152">
        <v>0</v>
      </c>
      <c r="T134" s="151">
        <v>0</v>
      </c>
      <c r="U134" s="153">
        <v>0</v>
      </c>
      <c r="V134" t="str">
        <f>VLOOKUP(A134,'Projetos ciclo 2018-2022'!$I$7:$I$318,1,FALSE)</f>
        <v>TI02918</v>
      </c>
    </row>
    <row r="135" spans="1:22" x14ac:dyDescent="0.25">
      <c r="A135" s="21" t="s">
        <v>1312</v>
      </c>
      <c r="B135" s="154"/>
      <c r="C135" s="154"/>
      <c r="D135" s="155">
        <v>0</v>
      </c>
      <c r="E135" s="158">
        <v>0</v>
      </c>
      <c r="F135" s="155">
        <v>0</v>
      </c>
      <c r="G135" s="158">
        <v>108</v>
      </c>
      <c r="H135" s="155">
        <v>0</v>
      </c>
      <c r="I135" s="158">
        <v>35.139549970626831</v>
      </c>
      <c r="J135" s="155">
        <v>0</v>
      </c>
      <c r="K135" s="158">
        <v>35.139549970626831</v>
      </c>
      <c r="L135" s="155">
        <v>1.8612299859523773</v>
      </c>
      <c r="M135" s="158">
        <v>37.000779956579208</v>
      </c>
      <c r="N135" s="155">
        <v>0</v>
      </c>
      <c r="O135" s="158">
        <v>0</v>
      </c>
      <c r="P135" s="155">
        <v>0</v>
      </c>
      <c r="Q135" s="158">
        <v>0</v>
      </c>
      <c r="R135" s="155">
        <v>0</v>
      </c>
      <c r="S135" s="158">
        <v>0</v>
      </c>
      <c r="T135" s="155">
        <v>0</v>
      </c>
      <c r="U135" s="157">
        <v>0</v>
      </c>
      <c r="V135" t="str">
        <f>VLOOKUP(A135,'Projetos ciclo 2018-2022'!$I$7:$I$318,1,FALSE)</f>
        <v>TI03118</v>
      </c>
    </row>
    <row r="136" spans="1:22" x14ac:dyDescent="0.25">
      <c r="A136" s="149" t="s">
        <v>1521</v>
      </c>
      <c r="B136" s="150"/>
      <c r="C136" s="150"/>
      <c r="D136" s="151">
        <v>0</v>
      </c>
      <c r="E136" s="152">
        <v>0</v>
      </c>
      <c r="F136" s="151">
        <v>0</v>
      </c>
      <c r="G136" s="152">
        <v>200</v>
      </c>
      <c r="H136" s="151">
        <v>0</v>
      </c>
      <c r="I136" s="152">
        <v>0</v>
      </c>
      <c r="J136" s="151">
        <v>0</v>
      </c>
      <c r="K136" s="152">
        <v>0</v>
      </c>
      <c r="L136" s="151">
        <v>192.89999389648437</v>
      </c>
      <c r="M136" s="152">
        <v>192.89999389648437</v>
      </c>
      <c r="N136" s="151">
        <v>0</v>
      </c>
      <c r="O136" s="152">
        <v>0</v>
      </c>
      <c r="P136" s="151">
        <v>0</v>
      </c>
      <c r="Q136" s="152">
        <v>0</v>
      </c>
      <c r="R136" s="151">
        <v>0</v>
      </c>
      <c r="S136" s="152">
        <v>0</v>
      </c>
      <c r="T136" s="151">
        <v>0</v>
      </c>
      <c r="U136" s="153">
        <v>0</v>
      </c>
      <c r="V136" t="str">
        <f>VLOOKUP(A136,'Projetos ciclo 2018-2022'!$I$7:$I$318,1,FALSE)</f>
        <v>TI05118</v>
      </c>
    </row>
    <row r="137" spans="1:22" x14ac:dyDescent="0.25">
      <c r="A137" s="21" t="s">
        <v>1668</v>
      </c>
      <c r="B137" s="154"/>
      <c r="C137" s="154"/>
      <c r="D137" s="155">
        <v>0</v>
      </c>
      <c r="E137" s="158">
        <v>0</v>
      </c>
      <c r="F137" s="155">
        <v>0</v>
      </c>
      <c r="G137" s="158">
        <v>2214</v>
      </c>
      <c r="H137" s="155">
        <v>0</v>
      </c>
      <c r="I137" s="158">
        <v>49.299970030784607</v>
      </c>
      <c r="J137" s="155">
        <v>0</v>
      </c>
      <c r="K137" s="158">
        <v>49.299970030784607</v>
      </c>
      <c r="L137" s="155">
        <v>489.594721801579</v>
      </c>
      <c r="M137" s="158">
        <v>538.89469183236361</v>
      </c>
      <c r="N137" s="155">
        <v>0</v>
      </c>
      <c r="O137" s="158">
        <v>0</v>
      </c>
      <c r="P137" s="155">
        <v>0</v>
      </c>
      <c r="Q137" s="158">
        <v>0</v>
      </c>
      <c r="R137" s="155">
        <v>0</v>
      </c>
      <c r="S137" s="158">
        <v>0</v>
      </c>
      <c r="T137" s="155">
        <v>0</v>
      </c>
      <c r="U137" s="157">
        <v>0</v>
      </c>
      <c r="V137" t="str">
        <f>VLOOKUP(A137,'Projetos ciclo 2018-2022'!$I$7:$I$318,1,FALSE)</f>
        <v>TI05918</v>
      </c>
    </row>
    <row r="138" spans="1:22" x14ac:dyDescent="0.25">
      <c r="A138" s="149" t="s">
        <v>1893</v>
      </c>
      <c r="B138" s="150"/>
      <c r="C138" s="150"/>
      <c r="D138" s="151">
        <v>0</v>
      </c>
      <c r="E138" s="152">
        <v>0</v>
      </c>
      <c r="F138" s="151">
        <v>0</v>
      </c>
      <c r="G138" s="152">
        <v>80</v>
      </c>
      <c r="H138" s="151">
        <v>0</v>
      </c>
      <c r="I138" s="152">
        <v>0</v>
      </c>
      <c r="J138" s="151">
        <v>0</v>
      </c>
      <c r="K138" s="152">
        <v>0</v>
      </c>
      <c r="L138" s="151">
        <v>0</v>
      </c>
      <c r="M138" s="152">
        <v>0</v>
      </c>
      <c r="N138" s="151">
        <v>0</v>
      </c>
      <c r="O138" s="152">
        <v>0</v>
      </c>
      <c r="P138" s="151">
        <v>0</v>
      </c>
      <c r="Q138" s="152">
        <v>0</v>
      </c>
      <c r="R138" s="151">
        <v>0</v>
      </c>
      <c r="S138" s="152">
        <v>0</v>
      </c>
      <c r="T138" s="151">
        <v>0</v>
      </c>
      <c r="U138" s="153">
        <v>0</v>
      </c>
      <c r="V138" t="str">
        <f>VLOOKUP(A138,'Projetos ciclo 2018-2022'!$I$7:$I$318,1,FALSE)</f>
        <v>TI07318</v>
      </c>
    </row>
    <row r="139" spans="1:22" x14ac:dyDescent="0.25">
      <c r="A139" s="21" t="s">
        <v>1976</v>
      </c>
      <c r="B139" s="154"/>
      <c r="C139" s="154"/>
      <c r="D139" s="155">
        <v>0</v>
      </c>
      <c r="E139" s="158">
        <v>0</v>
      </c>
      <c r="F139" s="155">
        <v>0</v>
      </c>
      <c r="G139" s="158">
        <v>280</v>
      </c>
      <c r="H139" s="155">
        <v>0</v>
      </c>
      <c r="I139" s="158">
        <v>0</v>
      </c>
      <c r="J139" s="155">
        <v>0</v>
      </c>
      <c r="K139" s="158">
        <v>0</v>
      </c>
      <c r="L139" s="155">
        <v>271.89999544620514</v>
      </c>
      <c r="M139" s="158">
        <v>271.89999544620514</v>
      </c>
      <c r="N139" s="155">
        <v>0</v>
      </c>
      <c r="O139" s="158">
        <v>0</v>
      </c>
      <c r="P139" s="155">
        <v>0</v>
      </c>
      <c r="Q139" s="158">
        <v>0</v>
      </c>
      <c r="R139" s="155">
        <v>0</v>
      </c>
      <c r="S139" s="158">
        <v>0</v>
      </c>
      <c r="T139" s="155">
        <v>0</v>
      </c>
      <c r="U139" s="157">
        <v>0</v>
      </c>
      <c r="V139" t="str">
        <f>VLOOKUP(A139,'Projetos ciclo 2018-2022'!$I$7:$I$318,1,FALSE)</f>
        <v>TI07718</v>
      </c>
    </row>
    <row r="140" spans="1:22" x14ac:dyDescent="0.25">
      <c r="A140" s="149" t="s">
        <v>1936</v>
      </c>
      <c r="B140" s="150"/>
      <c r="C140" s="150"/>
      <c r="D140" s="151">
        <v>0</v>
      </c>
      <c r="E140" s="152">
        <v>0</v>
      </c>
      <c r="F140" s="151">
        <v>0</v>
      </c>
      <c r="G140" s="152">
        <v>711</v>
      </c>
      <c r="H140" s="151">
        <v>0</v>
      </c>
      <c r="I140" s="152">
        <v>148.74561949074268</v>
      </c>
      <c r="J140" s="151">
        <v>0</v>
      </c>
      <c r="K140" s="152">
        <v>148.74561949074268</v>
      </c>
      <c r="L140" s="151">
        <v>0</v>
      </c>
      <c r="M140" s="152">
        <v>148.74561949074268</v>
      </c>
      <c r="N140" s="151">
        <v>0</v>
      </c>
      <c r="O140" s="152">
        <v>0</v>
      </c>
      <c r="P140" s="151">
        <v>0</v>
      </c>
      <c r="Q140" s="152">
        <v>0</v>
      </c>
      <c r="R140" s="151">
        <v>0</v>
      </c>
      <c r="S140" s="152">
        <v>0</v>
      </c>
      <c r="T140" s="151">
        <v>0</v>
      </c>
      <c r="U140" s="153">
        <v>0</v>
      </c>
      <c r="V140" t="str">
        <f>VLOOKUP(A140,'Projetos ciclo 2018-2022'!$I$7:$I$318,1,FALSE)</f>
        <v>TI07918</v>
      </c>
    </row>
    <row r="141" spans="1:22" x14ac:dyDescent="0.25">
      <c r="A141" s="21" t="s">
        <v>1194</v>
      </c>
      <c r="B141" s="154"/>
      <c r="C141" s="154"/>
      <c r="D141" s="155">
        <v>0</v>
      </c>
      <c r="E141" s="158">
        <v>0</v>
      </c>
      <c r="F141" s="155">
        <v>0</v>
      </c>
      <c r="G141" s="158">
        <v>0</v>
      </c>
      <c r="H141" s="155">
        <v>0</v>
      </c>
      <c r="I141" s="158">
        <v>0</v>
      </c>
      <c r="J141" s="155">
        <v>0</v>
      </c>
      <c r="K141" s="158">
        <v>0</v>
      </c>
      <c r="L141" s="155">
        <v>0</v>
      </c>
      <c r="M141" s="158">
        <v>0</v>
      </c>
      <c r="N141" s="155">
        <v>0</v>
      </c>
      <c r="O141" s="158">
        <v>0</v>
      </c>
      <c r="P141" s="155">
        <v>0</v>
      </c>
      <c r="Q141" s="158">
        <v>0</v>
      </c>
      <c r="R141" s="155">
        <v>0</v>
      </c>
      <c r="S141" s="158">
        <v>0</v>
      </c>
      <c r="T141" s="155">
        <v>0</v>
      </c>
      <c r="U141" s="157">
        <v>0</v>
      </c>
      <c r="V141" t="e">
        <f>VLOOKUP(A141,'Projetos ciclo 2018-2022'!$I$7:$I$318,1,FALSE)</f>
        <v>#N/A</v>
      </c>
    </row>
    <row r="142" spans="1:22" x14ac:dyDescent="0.25">
      <c r="A142" s="149" t="s">
        <v>1196</v>
      </c>
      <c r="B142" s="150"/>
      <c r="C142" s="150"/>
      <c r="D142" s="151">
        <v>0</v>
      </c>
      <c r="E142" s="152">
        <v>0</v>
      </c>
      <c r="F142" s="151">
        <v>0</v>
      </c>
      <c r="G142" s="152">
        <v>0</v>
      </c>
      <c r="H142" s="151">
        <v>0</v>
      </c>
      <c r="I142" s="152">
        <v>0</v>
      </c>
      <c r="J142" s="151">
        <v>0</v>
      </c>
      <c r="K142" s="152">
        <v>0</v>
      </c>
      <c r="L142" s="151">
        <v>0</v>
      </c>
      <c r="M142" s="152">
        <v>0</v>
      </c>
      <c r="N142" s="151">
        <v>0</v>
      </c>
      <c r="O142" s="152">
        <v>0</v>
      </c>
      <c r="P142" s="151">
        <v>0</v>
      </c>
      <c r="Q142" s="152">
        <v>0</v>
      </c>
      <c r="R142" s="151">
        <v>0</v>
      </c>
      <c r="S142" s="152">
        <v>0</v>
      </c>
      <c r="T142" s="151">
        <v>0</v>
      </c>
      <c r="U142" s="153">
        <v>0</v>
      </c>
      <c r="V142" t="e">
        <f>VLOOKUP(A142,'Projetos ciclo 2018-2022'!$I$7:$I$318,1,FALSE)</f>
        <v>#N/A</v>
      </c>
    </row>
    <row r="143" spans="1:22" x14ac:dyDescent="0.25">
      <c r="A143" s="21" t="s">
        <v>565</v>
      </c>
      <c r="B143" s="154"/>
      <c r="C143" s="154"/>
      <c r="D143" s="155">
        <v>20900</v>
      </c>
      <c r="E143" s="158">
        <v>0</v>
      </c>
      <c r="F143" s="155">
        <v>0</v>
      </c>
      <c r="G143" s="158">
        <v>0</v>
      </c>
      <c r="H143" s="155">
        <v>0</v>
      </c>
      <c r="I143" s="158">
        <v>0</v>
      </c>
      <c r="J143" s="155">
        <v>0</v>
      </c>
      <c r="K143" s="158">
        <v>0</v>
      </c>
      <c r="L143" s="155">
        <v>0</v>
      </c>
      <c r="M143" s="158">
        <v>0</v>
      </c>
      <c r="N143" s="155">
        <v>15190</v>
      </c>
      <c r="O143" s="158">
        <v>2660</v>
      </c>
      <c r="P143" s="155">
        <v>390</v>
      </c>
      <c r="Q143" s="158">
        <v>2660</v>
      </c>
      <c r="R143" s="155">
        <v>0</v>
      </c>
      <c r="S143" s="158">
        <v>0</v>
      </c>
      <c r="T143" s="155">
        <v>0</v>
      </c>
      <c r="U143" s="157">
        <v>0</v>
      </c>
      <c r="V143" t="str">
        <f>VLOOKUP(A143,'Projetos ciclo 2018-2022'!$I$7:$I$318,1,FALSE)</f>
        <v>NA</v>
      </c>
    </row>
    <row r="144" spans="1:22" x14ac:dyDescent="0.25">
      <c r="A144" s="149" t="s">
        <v>1199</v>
      </c>
      <c r="B144" s="150"/>
      <c r="C144" s="150"/>
      <c r="D144" s="151">
        <v>0</v>
      </c>
      <c r="E144" s="152">
        <v>0</v>
      </c>
      <c r="F144" s="151">
        <v>0</v>
      </c>
      <c r="G144" s="152">
        <v>0</v>
      </c>
      <c r="H144" s="151">
        <v>0</v>
      </c>
      <c r="I144" s="152">
        <v>0</v>
      </c>
      <c r="J144" s="151">
        <v>0</v>
      </c>
      <c r="K144" s="152">
        <v>0</v>
      </c>
      <c r="L144" s="151">
        <v>0</v>
      </c>
      <c r="M144" s="152">
        <v>0</v>
      </c>
      <c r="N144" s="151">
        <v>0</v>
      </c>
      <c r="O144" s="152">
        <v>0</v>
      </c>
      <c r="P144" s="151">
        <v>0</v>
      </c>
      <c r="Q144" s="152">
        <v>0</v>
      </c>
      <c r="R144" s="151">
        <v>0</v>
      </c>
      <c r="S144" s="152">
        <v>0</v>
      </c>
      <c r="T144" s="151">
        <v>0</v>
      </c>
      <c r="U144" s="153">
        <v>0</v>
      </c>
      <c r="V144" t="e">
        <f>VLOOKUP(A144,'Projetos ciclo 2018-2022'!$I$7:$I$318,1,FALSE)</f>
        <v>#N/A</v>
      </c>
    </row>
    <row r="145" spans="1:22" x14ac:dyDescent="0.25">
      <c r="A145" s="21" t="s">
        <v>1317</v>
      </c>
      <c r="B145" s="154"/>
      <c r="C145" s="154"/>
      <c r="D145" s="155">
        <v>4964</v>
      </c>
      <c r="E145" s="158">
        <v>0</v>
      </c>
      <c r="F145" s="155">
        <v>4684</v>
      </c>
      <c r="G145" s="158">
        <v>0</v>
      </c>
      <c r="H145" s="155">
        <v>0</v>
      </c>
      <c r="I145" s="158">
        <v>0</v>
      </c>
      <c r="J145" s="155">
        <v>0</v>
      </c>
      <c r="K145" s="158">
        <v>0</v>
      </c>
      <c r="L145" s="155">
        <v>0</v>
      </c>
      <c r="M145" s="158">
        <v>0</v>
      </c>
      <c r="N145" s="155">
        <v>280</v>
      </c>
      <c r="O145" s="158">
        <v>0</v>
      </c>
      <c r="P145" s="155">
        <v>0</v>
      </c>
      <c r="Q145" s="158">
        <v>0</v>
      </c>
      <c r="R145" s="155">
        <v>0</v>
      </c>
      <c r="S145" s="158">
        <v>0</v>
      </c>
      <c r="T145" s="155">
        <v>0</v>
      </c>
      <c r="U145" s="157">
        <v>0</v>
      </c>
      <c r="V145" t="e">
        <f>VLOOKUP(A145,'Projetos ciclo 2018-2022'!$I$7:$I$318,1,FALSE)</f>
        <v>#N/A</v>
      </c>
    </row>
    <row r="146" spans="1:22" x14ac:dyDescent="0.25">
      <c r="A146" s="149" t="s">
        <v>711</v>
      </c>
      <c r="B146" s="150"/>
      <c r="C146" s="150"/>
      <c r="D146" s="151">
        <v>0</v>
      </c>
      <c r="E146" s="152">
        <v>0</v>
      </c>
      <c r="F146" s="151">
        <v>0</v>
      </c>
      <c r="G146" s="152">
        <v>0</v>
      </c>
      <c r="H146" s="151">
        <v>0</v>
      </c>
      <c r="I146" s="152">
        <v>0</v>
      </c>
      <c r="J146" s="151">
        <v>0</v>
      </c>
      <c r="K146" s="152">
        <v>0</v>
      </c>
      <c r="L146" s="151">
        <v>0</v>
      </c>
      <c r="M146" s="152">
        <v>0</v>
      </c>
      <c r="N146" s="151">
        <v>0</v>
      </c>
      <c r="O146" s="152">
        <v>0</v>
      </c>
      <c r="P146" s="151">
        <v>0</v>
      </c>
      <c r="Q146" s="152">
        <v>0</v>
      </c>
      <c r="R146" s="151">
        <v>0</v>
      </c>
      <c r="S146" s="152">
        <v>0</v>
      </c>
      <c r="T146" s="151">
        <v>0</v>
      </c>
      <c r="U146" s="153">
        <v>0</v>
      </c>
      <c r="V146" t="str">
        <f>VLOOKUP(A146,'Projetos ciclo 2018-2022'!$I$7:$I$318,1,FALSE)</f>
        <v>TI01816</v>
      </c>
    </row>
    <row r="147" spans="1:22" x14ac:dyDescent="0.25">
      <c r="A147" s="21" t="s">
        <v>1462</v>
      </c>
      <c r="B147" s="154"/>
      <c r="C147" s="154"/>
      <c r="D147" s="155">
        <v>0</v>
      </c>
      <c r="E147" s="158">
        <v>0</v>
      </c>
      <c r="F147" s="155">
        <v>0</v>
      </c>
      <c r="G147" s="158">
        <v>4684</v>
      </c>
      <c r="H147" s="155">
        <v>0</v>
      </c>
      <c r="I147" s="158">
        <v>0</v>
      </c>
      <c r="J147" s="155">
        <v>0</v>
      </c>
      <c r="K147" s="158">
        <v>0</v>
      </c>
      <c r="L147" s="155">
        <v>4650.193359375</v>
      </c>
      <c r="M147" s="158">
        <v>4650.193359375</v>
      </c>
      <c r="N147" s="155">
        <v>0</v>
      </c>
      <c r="O147" s="158">
        <v>0</v>
      </c>
      <c r="P147" s="155">
        <v>0</v>
      </c>
      <c r="Q147" s="158">
        <v>0</v>
      </c>
      <c r="R147" s="155">
        <v>0</v>
      </c>
      <c r="S147" s="158">
        <v>0</v>
      </c>
      <c r="T147" s="155">
        <v>0</v>
      </c>
      <c r="U147" s="157">
        <v>0</v>
      </c>
      <c r="V147" t="str">
        <f>VLOOKUP(A147,'Projetos ciclo 2018-2022'!$I$7:$I$318,1,FALSE)</f>
        <v>TI04318</v>
      </c>
    </row>
    <row r="148" spans="1:22" x14ac:dyDescent="0.25">
      <c r="A148" s="149" t="s">
        <v>1523</v>
      </c>
      <c r="B148" s="150"/>
      <c r="C148" s="150"/>
      <c r="D148" s="151">
        <v>0</v>
      </c>
      <c r="E148" s="152">
        <v>0</v>
      </c>
      <c r="F148" s="151">
        <v>0</v>
      </c>
      <c r="G148" s="152">
        <v>55</v>
      </c>
      <c r="H148" s="151">
        <v>0</v>
      </c>
      <c r="I148" s="152">
        <v>46.814499855041504</v>
      </c>
      <c r="J148" s="151">
        <v>0</v>
      </c>
      <c r="K148" s="152">
        <v>46.814499855041504</v>
      </c>
      <c r="L148" s="151">
        <v>5.0538201332092285</v>
      </c>
      <c r="M148" s="152">
        <v>51.868319988250732</v>
      </c>
      <c r="N148" s="151">
        <v>0</v>
      </c>
      <c r="O148" s="152">
        <v>0</v>
      </c>
      <c r="P148" s="151">
        <v>0</v>
      </c>
      <c r="Q148" s="152">
        <v>0</v>
      </c>
      <c r="R148" s="151">
        <v>0</v>
      </c>
      <c r="S148" s="152">
        <v>0</v>
      </c>
      <c r="T148" s="151">
        <v>0</v>
      </c>
      <c r="U148" s="153">
        <v>0</v>
      </c>
      <c r="V148" t="str">
        <f>VLOOKUP(A148,'Projetos ciclo 2018-2022'!$I$7:$I$318,1,FALSE)</f>
        <v>3211/12</v>
      </c>
    </row>
    <row r="149" spans="1:22" x14ac:dyDescent="0.25">
      <c r="A149" s="21" t="s">
        <v>1194</v>
      </c>
      <c r="B149" s="154"/>
      <c r="C149" s="154"/>
      <c r="D149" s="155">
        <v>0</v>
      </c>
      <c r="E149" s="158">
        <v>0</v>
      </c>
      <c r="F149" s="155">
        <v>0</v>
      </c>
      <c r="G149" s="158">
        <v>0</v>
      </c>
      <c r="H149" s="155">
        <v>0</v>
      </c>
      <c r="I149" s="158">
        <v>0</v>
      </c>
      <c r="J149" s="155">
        <v>0</v>
      </c>
      <c r="K149" s="158">
        <v>0</v>
      </c>
      <c r="L149" s="155">
        <v>0</v>
      </c>
      <c r="M149" s="158">
        <v>0</v>
      </c>
      <c r="N149" s="155">
        <v>0</v>
      </c>
      <c r="O149" s="158">
        <v>0</v>
      </c>
      <c r="P149" s="155">
        <v>0</v>
      </c>
      <c r="Q149" s="158">
        <v>0</v>
      </c>
      <c r="R149" s="155">
        <v>0</v>
      </c>
      <c r="S149" s="158">
        <v>0</v>
      </c>
      <c r="T149" s="155">
        <v>0</v>
      </c>
      <c r="U149" s="157">
        <v>0</v>
      </c>
      <c r="V149" t="e">
        <f>VLOOKUP(A149,'Projetos ciclo 2018-2022'!$I$7:$I$318,1,FALSE)</f>
        <v>#N/A</v>
      </c>
    </row>
    <row r="150" spans="1:22" x14ac:dyDescent="0.25">
      <c r="A150" s="149" t="s">
        <v>1196</v>
      </c>
      <c r="B150" s="150"/>
      <c r="C150" s="150"/>
      <c r="D150" s="151">
        <v>0</v>
      </c>
      <c r="E150" s="152">
        <v>0</v>
      </c>
      <c r="F150" s="151">
        <v>0</v>
      </c>
      <c r="G150" s="152">
        <v>0</v>
      </c>
      <c r="H150" s="151">
        <v>0</v>
      </c>
      <c r="I150" s="152">
        <v>0</v>
      </c>
      <c r="J150" s="151">
        <v>0</v>
      </c>
      <c r="K150" s="152">
        <v>0</v>
      </c>
      <c r="L150" s="151">
        <v>0</v>
      </c>
      <c r="M150" s="152">
        <v>0</v>
      </c>
      <c r="N150" s="151">
        <v>0</v>
      </c>
      <c r="O150" s="152">
        <v>0</v>
      </c>
      <c r="P150" s="151">
        <v>0</v>
      </c>
      <c r="Q150" s="152">
        <v>0</v>
      </c>
      <c r="R150" s="151">
        <v>0</v>
      </c>
      <c r="S150" s="152">
        <v>0</v>
      </c>
      <c r="T150" s="151">
        <v>0</v>
      </c>
      <c r="U150" s="153">
        <v>0</v>
      </c>
      <c r="V150" t="e">
        <f>VLOOKUP(A150,'Projetos ciclo 2018-2022'!$I$7:$I$318,1,FALSE)</f>
        <v>#N/A</v>
      </c>
    </row>
    <row r="151" spans="1:22" x14ac:dyDescent="0.25">
      <c r="A151" s="21" t="s">
        <v>565</v>
      </c>
      <c r="B151" s="154"/>
      <c r="C151" s="154"/>
      <c r="D151" s="155">
        <v>116047</v>
      </c>
      <c r="E151" s="158">
        <v>0</v>
      </c>
      <c r="F151" s="155">
        <v>0</v>
      </c>
      <c r="G151" s="158">
        <v>0</v>
      </c>
      <c r="H151" s="155">
        <v>0</v>
      </c>
      <c r="I151" s="158">
        <v>0</v>
      </c>
      <c r="J151" s="155">
        <v>0</v>
      </c>
      <c r="K151" s="158">
        <v>0</v>
      </c>
      <c r="L151" s="155">
        <v>0</v>
      </c>
      <c r="M151" s="158">
        <v>0</v>
      </c>
      <c r="N151" s="155">
        <v>31599</v>
      </c>
      <c r="O151" s="158">
        <v>38899</v>
      </c>
      <c r="P151" s="155">
        <v>19202</v>
      </c>
      <c r="Q151" s="158">
        <v>26347</v>
      </c>
      <c r="R151" s="155">
        <v>0</v>
      </c>
      <c r="S151" s="158">
        <v>0</v>
      </c>
      <c r="T151" s="155">
        <v>0</v>
      </c>
      <c r="U151" s="157">
        <v>0</v>
      </c>
      <c r="V151" t="str">
        <f>VLOOKUP(A151,'Projetos ciclo 2018-2022'!$I$7:$I$318,1,FALSE)</f>
        <v>NA</v>
      </c>
    </row>
    <row r="152" spans="1:22" x14ac:dyDescent="0.25">
      <c r="A152" s="149" t="s">
        <v>1199</v>
      </c>
      <c r="B152" s="150"/>
      <c r="C152" s="150"/>
      <c r="D152" s="151">
        <v>0</v>
      </c>
      <c r="E152" s="152">
        <v>0</v>
      </c>
      <c r="F152" s="151">
        <v>0</v>
      </c>
      <c r="G152" s="152">
        <v>0</v>
      </c>
      <c r="H152" s="151">
        <v>0</v>
      </c>
      <c r="I152" s="152">
        <v>0</v>
      </c>
      <c r="J152" s="151">
        <v>0</v>
      </c>
      <c r="K152" s="152">
        <v>0</v>
      </c>
      <c r="L152" s="151">
        <v>0</v>
      </c>
      <c r="M152" s="152">
        <v>0</v>
      </c>
      <c r="N152" s="151">
        <v>0</v>
      </c>
      <c r="O152" s="152">
        <v>0</v>
      </c>
      <c r="P152" s="151">
        <v>0</v>
      </c>
      <c r="Q152" s="152">
        <v>0</v>
      </c>
      <c r="R152" s="151">
        <v>0</v>
      </c>
      <c r="S152" s="152">
        <v>0</v>
      </c>
      <c r="T152" s="151">
        <v>0</v>
      </c>
      <c r="U152" s="153">
        <v>0</v>
      </c>
      <c r="V152" t="e">
        <f>VLOOKUP(A152,'Projetos ciclo 2018-2022'!$I$7:$I$318,1,FALSE)</f>
        <v>#N/A</v>
      </c>
    </row>
    <row r="153" spans="1:22" x14ac:dyDescent="0.25">
      <c r="A153" s="21" t="s">
        <v>1136</v>
      </c>
      <c r="B153" s="154"/>
      <c r="C153" s="154"/>
      <c r="D153" s="155">
        <v>0</v>
      </c>
      <c r="E153" s="158">
        <v>0</v>
      </c>
      <c r="F153" s="155">
        <v>0</v>
      </c>
      <c r="G153" s="158">
        <v>479</v>
      </c>
      <c r="H153" s="155">
        <v>0</v>
      </c>
      <c r="I153" s="158">
        <v>479.32675170898437</v>
      </c>
      <c r="J153" s="155">
        <v>0</v>
      </c>
      <c r="K153" s="158">
        <v>479.32675170898437</v>
      </c>
      <c r="L153" s="155">
        <v>0</v>
      </c>
      <c r="M153" s="158">
        <v>479.32675170898437</v>
      </c>
      <c r="N153" s="155">
        <v>0</v>
      </c>
      <c r="O153" s="158">
        <v>0</v>
      </c>
      <c r="P153" s="155">
        <v>0</v>
      </c>
      <c r="Q153" s="158">
        <v>0</v>
      </c>
      <c r="R153" s="155">
        <v>0</v>
      </c>
      <c r="S153" s="158">
        <v>0</v>
      </c>
      <c r="T153" s="155">
        <v>0</v>
      </c>
      <c r="U153" s="157">
        <v>0</v>
      </c>
      <c r="V153" t="str">
        <f>VLOOKUP(A153,'Projetos ciclo 2018-2022'!$I$7:$I$318,1,FALSE)</f>
        <v>TI00118</v>
      </c>
    </row>
    <row r="154" spans="1:22" x14ac:dyDescent="0.25">
      <c r="A154" s="149" t="s">
        <v>1177</v>
      </c>
      <c r="B154" s="150"/>
      <c r="C154" s="150"/>
      <c r="D154" s="151">
        <v>0</v>
      </c>
      <c r="E154" s="152">
        <v>0</v>
      </c>
      <c r="F154" s="151">
        <v>0</v>
      </c>
      <c r="G154" s="152">
        <v>14</v>
      </c>
      <c r="H154" s="151">
        <v>0</v>
      </c>
      <c r="I154" s="152">
        <v>14.010740280151367</v>
      </c>
      <c r="J154" s="151">
        <v>0</v>
      </c>
      <c r="K154" s="152">
        <v>14.010740280151367</v>
      </c>
      <c r="L154" s="151">
        <v>0</v>
      </c>
      <c r="M154" s="152">
        <v>14.010740280151367</v>
      </c>
      <c r="N154" s="151">
        <v>0</v>
      </c>
      <c r="O154" s="152">
        <v>0</v>
      </c>
      <c r="P154" s="151">
        <v>0</v>
      </c>
      <c r="Q154" s="152">
        <v>0</v>
      </c>
      <c r="R154" s="151">
        <v>0</v>
      </c>
      <c r="S154" s="152">
        <v>0</v>
      </c>
      <c r="T154" s="151">
        <v>0</v>
      </c>
      <c r="U154" s="153">
        <v>0</v>
      </c>
      <c r="V154" t="str">
        <f>VLOOKUP(A154,'Projetos ciclo 2018-2022'!$I$7:$I$318,1,FALSE)</f>
        <v>TI00216</v>
      </c>
    </row>
    <row r="155" spans="1:22" x14ac:dyDescent="0.25">
      <c r="A155" s="21" t="s">
        <v>1185</v>
      </c>
      <c r="B155" s="154"/>
      <c r="C155" s="154"/>
      <c r="D155" s="155">
        <v>0</v>
      </c>
      <c r="E155" s="158">
        <v>0</v>
      </c>
      <c r="F155" s="155">
        <v>0</v>
      </c>
      <c r="G155" s="158">
        <v>10</v>
      </c>
      <c r="H155" s="155">
        <v>0</v>
      </c>
      <c r="I155" s="158">
        <v>9.5870800018310547</v>
      </c>
      <c r="J155" s="155">
        <v>0</v>
      </c>
      <c r="K155" s="158">
        <v>9.5870800018310547</v>
      </c>
      <c r="L155" s="155">
        <v>0</v>
      </c>
      <c r="M155" s="158">
        <v>9.5870800018310547</v>
      </c>
      <c r="N155" s="155">
        <v>0</v>
      </c>
      <c r="O155" s="158">
        <v>0</v>
      </c>
      <c r="P155" s="155">
        <v>0</v>
      </c>
      <c r="Q155" s="158">
        <v>0</v>
      </c>
      <c r="R155" s="155">
        <v>0</v>
      </c>
      <c r="S155" s="158">
        <v>0</v>
      </c>
      <c r="T155" s="155">
        <v>0</v>
      </c>
      <c r="U155" s="157">
        <v>0</v>
      </c>
      <c r="V155" t="str">
        <f>VLOOKUP(A155,'Projetos ciclo 2018-2022'!$I$7:$I$318,1,FALSE)</f>
        <v>TI00316</v>
      </c>
    </row>
    <row r="156" spans="1:22" x14ac:dyDescent="0.25">
      <c r="A156" s="149" t="s">
        <v>1181</v>
      </c>
      <c r="B156" s="150"/>
      <c r="C156" s="150"/>
      <c r="D156" s="151">
        <v>0</v>
      </c>
      <c r="E156" s="152">
        <v>0</v>
      </c>
      <c r="F156" s="151">
        <v>0</v>
      </c>
      <c r="G156" s="152">
        <v>11</v>
      </c>
      <c r="H156" s="151">
        <v>0</v>
      </c>
      <c r="I156" s="152">
        <v>10.502650260925293</v>
      </c>
      <c r="J156" s="151">
        <v>0</v>
      </c>
      <c r="K156" s="152">
        <v>10.502650260925293</v>
      </c>
      <c r="L156" s="151">
        <v>0</v>
      </c>
      <c r="M156" s="152">
        <v>10.502650260925293</v>
      </c>
      <c r="N156" s="151">
        <v>0</v>
      </c>
      <c r="O156" s="152">
        <v>0</v>
      </c>
      <c r="P156" s="151">
        <v>0</v>
      </c>
      <c r="Q156" s="152">
        <v>0</v>
      </c>
      <c r="R156" s="151">
        <v>0</v>
      </c>
      <c r="S156" s="152">
        <v>0</v>
      </c>
      <c r="T156" s="151">
        <v>0</v>
      </c>
      <c r="U156" s="153">
        <v>0</v>
      </c>
      <c r="V156" t="str">
        <f>VLOOKUP(A156,'Projetos ciclo 2018-2022'!$I$7:$I$318,1,FALSE)</f>
        <v>TI00416</v>
      </c>
    </row>
    <row r="157" spans="1:22" x14ac:dyDescent="0.25">
      <c r="A157" s="21" t="s">
        <v>758</v>
      </c>
      <c r="B157" s="154"/>
      <c r="C157" s="154"/>
      <c r="D157" s="155">
        <v>0</v>
      </c>
      <c r="E157" s="158">
        <v>0</v>
      </c>
      <c r="F157" s="155">
        <v>0</v>
      </c>
      <c r="G157" s="158">
        <v>102</v>
      </c>
      <c r="H157" s="155">
        <v>0</v>
      </c>
      <c r="I157" s="158">
        <v>101.37385904788971</v>
      </c>
      <c r="J157" s="155">
        <v>0</v>
      </c>
      <c r="K157" s="158">
        <v>101.37385904788971</v>
      </c>
      <c r="L157" s="155">
        <v>0</v>
      </c>
      <c r="M157" s="158">
        <v>101.37385904788971</v>
      </c>
      <c r="N157" s="155">
        <v>0</v>
      </c>
      <c r="O157" s="158">
        <v>0</v>
      </c>
      <c r="P157" s="155">
        <v>0</v>
      </c>
      <c r="Q157" s="158">
        <v>0</v>
      </c>
      <c r="R157" s="155">
        <v>0</v>
      </c>
      <c r="S157" s="158">
        <v>0</v>
      </c>
      <c r="T157" s="155">
        <v>0</v>
      </c>
      <c r="U157" s="157">
        <v>0</v>
      </c>
      <c r="V157" t="str">
        <f>VLOOKUP(A157,'Projetos ciclo 2018-2022'!$I$7:$I$318,1,FALSE)</f>
        <v>TI00417</v>
      </c>
    </row>
    <row r="158" spans="1:22" x14ac:dyDescent="0.25">
      <c r="A158" s="149" t="s">
        <v>757</v>
      </c>
      <c r="B158" s="150"/>
      <c r="C158" s="150"/>
      <c r="D158" s="151">
        <v>0</v>
      </c>
      <c r="E158" s="152">
        <v>0</v>
      </c>
      <c r="F158" s="151">
        <v>0</v>
      </c>
      <c r="G158" s="152">
        <v>122</v>
      </c>
      <c r="H158" s="151">
        <v>0</v>
      </c>
      <c r="I158" s="152">
        <v>103.01386070251465</v>
      </c>
      <c r="J158" s="151">
        <v>0</v>
      </c>
      <c r="K158" s="152">
        <v>103.01386070251465</v>
      </c>
      <c r="L158" s="151">
        <v>14.492839813232422</v>
      </c>
      <c r="M158" s="152">
        <v>117.50670051574707</v>
      </c>
      <c r="N158" s="151">
        <v>0</v>
      </c>
      <c r="O158" s="152">
        <v>0</v>
      </c>
      <c r="P158" s="151">
        <v>0</v>
      </c>
      <c r="Q158" s="152">
        <v>0</v>
      </c>
      <c r="R158" s="151">
        <v>0</v>
      </c>
      <c r="S158" s="152">
        <v>0</v>
      </c>
      <c r="T158" s="151">
        <v>0</v>
      </c>
      <c r="U158" s="153">
        <v>0</v>
      </c>
      <c r="V158" t="str">
        <f>VLOOKUP(A158,'Projetos ciclo 2018-2022'!$I$7:$I$318,1,FALSE)</f>
        <v>TI00517</v>
      </c>
    </row>
    <row r="159" spans="1:22" x14ac:dyDescent="0.25">
      <c r="A159" s="21" t="s">
        <v>755</v>
      </c>
      <c r="B159" s="154"/>
      <c r="C159" s="154"/>
      <c r="D159" s="155">
        <v>0</v>
      </c>
      <c r="E159" s="158">
        <v>0</v>
      </c>
      <c r="F159" s="155">
        <v>0</v>
      </c>
      <c r="G159" s="158">
        <v>440</v>
      </c>
      <c r="H159" s="155">
        <v>0</v>
      </c>
      <c r="I159" s="158">
        <v>275.21786499023437</v>
      </c>
      <c r="J159" s="155">
        <v>0</v>
      </c>
      <c r="K159" s="158">
        <v>275.21786499023437</v>
      </c>
      <c r="L159" s="155">
        <v>162.94331359863281</v>
      </c>
      <c r="M159" s="158">
        <v>438.16117858886719</v>
      </c>
      <c r="N159" s="155">
        <v>0</v>
      </c>
      <c r="O159" s="158">
        <v>0</v>
      </c>
      <c r="P159" s="155">
        <v>0</v>
      </c>
      <c r="Q159" s="158">
        <v>0</v>
      </c>
      <c r="R159" s="155">
        <v>0</v>
      </c>
      <c r="S159" s="158">
        <v>0</v>
      </c>
      <c r="T159" s="155">
        <v>0</v>
      </c>
      <c r="U159" s="157">
        <v>0</v>
      </c>
      <c r="V159" t="str">
        <f>VLOOKUP(A159,'Projetos ciclo 2018-2022'!$I$7:$I$318,1,FALSE)</f>
        <v>TI00617</v>
      </c>
    </row>
    <row r="160" spans="1:22" x14ac:dyDescent="0.25">
      <c r="A160" s="149" t="s">
        <v>1336</v>
      </c>
      <c r="B160" s="150"/>
      <c r="C160" s="150"/>
      <c r="D160" s="151">
        <v>0</v>
      </c>
      <c r="E160" s="152">
        <v>0</v>
      </c>
      <c r="F160" s="151">
        <v>0</v>
      </c>
      <c r="G160" s="152">
        <v>0</v>
      </c>
      <c r="H160" s="151">
        <v>0</v>
      </c>
      <c r="I160" s="152">
        <v>0</v>
      </c>
      <c r="J160" s="151">
        <v>0</v>
      </c>
      <c r="K160" s="152">
        <v>0</v>
      </c>
      <c r="L160" s="151">
        <v>0</v>
      </c>
      <c r="M160" s="152">
        <v>0</v>
      </c>
      <c r="N160" s="151">
        <v>0</v>
      </c>
      <c r="O160" s="152">
        <v>0</v>
      </c>
      <c r="P160" s="151">
        <v>0</v>
      </c>
      <c r="Q160" s="152">
        <v>0</v>
      </c>
      <c r="R160" s="151">
        <v>0</v>
      </c>
      <c r="S160" s="152">
        <v>0</v>
      </c>
      <c r="T160" s="151">
        <v>0</v>
      </c>
      <c r="U160" s="153">
        <v>0</v>
      </c>
      <c r="V160" t="str">
        <f>VLOOKUP(A160,'Projetos ciclo 2018-2022'!$I$7:$I$318,1,FALSE)</f>
        <v>TI00818</v>
      </c>
    </row>
    <row r="161" spans="1:22" x14ac:dyDescent="0.25">
      <c r="A161" s="21" t="s">
        <v>1189</v>
      </c>
      <c r="B161" s="154"/>
      <c r="C161" s="154"/>
      <c r="D161" s="155">
        <v>0</v>
      </c>
      <c r="E161" s="158">
        <v>0</v>
      </c>
      <c r="F161" s="155">
        <v>0</v>
      </c>
      <c r="G161" s="158">
        <v>1</v>
      </c>
      <c r="H161" s="155">
        <v>0</v>
      </c>
      <c r="I161" s="158">
        <v>0.70901525020599365</v>
      </c>
      <c r="J161" s="155">
        <v>0</v>
      </c>
      <c r="K161" s="158">
        <v>0.70901525020599365</v>
      </c>
      <c r="L161" s="155">
        <v>0</v>
      </c>
      <c r="M161" s="158">
        <v>0.70901525020599365</v>
      </c>
      <c r="N161" s="155">
        <v>0</v>
      </c>
      <c r="O161" s="158">
        <v>0</v>
      </c>
      <c r="P161" s="155">
        <v>0</v>
      </c>
      <c r="Q161" s="158">
        <v>0</v>
      </c>
      <c r="R161" s="155">
        <v>0</v>
      </c>
      <c r="S161" s="158">
        <v>0</v>
      </c>
      <c r="T161" s="155">
        <v>0</v>
      </c>
      <c r="U161" s="157">
        <v>0</v>
      </c>
      <c r="V161" t="str">
        <f>VLOOKUP(A161,'Projetos ciclo 2018-2022'!$I$7:$I$318,1,FALSE)</f>
        <v>TI00914</v>
      </c>
    </row>
    <row r="162" spans="1:22" x14ac:dyDescent="0.25">
      <c r="A162" s="149" t="s">
        <v>1339</v>
      </c>
      <c r="B162" s="150"/>
      <c r="C162" s="150"/>
      <c r="D162" s="151">
        <v>0</v>
      </c>
      <c r="E162" s="152">
        <v>0</v>
      </c>
      <c r="F162" s="151">
        <v>0</v>
      </c>
      <c r="G162" s="152">
        <v>0</v>
      </c>
      <c r="H162" s="151">
        <v>0</v>
      </c>
      <c r="I162" s="152">
        <v>0</v>
      </c>
      <c r="J162" s="151">
        <v>0</v>
      </c>
      <c r="K162" s="152">
        <v>0</v>
      </c>
      <c r="L162" s="151">
        <v>0</v>
      </c>
      <c r="M162" s="152">
        <v>0</v>
      </c>
      <c r="N162" s="151">
        <v>0</v>
      </c>
      <c r="O162" s="152">
        <v>0</v>
      </c>
      <c r="P162" s="151">
        <v>0</v>
      </c>
      <c r="Q162" s="152">
        <v>0</v>
      </c>
      <c r="R162" s="151">
        <v>0</v>
      </c>
      <c r="S162" s="152">
        <v>0</v>
      </c>
      <c r="T162" s="151">
        <v>0</v>
      </c>
      <c r="U162" s="153">
        <v>0</v>
      </c>
      <c r="V162" t="str">
        <f>VLOOKUP(A162,'Projetos ciclo 2018-2022'!$I$7:$I$318,1,FALSE)</f>
        <v>TI00918</v>
      </c>
    </row>
    <row r="163" spans="1:22" x14ac:dyDescent="0.25">
      <c r="A163" s="21" t="s">
        <v>564</v>
      </c>
      <c r="B163" s="154"/>
      <c r="C163" s="154"/>
      <c r="D163" s="155">
        <v>0</v>
      </c>
      <c r="E163" s="158">
        <v>0</v>
      </c>
      <c r="F163" s="155">
        <v>0</v>
      </c>
      <c r="G163" s="158">
        <v>2954</v>
      </c>
      <c r="H163" s="155">
        <v>0</v>
      </c>
      <c r="I163" s="158">
        <v>199.91008186340332</v>
      </c>
      <c r="J163" s="155">
        <v>0</v>
      </c>
      <c r="K163" s="158">
        <v>199.91008186340332</v>
      </c>
      <c r="L163" s="155">
        <v>713.10650634765625</v>
      </c>
      <c r="M163" s="158">
        <v>913.01658821105957</v>
      </c>
      <c r="N163" s="155">
        <v>0</v>
      </c>
      <c r="O163" s="158">
        <v>0</v>
      </c>
      <c r="P163" s="155">
        <v>0</v>
      </c>
      <c r="Q163" s="158">
        <v>0</v>
      </c>
      <c r="R163" s="155">
        <v>0</v>
      </c>
      <c r="S163" s="158">
        <v>0</v>
      </c>
      <c r="T163" s="155">
        <v>0</v>
      </c>
      <c r="U163" s="157">
        <v>0</v>
      </c>
      <c r="V163" t="str">
        <f>VLOOKUP(A163,'Projetos ciclo 2018-2022'!$I$7:$I$318,1,FALSE)</f>
        <v>TI01016</v>
      </c>
    </row>
    <row r="164" spans="1:22" x14ac:dyDescent="0.25">
      <c r="A164" s="149" t="s">
        <v>1343</v>
      </c>
      <c r="B164" s="150"/>
      <c r="C164" s="150"/>
      <c r="D164" s="151">
        <v>0</v>
      </c>
      <c r="E164" s="152">
        <v>0</v>
      </c>
      <c r="F164" s="151">
        <v>0</v>
      </c>
      <c r="G164" s="152">
        <v>0</v>
      </c>
      <c r="H164" s="151">
        <v>0</v>
      </c>
      <c r="I164" s="152">
        <v>0</v>
      </c>
      <c r="J164" s="151">
        <v>0</v>
      </c>
      <c r="K164" s="152">
        <v>0</v>
      </c>
      <c r="L164" s="151">
        <v>0</v>
      </c>
      <c r="M164" s="152">
        <v>0</v>
      </c>
      <c r="N164" s="151">
        <v>0</v>
      </c>
      <c r="O164" s="152">
        <v>0</v>
      </c>
      <c r="P164" s="151">
        <v>0</v>
      </c>
      <c r="Q164" s="152">
        <v>0</v>
      </c>
      <c r="R164" s="151">
        <v>0</v>
      </c>
      <c r="S164" s="152">
        <v>0</v>
      </c>
      <c r="T164" s="151">
        <v>0</v>
      </c>
      <c r="U164" s="153">
        <v>0</v>
      </c>
      <c r="V164" t="str">
        <f>VLOOKUP(A164,'Projetos ciclo 2018-2022'!$I$7:$I$318,1,FALSE)</f>
        <v>TI01018</v>
      </c>
    </row>
    <row r="165" spans="1:22" x14ac:dyDescent="0.25">
      <c r="A165" s="21" t="s">
        <v>1167</v>
      </c>
      <c r="B165" s="154"/>
      <c r="C165" s="154"/>
      <c r="D165" s="155">
        <v>0</v>
      </c>
      <c r="E165" s="158">
        <v>0</v>
      </c>
      <c r="F165" s="155">
        <v>0</v>
      </c>
      <c r="G165" s="158">
        <v>1606</v>
      </c>
      <c r="H165" s="155">
        <v>0</v>
      </c>
      <c r="I165" s="158">
        <v>1236.459716796875</v>
      </c>
      <c r="J165" s="155">
        <v>0</v>
      </c>
      <c r="K165" s="158">
        <v>1236.459716796875</v>
      </c>
      <c r="L165" s="155">
        <v>0</v>
      </c>
      <c r="M165" s="158">
        <v>1236.459716796875</v>
      </c>
      <c r="N165" s="155">
        <v>0</v>
      </c>
      <c r="O165" s="158">
        <v>0</v>
      </c>
      <c r="P165" s="155">
        <v>0</v>
      </c>
      <c r="Q165" s="158">
        <v>0</v>
      </c>
      <c r="R165" s="155">
        <v>0</v>
      </c>
      <c r="S165" s="158">
        <v>0</v>
      </c>
      <c r="T165" s="155">
        <v>0</v>
      </c>
      <c r="U165" s="157">
        <v>0</v>
      </c>
      <c r="V165" t="str">
        <f>VLOOKUP(A165,'Projetos ciclo 2018-2022'!$I$7:$I$318,1,FALSE)</f>
        <v>TI01118</v>
      </c>
    </row>
    <row r="166" spans="1:22" x14ac:dyDescent="0.25">
      <c r="A166" s="149" t="s">
        <v>1350</v>
      </c>
      <c r="B166" s="150"/>
      <c r="C166" s="150"/>
      <c r="D166" s="151">
        <v>0</v>
      </c>
      <c r="E166" s="152">
        <v>0</v>
      </c>
      <c r="F166" s="151">
        <v>0</v>
      </c>
      <c r="G166" s="152">
        <v>0</v>
      </c>
      <c r="H166" s="151">
        <v>0</v>
      </c>
      <c r="I166" s="152">
        <v>0</v>
      </c>
      <c r="J166" s="151">
        <v>0</v>
      </c>
      <c r="K166" s="152">
        <v>0</v>
      </c>
      <c r="L166" s="151">
        <v>0</v>
      </c>
      <c r="M166" s="152">
        <v>0</v>
      </c>
      <c r="N166" s="151">
        <v>0</v>
      </c>
      <c r="O166" s="152">
        <v>0</v>
      </c>
      <c r="P166" s="151">
        <v>0</v>
      </c>
      <c r="Q166" s="152">
        <v>0</v>
      </c>
      <c r="R166" s="151">
        <v>0</v>
      </c>
      <c r="S166" s="152">
        <v>0</v>
      </c>
      <c r="T166" s="151">
        <v>0</v>
      </c>
      <c r="U166" s="153">
        <v>0</v>
      </c>
      <c r="V166" t="str">
        <f>VLOOKUP(A166,'Projetos ciclo 2018-2022'!$I$7:$I$318,1,FALSE)</f>
        <v>TI01218</v>
      </c>
    </row>
    <row r="167" spans="1:22" x14ac:dyDescent="0.25">
      <c r="A167" s="21" t="s">
        <v>759</v>
      </c>
      <c r="B167" s="154"/>
      <c r="C167" s="154"/>
      <c r="D167" s="155">
        <v>0</v>
      </c>
      <c r="E167" s="158">
        <v>0</v>
      </c>
      <c r="F167" s="155">
        <v>0</v>
      </c>
      <c r="G167" s="158">
        <v>217</v>
      </c>
      <c r="H167" s="155">
        <v>0</v>
      </c>
      <c r="I167" s="158">
        <v>199.38568115234375</v>
      </c>
      <c r="J167" s="155">
        <v>0</v>
      </c>
      <c r="K167" s="158">
        <v>199.38568115234375</v>
      </c>
      <c r="L167" s="155">
        <v>17.50554084777832</v>
      </c>
      <c r="M167" s="158">
        <v>216.89122200012207</v>
      </c>
      <c r="N167" s="155">
        <v>0</v>
      </c>
      <c r="O167" s="158">
        <v>0</v>
      </c>
      <c r="P167" s="155">
        <v>0</v>
      </c>
      <c r="Q167" s="158">
        <v>0</v>
      </c>
      <c r="R167" s="155">
        <v>0</v>
      </c>
      <c r="S167" s="158">
        <v>0</v>
      </c>
      <c r="T167" s="155">
        <v>0</v>
      </c>
      <c r="U167" s="157">
        <v>0</v>
      </c>
      <c r="V167" t="str">
        <f>VLOOKUP(A167,'Projetos ciclo 2018-2022'!$I$7:$I$318,1,FALSE)</f>
        <v>TI01317</v>
      </c>
    </row>
    <row r="168" spans="1:22" x14ac:dyDescent="0.25">
      <c r="A168" s="149" t="s">
        <v>1354</v>
      </c>
      <c r="B168" s="150"/>
      <c r="C168" s="150"/>
      <c r="D168" s="151">
        <v>88048</v>
      </c>
      <c r="E168" s="152">
        <v>0</v>
      </c>
      <c r="F168" s="151">
        <v>54226</v>
      </c>
      <c r="G168" s="152">
        <v>0</v>
      </c>
      <c r="H168" s="151">
        <v>21688</v>
      </c>
      <c r="I168" s="152">
        <v>0</v>
      </c>
      <c r="J168" s="151">
        <v>0</v>
      </c>
      <c r="K168" s="152">
        <v>0</v>
      </c>
      <c r="L168" s="151">
        <v>0</v>
      </c>
      <c r="M168" s="152">
        <v>0</v>
      </c>
      <c r="N168" s="151">
        <v>19712</v>
      </c>
      <c r="O168" s="152">
        <v>10722</v>
      </c>
      <c r="P168" s="151">
        <v>3388</v>
      </c>
      <c r="Q168" s="152">
        <v>0</v>
      </c>
      <c r="R168" s="151">
        <v>0</v>
      </c>
      <c r="S168" s="152">
        <v>0</v>
      </c>
      <c r="T168" s="151">
        <v>0</v>
      </c>
      <c r="U168" s="153">
        <v>0</v>
      </c>
      <c r="V168" t="e">
        <f>VLOOKUP(A168,'Projetos ciclo 2018-2022'!$I$7:$I$318,1,FALSE)</f>
        <v>#N/A</v>
      </c>
    </row>
    <row r="169" spans="1:22" x14ac:dyDescent="0.25">
      <c r="A169" s="21" t="s">
        <v>752</v>
      </c>
      <c r="B169" s="154"/>
      <c r="C169" s="154"/>
      <c r="D169" s="155">
        <v>0</v>
      </c>
      <c r="E169" s="158">
        <v>0</v>
      </c>
      <c r="F169" s="155">
        <v>0</v>
      </c>
      <c r="G169" s="158">
        <v>8624</v>
      </c>
      <c r="H169" s="155">
        <v>0</v>
      </c>
      <c r="I169" s="158">
        <v>5092.7049396038055</v>
      </c>
      <c r="J169" s="155">
        <v>0</v>
      </c>
      <c r="K169" s="158">
        <v>5092.7049396038055</v>
      </c>
      <c r="L169" s="155">
        <v>3217.0104273068719</v>
      </c>
      <c r="M169" s="158">
        <v>8309.7153669106774</v>
      </c>
      <c r="N169" s="155">
        <v>0</v>
      </c>
      <c r="O169" s="158">
        <v>0</v>
      </c>
      <c r="P169" s="155">
        <v>0</v>
      </c>
      <c r="Q169" s="158">
        <v>0</v>
      </c>
      <c r="R169" s="155">
        <v>0</v>
      </c>
      <c r="S169" s="158">
        <v>0</v>
      </c>
      <c r="T169" s="155">
        <v>0</v>
      </c>
      <c r="U169" s="157">
        <v>0</v>
      </c>
      <c r="V169" t="str">
        <f>VLOOKUP(A169,'Projetos ciclo 2018-2022'!$I$7:$I$318,1,FALSE)</f>
        <v>TI01715</v>
      </c>
    </row>
    <row r="170" spans="1:22" x14ac:dyDescent="0.25">
      <c r="A170" s="149" t="s">
        <v>763</v>
      </c>
      <c r="B170" s="150"/>
      <c r="C170" s="150"/>
      <c r="D170" s="151">
        <v>0</v>
      </c>
      <c r="E170" s="152">
        <v>0</v>
      </c>
      <c r="F170" s="151">
        <v>0</v>
      </c>
      <c r="G170" s="152">
        <v>684</v>
      </c>
      <c r="H170" s="151">
        <v>0</v>
      </c>
      <c r="I170" s="152">
        <v>435.61255645751953</v>
      </c>
      <c r="J170" s="151">
        <v>0</v>
      </c>
      <c r="K170" s="152">
        <v>435.61255645751953</v>
      </c>
      <c r="L170" s="151">
        <v>0</v>
      </c>
      <c r="M170" s="152">
        <v>435.61255645751953</v>
      </c>
      <c r="N170" s="151">
        <v>0</v>
      </c>
      <c r="O170" s="152">
        <v>0</v>
      </c>
      <c r="P170" s="151">
        <v>0</v>
      </c>
      <c r="Q170" s="152">
        <v>0</v>
      </c>
      <c r="R170" s="151">
        <v>0</v>
      </c>
      <c r="S170" s="152">
        <v>0</v>
      </c>
      <c r="T170" s="151">
        <v>0</v>
      </c>
      <c r="U170" s="153">
        <v>0</v>
      </c>
      <c r="V170" t="str">
        <f>VLOOKUP(A170,'Projetos ciclo 2018-2022'!$I$7:$I$318,1,FALSE)</f>
        <v>TI01813</v>
      </c>
    </row>
    <row r="171" spans="1:22" x14ac:dyDescent="0.25">
      <c r="A171" s="21" t="s">
        <v>563</v>
      </c>
      <c r="B171" s="154"/>
      <c r="C171" s="154"/>
      <c r="D171" s="155">
        <v>0</v>
      </c>
      <c r="E171" s="158">
        <v>0</v>
      </c>
      <c r="F171" s="155">
        <v>0</v>
      </c>
      <c r="G171" s="158">
        <v>6163</v>
      </c>
      <c r="H171" s="155">
        <v>0</v>
      </c>
      <c r="I171" s="158">
        <v>1291.9011393338442</v>
      </c>
      <c r="J171" s="155">
        <v>0</v>
      </c>
      <c r="K171" s="158">
        <v>1291.9011393338442</v>
      </c>
      <c r="L171" s="155">
        <v>71.105120658874512</v>
      </c>
      <c r="M171" s="158">
        <v>1363.0062599927187</v>
      </c>
      <c r="N171" s="155">
        <v>0</v>
      </c>
      <c r="O171" s="158">
        <v>0</v>
      </c>
      <c r="P171" s="155">
        <v>0</v>
      </c>
      <c r="Q171" s="158">
        <v>0</v>
      </c>
      <c r="R171" s="155">
        <v>0</v>
      </c>
      <c r="S171" s="158">
        <v>0</v>
      </c>
      <c r="T171" s="155">
        <v>0</v>
      </c>
      <c r="U171" s="157">
        <v>0</v>
      </c>
      <c r="V171" t="str">
        <f>VLOOKUP(A171,'Projetos ciclo 2018-2022'!$I$7:$I$318,1,FALSE)</f>
        <v>TI02115</v>
      </c>
    </row>
    <row r="172" spans="1:22" x14ac:dyDescent="0.25">
      <c r="A172" s="149" t="s">
        <v>767</v>
      </c>
      <c r="B172" s="150"/>
      <c r="C172" s="150"/>
      <c r="D172" s="151">
        <v>0</v>
      </c>
      <c r="E172" s="152">
        <v>0</v>
      </c>
      <c r="F172" s="151">
        <v>0</v>
      </c>
      <c r="G172" s="152">
        <v>120</v>
      </c>
      <c r="H172" s="151">
        <v>0</v>
      </c>
      <c r="I172" s="152">
        <v>67.199996948242187</v>
      </c>
      <c r="J172" s="151">
        <v>0</v>
      </c>
      <c r="K172" s="152">
        <v>67.199996948242187</v>
      </c>
      <c r="L172" s="151">
        <v>52.799999237060547</v>
      </c>
      <c r="M172" s="152">
        <v>119.99999618530273</v>
      </c>
      <c r="N172" s="151">
        <v>0</v>
      </c>
      <c r="O172" s="152">
        <v>0</v>
      </c>
      <c r="P172" s="151">
        <v>0</v>
      </c>
      <c r="Q172" s="152">
        <v>0</v>
      </c>
      <c r="R172" s="151">
        <v>0</v>
      </c>
      <c r="S172" s="152">
        <v>0</v>
      </c>
      <c r="T172" s="151">
        <v>0</v>
      </c>
      <c r="U172" s="153">
        <v>0</v>
      </c>
      <c r="V172" t="str">
        <f>VLOOKUP(A172,'Projetos ciclo 2018-2022'!$I$7:$I$318,1,FALSE)</f>
        <v>TI02217</v>
      </c>
    </row>
    <row r="173" spans="1:22" x14ac:dyDescent="0.25">
      <c r="A173" s="21" t="s">
        <v>1175</v>
      </c>
      <c r="B173" s="154"/>
      <c r="C173" s="154"/>
      <c r="D173" s="155">
        <v>0</v>
      </c>
      <c r="E173" s="158">
        <v>0</v>
      </c>
      <c r="F173" s="155">
        <v>0</v>
      </c>
      <c r="G173" s="158">
        <v>142</v>
      </c>
      <c r="H173" s="155">
        <v>0</v>
      </c>
      <c r="I173" s="158">
        <v>0</v>
      </c>
      <c r="J173" s="155">
        <v>0</v>
      </c>
      <c r="K173" s="158">
        <v>0</v>
      </c>
      <c r="L173" s="155">
        <v>141.69599914550781</v>
      </c>
      <c r="M173" s="158">
        <v>141.69599914550781</v>
      </c>
      <c r="N173" s="155">
        <v>0</v>
      </c>
      <c r="O173" s="158">
        <v>0</v>
      </c>
      <c r="P173" s="155">
        <v>0</v>
      </c>
      <c r="Q173" s="158">
        <v>0</v>
      </c>
      <c r="R173" s="155">
        <v>0</v>
      </c>
      <c r="S173" s="158">
        <v>0</v>
      </c>
      <c r="T173" s="155">
        <v>0</v>
      </c>
      <c r="U173" s="157">
        <v>0</v>
      </c>
      <c r="V173" t="str">
        <f>VLOOKUP(A173,'Projetos ciclo 2018-2022'!$I$7:$I$318,1,FALSE)</f>
        <v>TI02318</v>
      </c>
    </row>
    <row r="174" spans="1:22" x14ac:dyDescent="0.25">
      <c r="A174" s="149" t="s">
        <v>1368</v>
      </c>
      <c r="B174" s="150"/>
      <c r="C174" s="150"/>
      <c r="D174" s="151">
        <v>0</v>
      </c>
      <c r="E174" s="152">
        <v>0</v>
      </c>
      <c r="F174" s="151">
        <v>0</v>
      </c>
      <c r="G174" s="152">
        <v>373</v>
      </c>
      <c r="H174" s="151">
        <v>0</v>
      </c>
      <c r="I174" s="152">
        <v>73.648349761962891</v>
      </c>
      <c r="J174" s="151">
        <v>0</v>
      </c>
      <c r="K174" s="152">
        <v>73.648349761962891</v>
      </c>
      <c r="L174" s="151">
        <v>176.40750122070312</v>
      </c>
      <c r="M174" s="152">
        <v>250.05585098266602</v>
      </c>
      <c r="N174" s="151">
        <v>0</v>
      </c>
      <c r="O174" s="152">
        <v>0</v>
      </c>
      <c r="P174" s="151">
        <v>0</v>
      </c>
      <c r="Q174" s="152">
        <v>0</v>
      </c>
      <c r="R174" s="151">
        <v>0</v>
      </c>
      <c r="S174" s="152">
        <v>0</v>
      </c>
      <c r="T174" s="151">
        <v>0</v>
      </c>
      <c r="U174" s="153">
        <v>0</v>
      </c>
      <c r="V174" t="str">
        <f>VLOOKUP(A174,'Projetos ciclo 2018-2022'!$I$7:$I$318,1,FALSE)</f>
        <v>TI02416</v>
      </c>
    </row>
    <row r="175" spans="1:22" x14ac:dyDescent="0.25">
      <c r="A175" s="21" t="s">
        <v>1171</v>
      </c>
      <c r="B175" s="154"/>
      <c r="C175" s="154"/>
      <c r="D175" s="155">
        <v>0</v>
      </c>
      <c r="E175" s="158">
        <v>0</v>
      </c>
      <c r="F175" s="155">
        <v>0</v>
      </c>
      <c r="G175" s="158">
        <v>693</v>
      </c>
      <c r="H175" s="155">
        <v>0</v>
      </c>
      <c r="I175" s="158">
        <v>693.4403076171875</v>
      </c>
      <c r="J175" s="155">
        <v>0</v>
      </c>
      <c r="K175" s="158">
        <v>693.4403076171875</v>
      </c>
      <c r="L175" s="155">
        <v>0</v>
      </c>
      <c r="M175" s="158">
        <v>693.4403076171875</v>
      </c>
      <c r="N175" s="155">
        <v>0</v>
      </c>
      <c r="O175" s="158">
        <v>0</v>
      </c>
      <c r="P175" s="155">
        <v>0</v>
      </c>
      <c r="Q175" s="158">
        <v>0</v>
      </c>
      <c r="R175" s="155">
        <v>0</v>
      </c>
      <c r="S175" s="158">
        <v>0</v>
      </c>
      <c r="T175" s="155">
        <v>0</v>
      </c>
      <c r="U175" s="157">
        <v>0</v>
      </c>
      <c r="V175" t="str">
        <f>VLOOKUP(A175,'Projetos ciclo 2018-2022'!$I$7:$I$318,1,FALSE)</f>
        <v>TI02418</v>
      </c>
    </row>
    <row r="176" spans="1:22" x14ac:dyDescent="0.25">
      <c r="A176" s="149" t="s">
        <v>753</v>
      </c>
      <c r="B176" s="150"/>
      <c r="C176" s="150"/>
      <c r="D176" s="151">
        <v>0</v>
      </c>
      <c r="E176" s="152">
        <v>0</v>
      </c>
      <c r="F176" s="151">
        <v>0</v>
      </c>
      <c r="G176" s="152">
        <v>350</v>
      </c>
      <c r="H176" s="151">
        <v>0</v>
      </c>
      <c r="I176" s="152">
        <v>44.140701055526733</v>
      </c>
      <c r="J176" s="151">
        <v>0</v>
      </c>
      <c r="K176" s="152">
        <v>44.140701055526733</v>
      </c>
      <c r="L176" s="151">
        <v>78.574318170547485</v>
      </c>
      <c r="M176" s="152">
        <v>122.71501922607422</v>
      </c>
      <c r="N176" s="151">
        <v>0</v>
      </c>
      <c r="O176" s="152">
        <v>0</v>
      </c>
      <c r="P176" s="151">
        <v>0</v>
      </c>
      <c r="Q176" s="152">
        <v>0</v>
      </c>
      <c r="R176" s="151">
        <v>0</v>
      </c>
      <c r="S176" s="152">
        <v>0</v>
      </c>
      <c r="T176" s="151">
        <v>0</v>
      </c>
      <c r="U176" s="153">
        <v>0</v>
      </c>
      <c r="V176" t="str">
        <f>VLOOKUP(A176,'Projetos ciclo 2018-2022'!$I$7:$I$318,1,FALSE)</f>
        <v>TI02515</v>
      </c>
    </row>
    <row r="177" spans="1:22" x14ac:dyDescent="0.25">
      <c r="A177" s="21" t="s">
        <v>566</v>
      </c>
      <c r="B177" s="154"/>
      <c r="C177" s="154"/>
      <c r="D177" s="155">
        <v>0</v>
      </c>
      <c r="E177" s="158">
        <v>0</v>
      </c>
      <c r="F177" s="155">
        <v>0</v>
      </c>
      <c r="G177" s="158">
        <v>149</v>
      </c>
      <c r="H177" s="155">
        <v>0</v>
      </c>
      <c r="I177" s="158">
        <v>0</v>
      </c>
      <c r="J177" s="155">
        <v>0</v>
      </c>
      <c r="K177" s="158">
        <v>0</v>
      </c>
      <c r="L177" s="155">
        <v>148.70700073242187</v>
      </c>
      <c r="M177" s="158">
        <v>148.70700073242187</v>
      </c>
      <c r="N177" s="155">
        <v>0</v>
      </c>
      <c r="O177" s="158">
        <v>0</v>
      </c>
      <c r="P177" s="155">
        <v>0</v>
      </c>
      <c r="Q177" s="158">
        <v>0</v>
      </c>
      <c r="R177" s="155">
        <v>0</v>
      </c>
      <c r="S177" s="158">
        <v>0</v>
      </c>
      <c r="T177" s="155">
        <v>0</v>
      </c>
      <c r="U177" s="157">
        <v>0</v>
      </c>
      <c r="V177" t="str">
        <f>VLOOKUP(A177,'Projetos ciclo 2018-2022'!$I$7:$I$318,1,FALSE)</f>
        <v>TI02516</v>
      </c>
    </row>
    <row r="178" spans="1:22" x14ac:dyDescent="0.25">
      <c r="A178" s="149" t="s">
        <v>568</v>
      </c>
      <c r="B178" s="150"/>
      <c r="C178" s="150"/>
      <c r="D178" s="151">
        <v>0</v>
      </c>
      <c r="E178" s="152">
        <v>0</v>
      </c>
      <c r="F178" s="151">
        <v>0</v>
      </c>
      <c r="G178" s="152">
        <v>55</v>
      </c>
      <c r="H178" s="151">
        <v>0</v>
      </c>
      <c r="I178" s="152">
        <v>0</v>
      </c>
      <c r="J178" s="151">
        <v>0</v>
      </c>
      <c r="K178" s="152">
        <v>0</v>
      </c>
      <c r="L178" s="151">
        <v>34.817581176757813</v>
      </c>
      <c r="M178" s="152">
        <v>34.817581176757813</v>
      </c>
      <c r="N178" s="151">
        <v>0</v>
      </c>
      <c r="O178" s="152">
        <v>0</v>
      </c>
      <c r="P178" s="151">
        <v>0</v>
      </c>
      <c r="Q178" s="152">
        <v>0</v>
      </c>
      <c r="R178" s="151">
        <v>0</v>
      </c>
      <c r="S178" s="152">
        <v>0</v>
      </c>
      <c r="T178" s="151">
        <v>0</v>
      </c>
      <c r="U178" s="153">
        <v>0</v>
      </c>
      <c r="V178" t="str">
        <f>VLOOKUP(A178,'Projetos ciclo 2018-2022'!$I$7:$I$318,1,FALSE)</f>
        <v>TI02616</v>
      </c>
    </row>
    <row r="179" spans="1:22" x14ac:dyDescent="0.25">
      <c r="A179" s="21" t="s">
        <v>1164</v>
      </c>
      <c r="B179" s="154"/>
      <c r="C179" s="154"/>
      <c r="D179" s="155">
        <v>0</v>
      </c>
      <c r="E179" s="158">
        <v>0</v>
      </c>
      <c r="F179" s="155">
        <v>0</v>
      </c>
      <c r="G179" s="158">
        <v>1225</v>
      </c>
      <c r="H179" s="155">
        <v>0</v>
      </c>
      <c r="I179" s="158">
        <v>0</v>
      </c>
      <c r="J179" s="155">
        <v>0</v>
      </c>
      <c r="K179" s="158">
        <v>0</v>
      </c>
      <c r="L179" s="155">
        <v>969.04043579101562</v>
      </c>
      <c r="M179" s="158">
        <v>969.04043579101562</v>
      </c>
      <c r="N179" s="155">
        <v>0</v>
      </c>
      <c r="O179" s="158">
        <v>0</v>
      </c>
      <c r="P179" s="155">
        <v>0</v>
      </c>
      <c r="Q179" s="158">
        <v>0</v>
      </c>
      <c r="R179" s="155">
        <v>0</v>
      </c>
      <c r="S179" s="158">
        <v>0</v>
      </c>
      <c r="T179" s="155">
        <v>0</v>
      </c>
      <c r="U179" s="157">
        <v>0</v>
      </c>
      <c r="V179" t="str">
        <f>VLOOKUP(A179,'Projetos ciclo 2018-2022'!$I$7:$I$318,1,FALSE)</f>
        <v>TI02618</v>
      </c>
    </row>
    <row r="180" spans="1:22" x14ac:dyDescent="0.25">
      <c r="A180" s="149" t="s">
        <v>1377</v>
      </c>
      <c r="B180" s="150"/>
      <c r="C180" s="150"/>
      <c r="D180" s="151">
        <v>0</v>
      </c>
      <c r="E180" s="152">
        <v>0</v>
      </c>
      <c r="F180" s="151">
        <v>0</v>
      </c>
      <c r="G180" s="152">
        <v>3223</v>
      </c>
      <c r="H180" s="151">
        <v>0</v>
      </c>
      <c r="I180" s="152">
        <v>267.26645660400391</v>
      </c>
      <c r="J180" s="151">
        <v>0</v>
      </c>
      <c r="K180" s="152">
        <v>267.26645660400391</v>
      </c>
      <c r="L180" s="151">
        <v>2627.8525381088257</v>
      </c>
      <c r="M180" s="152">
        <v>2895.1189947128296</v>
      </c>
      <c r="N180" s="151">
        <v>0</v>
      </c>
      <c r="O180" s="152">
        <v>0</v>
      </c>
      <c r="P180" s="151">
        <v>0</v>
      </c>
      <c r="Q180" s="152">
        <v>0</v>
      </c>
      <c r="R180" s="151">
        <v>0</v>
      </c>
      <c r="S180" s="152">
        <v>0</v>
      </c>
      <c r="T180" s="151">
        <v>0</v>
      </c>
      <c r="U180" s="153">
        <v>0</v>
      </c>
      <c r="V180" t="str">
        <f>VLOOKUP(A180,'Projetos ciclo 2018-2022'!$I$7:$I$318,1,FALSE)</f>
        <v>TI02718</v>
      </c>
    </row>
    <row r="181" spans="1:22" x14ac:dyDescent="0.25">
      <c r="A181" s="21" t="s">
        <v>1010</v>
      </c>
      <c r="B181" s="154"/>
      <c r="C181" s="154"/>
      <c r="D181" s="155">
        <v>0</v>
      </c>
      <c r="E181" s="158">
        <v>0</v>
      </c>
      <c r="F181" s="155">
        <v>0</v>
      </c>
      <c r="G181" s="158">
        <v>600</v>
      </c>
      <c r="H181" s="155">
        <v>0</v>
      </c>
      <c r="I181" s="158">
        <v>599.97772216796875</v>
      </c>
      <c r="J181" s="155">
        <v>0</v>
      </c>
      <c r="K181" s="158">
        <v>599.97772216796875</v>
      </c>
      <c r="L181" s="155">
        <v>0</v>
      </c>
      <c r="M181" s="158">
        <v>599.97772216796875</v>
      </c>
      <c r="N181" s="155">
        <v>0</v>
      </c>
      <c r="O181" s="158">
        <v>0</v>
      </c>
      <c r="P181" s="155">
        <v>0</v>
      </c>
      <c r="Q181" s="158">
        <v>0</v>
      </c>
      <c r="R181" s="155">
        <v>0</v>
      </c>
      <c r="S181" s="158">
        <v>0</v>
      </c>
      <c r="T181" s="155">
        <v>0</v>
      </c>
      <c r="U181" s="157">
        <v>0</v>
      </c>
      <c r="V181" t="str">
        <f>VLOOKUP(A181,'Projetos ciclo 2018-2022'!$I$7:$I$318,1,FALSE)</f>
        <v>TI02817</v>
      </c>
    </row>
    <row r="182" spans="1:22" x14ac:dyDescent="0.25">
      <c r="A182" s="149" t="s">
        <v>1163</v>
      </c>
      <c r="B182" s="150"/>
      <c r="C182" s="150"/>
      <c r="D182" s="151">
        <v>0</v>
      </c>
      <c r="E182" s="152">
        <v>0</v>
      </c>
      <c r="F182" s="151">
        <v>0</v>
      </c>
      <c r="G182" s="152">
        <v>504</v>
      </c>
      <c r="H182" s="151">
        <v>0</v>
      </c>
      <c r="I182" s="152">
        <v>175.63199806213379</v>
      </c>
      <c r="J182" s="151">
        <v>0</v>
      </c>
      <c r="K182" s="152">
        <v>175.63199806213379</v>
      </c>
      <c r="L182" s="151">
        <v>328.54609346389771</v>
      </c>
      <c r="M182" s="152">
        <v>504.17809152603149</v>
      </c>
      <c r="N182" s="151">
        <v>0</v>
      </c>
      <c r="O182" s="152">
        <v>0</v>
      </c>
      <c r="P182" s="151">
        <v>0</v>
      </c>
      <c r="Q182" s="152">
        <v>0</v>
      </c>
      <c r="R182" s="151">
        <v>0</v>
      </c>
      <c r="S182" s="152">
        <v>0</v>
      </c>
      <c r="T182" s="151">
        <v>0</v>
      </c>
      <c r="U182" s="153">
        <v>0</v>
      </c>
      <c r="V182" t="str">
        <f>VLOOKUP(A182,'Projetos ciclo 2018-2022'!$I$7:$I$318,1,FALSE)</f>
        <v>TI03015</v>
      </c>
    </row>
    <row r="183" spans="1:22" x14ac:dyDescent="0.25">
      <c r="A183" s="21" t="s">
        <v>1938</v>
      </c>
      <c r="B183" s="154"/>
      <c r="C183" s="154"/>
      <c r="D183" s="155">
        <v>0</v>
      </c>
      <c r="E183" s="158">
        <v>0</v>
      </c>
      <c r="F183" s="155">
        <v>0</v>
      </c>
      <c r="G183" s="158">
        <v>166</v>
      </c>
      <c r="H183" s="155">
        <v>0</v>
      </c>
      <c r="I183" s="158">
        <v>5.8700799942016602</v>
      </c>
      <c r="J183" s="155">
        <v>0</v>
      </c>
      <c r="K183" s="158">
        <v>5.8700799942016602</v>
      </c>
      <c r="L183" s="155">
        <v>160</v>
      </c>
      <c r="M183" s="158">
        <v>165.87007999420166</v>
      </c>
      <c r="N183" s="155">
        <v>0</v>
      </c>
      <c r="O183" s="158">
        <v>0</v>
      </c>
      <c r="P183" s="155">
        <v>0</v>
      </c>
      <c r="Q183" s="158">
        <v>0</v>
      </c>
      <c r="R183" s="155">
        <v>0</v>
      </c>
      <c r="S183" s="158">
        <v>0</v>
      </c>
      <c r="T183" s="155">
        <v>0</v>
      </c>
      <c r="U183" s="157">
        <v>0</v>
      </c>
      <c r="V183" t="str">
        <f>VLOOKUP(A183,'Projetos ciclo 2018-2022'!$I$7:$I$318,1,FALSE)</f>
        <v>TI03017</v>
      </c>
    </row>
    <row r="184" spans="1:22" x14ac:dyDescent="0.25">
      <c r="A184" s="149" t="s">
        <v>1144</v>
      </c>
      <c r="B184" s="150"/>
      <c r="C184" s="150"/>
      <c r="D184" s="151">
        <v>0</v>
      </c>
      <c r="E184" s="152">
        <v>0</v>
      </c>
      <c r="F184" s="151">
        <v>0</v>
      </c>
      <c r="G184" s="152">
        <v>216</v>
      </c>
      <c r="H184" s="151">
        <v>0</v>
      </c>
      <c r="I184" s="152">
        <v>60.324001312255859</v>
      </c>
      <c r="J184" s="151">
        <v>0</v>
      </c>
      <c r="K184" s="152">
        <v>60.324001312255859</v>
      </c>
      <c r="L184" s="151">
        <v>155.67599487304687</v>
      </c>
      <c r="M184" s="152">
        <v>215.99999618530273</v>
      </c>
      <c r="N184" s="151">
        <v>0</v>
      </c>
      <c r="O184" s="152">
        <v>0</v>
      </c>
      <c r="P184" s="151">
        <v>0</v>
      </c>
      <c r="Q184" s="152">
        <v>0</v>
      </c>
      <c r="R184" s="151">
        <v>0</v>
      </c>
      <c r="S184" s="152">
        <v>0</v>
      </c>
      <c r="T184" s="151">
        <v>0</v>
      </c>
      <c r="U184" s="153">
        <v>0</v>
      </c>
      <c r="V184" t="str">
        <f>VLOOKUP(A184,'Projetos ciclo 2018-2022'!$I$7:$I$318,1,FALSE)</f>
        <v>TI03117</v>
      </c>
    </row>
    <row r="185" spans="1:22" x14ac:dyDescent="0.25">
      <c r="A185" s="21" t="s">
        <v>1049</v>
      </c>
      <c r="B185" s="154"/>
      <c r="C185" s="154"/>
      <c r="D185" s="155">
        <v>0</v>
      </c>
      <c r="E185" s="158">
        <v>0</v>
      </c>
      <c r="F185" s="155">
        <v>0</v>
      </c>
      <c r="G185" s="158">
        <v>2100</v>
      </c>
      <c r="H185" s="155">
        <v>0</v>
      </c>
      <c r="I185" s="158">
        <v>341.49017333984375</v>
      </c>
      <c r="J185" s="155">
        <v>0</v>
      </c>
      <c r="K185" s="158">
        <v>341.49017333984375</v>
      </c>
      <c r="L185" s="155">
        <v>1154.5678939819336</v>
      </c>
      <c r="M185" s="158">
        <v>1496.0580673217773</v>
      </c>
      <c r="N185" s="155">
        <v>0</v>
      </c>
      <c r="O185" s="158">
        <v>0</v>
      </c>
      <c r="P185" s="155">
        <v>0</v>
      </c>
      <c r="Q185" s="158">
        <v>0</v>
      </c>
      <c r="R185" s="155">
        <v>0</v>
      </c>
      <c r="S185" s="158">
        <v>0</v>
      </c>
      <c r="T185" s="155">
        <v>0</v>
      </c>
      <c r="U185" s="157">
        <v>0</v>
      </c>
      <c r="V185" t="str">
        <f>VLOOKUP(A185,'Projetos ciclo 2018-2022'!$I$7:$I$318,1,FALSE)</f>
        <v>TI03217</v>
      </c>
    </row>
    <row r="186" spans="1:22" x14ac:dyDescent="0.25">
      <c r="A186" s="149" t="s">
        <v>1051</v>
      </c>
      <c r="B186" s="150"/>
      <c r="C186" s="150"/>
      <c r="D186" s="151">
        <v>0</v>
      </c>
      <c r="E186" s="152">
        <v>0</v>
      </c>
      <c r="F186" s="151">
        <v>0</v>
      </c>
      <c r="G186" s="152">
        <v>278</v>
      </c>
      <c r="H186" s="151">
        <v>0</v>
      </c>
      <c r="I186" s="152">
        <v>108.51967239379883</v>
      </c>
      <c r="J186" s="151">
        <v>0</v>
      </c>
      <c r="K186" s="152">
        <v>108.51967239379883</v>
      </c>
      <c r="L186" s="151">
        <v>169.582275390625</v>
      </c>
      <c r="M186" s="152">
        <v>278.10194778442383</v>
      </c>
      <c r="N186" s="151">
        <v>0</v>
      </c>
      <c r="O186" s="152">
        <v>0</v>
      </c>
      <c r="P186" s="151">
        <v>0</v>
      </c>
      <c r="Q186" s="152">
        <v>0</v>
      </c>
      <c r="R186" s="151">
        <v>0</v>
      </c>
      <c r="S186" s="152">
        <v>0</v>
      </c>
      <c r="T186" s="151">
        <v>0</v>
      </c>
      <c r="U186" s="153">
        <v>0</v>
      </c>
      <c r="V186" t="str">
        <f>VLOOKUP(A186,'Projetos ciclo 2018-2022'!$I$7:$I$318,1,FALSE)</f>
        <v>TI03317</v>
      </c>
    </row>
    <row r="187" spans="1:22" x14ac:dyDescent="0.25">
      <c r="A187" s="21" t="s">
        <v>1465</v>
      </c>
      <c r="B187" s="154"/>
      <c r="C187" s="154"/>
      <c r="D187" s="155">
        <v>0</v>
      </c>
      <c r="E187" s="158">
        <v>0</v>
      </c>
      <c r="F187" s="155">
        <v>0</v>
      </c>
      <c r="G187" s="158">
        <v>245</v>
      </c>
      <c r="H187" s="155">
        <v>0</v>
      </c>
      <c r="I187" s="158">
        <v>232.37596130371094</v>
      </c>
      <c r="J187" s="155">
        <v>0</v>
      </c>
      <c r="K187" s="158">
        <v>232.37596130371094</v>
      </c>
      <c r="L187" s="155">
        <v>0</v>
      </c>
      <c r="M187" s="158">
        <v>232.37596130371094</v>
      </c>
      <c r="N187" s="155">
        <v>0</v>
      </c>
      <c r="O187" s="158">
        <v>0</v>
      </c>
      <c r="P187" s="155">
        <v>0</v>
      </c>
      <c r="Q187" s="158">
        <v>0</v>
      </c>
      <c r="R187" s="155">
        <v>0</v>
      </c>
      <c r="S187" s="158">
        <v>0</v>
      </c>
      <c r="T187" s="155">
        <v>0</v>
      </c>
      <c r="U187" s="157">
        <v>0</v>
      </c>
      <c r="V187" t="str">
        <f>VLOOKUP(A187,'Projetos ciclo 2018-2022'!$I$7:$I$318,1,FALSE)</f>
        <v>TI03318</v>
      </c>
    </row>
    <row r="188" spans="1:22" x14ac:dyDescent="0.25">
      <c r="A188" s="149" t="s">
        <v>1140</v>
      </c>
      <c r="B188" s="150"/>
      <c r="C188" s="150"/>
      <c r="D188" s="151">
        <v>0</v>
      </c>
      <c r="E188" s="152">
        <v>0</v>
      </c>
      <c r="F188" s="151">
        <v>0</v>
      </c>
      <c r="G188" s="152">
        <v>900</v>
      </c>
      <c r="H188" s="151">
        <v>0</v>
      </c>
      <c r="I188" s="152">
        <v>899.99990081787109</v>
      </c>
      <c r="J188" s="151">
        <v>0</v>
      </c>
      <c r="K188" s="152">
        <v>899.99990081787109</v>
      </c>
      <c r="L188" s="151">
        <v>0</v>
      </c>
      <c r="M188" s="152">
        <v>899.99990081787109</v>
      </c>
      <c r="N188" s="151">
        <v>0</v>
      </c>
      <c r="O188" s="152">
        <v>0</v>
      </c>
      <c r="P188" s="151">
        <v>0</v>
      </c>
      <c r="Q188" s="152">
        <v>0</v>
      </c>
      <c r="R188" s="151">
        <v>0</v>
      </c>
      <c r="S188" s="152">
        <v>0</v>
      </c>
      <c r="T188" s="151">
        <v>0</v>
      </c>
      <c r="U188" s="153">
        <v>0</v>
      </c>
      <c r="V188" t="str">
        <f>VLOOKUP(A188,'Projetos ciclo 2018-2022'!$I$7:$I$318,1,FALSE)</f>
        <v>TI03417</v>
      </c>
    </row>
    <row r="189" spans="1:22" x14ac:dyDescent="0.25">
      <c r="A189" s="21" t="s">
        <v>1147</v>
      </c>
      <c r="B189" s="154"/>
      <c r="C189" s="154"/>
      <c r="D189" s="155">
        <v>0</v>
      </c>
      <c r="E189" s="158">
        <v>0</v>
      </c>
      <c r="F189" s="155">
        <v>0</v>
      </c>
      <c r="G189" s="158">
        <v>155</v>
      </c>
      <c r="H189" s="155">
        <v>0</v>
      </c>
      <c r="I189" s="158">
        <v>0</v>
      </c>
      <c r="J189" s="155">
        <v>0</v>
      </c>
      <c r="K189" s="158">
        <v>0</v>
      </c>
      <c r="L189" s="155">
        <v>154.5</v>
      </c>
      <c r="M189" s="158">
        <v>154.5</v>
      </c>
      <c r="N189" s="155">
        <v>0</v>
      </c>
      <c r="O189" s="158">
        <v>0</v>
      </c>
      <c r="P189" s="155">
        <v>0</v>
      </c>
      <c r="Q189" s="158">
        <v>0</v>
      </c>
      <c r="R189" s="155">
        <v>0</v>
      </c>
      <c r="S189" s="158">
        <v>0</v>
      </c>
      <c r="T189" s="155">
        <v>0</v>
      </c>
      <c r="U189" s="157">
        <v>0</v>
      </c>
      <c r="V189" t="str">
        <f>VLOOKUP(A189,'Projetos ciclo 2018-2022'!$I$7:$I$318,1,FALSE)</f>
        <v>TI03517</v>
      </c>
    </row>
    <row r="190" spans="1:22" x14ac:dyDescent="0.25">
      <c r="A190" s="149" t="s">
        <v>1050</v>
      </c>
      <c r="B190" s="150"/>
      <c r="C190" s="150"/>
      <c r="D190" s="151">
        <v>0</v>
      </c>
      <c r="E190" s="152">
        <v>0</v>
      </c>
      <c r="F190" s="151">
        <v>0</v>
      </c>
      <c r="G190" s="152">
        <v>247</v>
      </c>
      <c r="H190" s="151">
        <v>0</v>
      </c>
      <c r="I190" s="152">
        <v>110.67523956298828</v>
      </c>
      <c r="J190" s="151">
        <v>0</v>
      </c>
      <c r="K190" s="152">
        <v>110.67523956298828</v>
      </c>
      <c r="L190" s="151">
        <v>136.52476501464844</v>
      </c>
      <c r="M190" s="152">
        <v>247.20000457763672</v>
      </c>
      <c r="N190" s="151">
        <v>0</v>
      </c>
      <c r="O190" s="152">
        <v>0</v>
      </c>
      <c r="P190" s="151">
        <v>0</v>
      </c>
      <c r="Q190" s="152">
        <v>0</v>
      </c>
      <c r="R190" s="151">
        <v>0</v>
      </c>
      <c r="S190" s="152">
        <v>0</v>
      </c>
      <c r="T190" s="151">
        <v>0</v>
      </c>
      <c r="U190" s="153">
        <v>0</v>
      </c>
      <c r="V190" t="str">
        <f>VLOOKUP(A190,'Projetos ciclo 2018-2022'!$I$7:$I$318,1,FALSE)</f>
        <v>TI03617</v>
      </c>
    </row>
    <row r="191" spans="1:22" x14ac:dyDescent="0.25">
      <c r="A191" s="21" t="s">
        <v>1143</v>
      </c>
      <c r="B191" s="154"/>
      <c r="C191" s="154"/>
      <c r="D191" s="155">
        <v>0</v>
      </c>
      <c r="E191" s="158">
        <v>0</v>
      </c>
      <c r="F191" s="155">
        <v>0</v>
      </c>
      <c r="G191" s="158">
        <v>871</v>
      </c>
      <c r="H191" s="155">
        <v>0</v>
      </c>
      <c r="I191" s="158">
        <v>15.5</v>
      </c>
      <c r="J191" s="155">
        <v>0</v>
      </c>
      <c r="K191" s="158">
        <v>15.5</v>
      </c>
      <c r="L191" s="155">
        <v>384.39999389648437</v>
      </c>
      <c r="M191" s="158">
        <v>399.89999389648437</v>
      </c>
      <c r="N191" s="155">
        <v>0</v>
      </c>
      <c r="O191" s="158">
        <v>0</v>
      </c>
      <c r="P191" s="155">
        <v>0</v>
      </c>
      <c r="Q191" s="158">
        <v>0</v>
      </c>
      <c r="R191" s="155">
        <v>0</v>
      </c>
      <c r="S191" s="158">
        <v>0</v>
      </c>
      <c r="T191" s="155">
        <v>0</v>
      </c>
      <c r="U191" s="157">
        <v>0</v>
      </c>
      <c r="V191" t="str">
        <f>VLOOKUP(A191,'Projetos ciclo 2018-2022'!$I$7:$I$318,1,FALSE)</f>
        <v>TI04117</v>
      </c>
    </row>
    <row r="192" spans="1:22" x14ac:dyDescent="0.25">
      <c r="A192" s="149" t="s">
        <v>1550</v>
      </c>
      <c r="B192" s="150"/>
      <c r="C192" s="150"/>
      <c r="D192" s="151">
        <v>0</v>
      </c>
      <c r="E192" s="152">
        <v>0</v>
      </c>
      <c r="F192" s="151">
        <v>0</v>
      </c>
      <c r="G192" s="152">
        <v>150</v>
      </c>
      <c r="H192" s="151">
        <v>0</v>
      </c>
      <c r="I192" s="152">
        <v>0</v>
      </c>
      <c r="J192" s="151">
        <v>0</v>
      </c>
      <c r="K192" s="152">
        <v>0</v>
      </c>
      <c r="L192" s="151">
        <v>149</v>
      </c>
      <c r="M192" s="152">
        <v>149</v>
      </c>
      <c r="N192" s="151">
        <v>0</v>
      </c>
      <c r="O192" s="152">
        <v>0</v>
      </c>
      <c r="P192" s="151">
        <v>0</v>
      </c>
      <c r="Q192" s="152">
        <v>0</v>
      </c>
      <c r="R192" s="151">
        <v>0</v>
      </c>
      <c r="S192" s="152">
        <v>0</v>
      </c>
      <c r="T192" s="151">
        <v>0</v>
      </c>
      <c r="U192" s="153">
        <v>0</v>
      </c>
      <c r="V192" t="str">
        <f>VLOOKUP(A192,'Projetos ciclo 2018-2022'!$I$7:$I$318,1,FALSE)</f>
        <v>TI04618</v>
      </c>
    </row>
    <row r="193" spans="1:22" x14ac:dyDescent="0.25">
      <c r="A193" s="21" t="s">
        <v>1479</v>
      </c>
      <c r="B193" s="154"/>
      <c r="C193" s="154"/>
      <c r="D193" s="155">
        <v>0</v>
      </c>
      <c r="E193" s="158">
        <v>0</v>
      </c>
      <c r="F193" s="155">
        <v>0</v>
      </c>
      <c r="G193" s="158">
        <v>141</v>
      </c>
      <c r="H193" s="155">
        <v>0</v>
      </c>
      <c r="I193" s="158">
        <v>25.882419586181641</v>
      </c>
      <c r="J193" s="155">
        <v>0</v>
      </c>
      <c r="K193" s="158">
        <v>25.882419586181641</v>
      </c>
      <c r="L193" s="155">
        <v>115.34107971191406</v>
      </c>
      <c r="M193" s="158">
        <v>141.2234992980957</v>
      </c>
      <c r="N193" s="155">
        <v>0</v>
      </c>
      <c r="O193" s="158">
        <v>0</v>
      </c>
      <c r="P193" s="155">
        <v>0</v>
      </c>
      <c r="Q193" s="158">
        <v>0</v>
      </c>
      <c r="R193" s="155">
        <v>0</v>
      </c>
      <c r="S193" s="158">
        <v>0</v>
      </c>
      <c r="T193" s="155">
        <v>0</v>
      </c>
      <c r="U193" s="157">
        <v>0</v>
      </c>
      <c r="V193" t="str">
        <f>VLOOKUP(A193,'Projetos ciclo 2018-2022'!$I$7:$I$318,1,FALSE)</f>
        <v>TI04718</v>
      </c>
    </row>
    <row r="194" spans="1:22" x14ac:dyDescent="0.25">
      <c r="A194" s="149" t="s">
        <v>1587</v>
      </c>
      <c r="B194" s="150"/>
      <c r="C194" s="150"/>
      <c r="D194" s="151">
        <v>0</v>
      </c>
      <c r="E194" s="152">
        <v>0</v>
      </c>
      <c r="F194" s="151">
        <v>0</v>
      </c>
      <c r="G194" s="152">
        <v>420</v>
      </c>
      <c r="H194" s="151">
        <v>0</v>
      </c>
      <c r="I194" s="152">
        <v>0</v>
      </c>
      <c r="J194" s="151">
        <v>0</v>
      </c>
      <c r="K194" s="152">
        <v>0</v>
      </c>
      <c r="L194" s="151">
        <v>420.44839477539062</v>
      </c>
      <c r="M194" s="152">
        <v>420.44839477539062</v>
      </c>
      <c r="N194" s="151">
        <v>0</v>
      </c>
      <c r="O194" s="152">
        <v>0</v>
      </c>
      <c r="P194" s="151">
        <v>0</v>
      </c>
      <c r="Q194" s="152">
        <v>0</v>
      </c>
      <c r="R194" s="151">
        <v>0</v>
      </c>
      <c r="S194" s="152">
        <v>0</v>
      </c>
      <c r="T194" s="151">
        <v>0</v>
      </c>
      <c r="U194" s="153">
        <v>0</v>
      </c>
      <c r="V194" t="str">
        <f>VLOOKUP(A194,'Projetos ciclo 2018-2022'!$I$7:$I$318,1,FALSE)</f>
        <v>TI05218</v>
      </c>
    </row>
    <row r="195" spans="1:22" x14ac:dyDescent="0.25">
      <c r="A195" s="21" t="s">
        <v>1615</v>
      </c>
      <c r="B195" s="154"/>
      <c r="C195" s="154"/>
      <c r="D195" s="155">
        <v>0</v>
      </c>
      <c r="E195" s="158">
        <v>0</v>
      </c>
      <c r="F195" s="155">
        <v>0</v>
      </c>
      <c r="G195" s="158">
        <v>800</v>
      </c>
      <c r="H195" s="155">
        <v>0</v>
      </c>
      <c r="I195" s="158">
        <v>800</v>
      </c>
      <c r="J195" s="155">
        <v>0</v>
      </c>
      <c r="K195" s="158">
        <v>800</v>
      </c>
      <c r="L195" s="155">
        <v>0</v>
      </c>
      <c r="M195" s="158">
        <v>800</v>
      </c>
      <c r="N195" s="155">
        <v>0</v>
      </c>
      <c r="O195" s="158">
        <v>0</v>
      </c>
      <c r="P195" s="155">
        <v>0</v>
      </c>
      <c r="Q195" s="158">
        <v>0</v>
      </c>
      <c r="R195" s="155">
        <v>0</v>
      </c>
      <c r="S195" s="158">
        <v>0</v>
      </c>
      <c r="T195" s="155">
        <v>0</v>
      </c>
      <c r="U195" s="157">
        <v>0</v>
      </c>
      <c r="V195" t="str">
        <f>VLOOKUP(A195,'Projetos ciclo 2018-2022'!$I$7:$I$318,1,FALSE)</f>
        <v>TI05318</v>
      </c>
    </row>
    <row r="196" spans="1:22" x14ac:dyDescent="0.25">
      <c r="A196" s="149" t="s">
        <v>1645</v>
      </c>
      <c r="B196" s="150"/>
      <c r="C196" s="150"/>
      <c r="D196" s="151">
        <v>0</v>
      </c>
      <c r="E196" s="152">
        <v>0</v>
      </c>
      <c r="F196" s="151">
        <v>0</v>
      </c>
      <c r="G196" s="152">
        <v>500</v>
      </c>
      <c r="H196" s="151">
        <v>0</v>
      </c>
      <c r="I196" s="152">
        <v>0</v>
      </c>
      <c r="J196" s="151">
        <v>0</v>
      </c>
      <c r="K196" s="152">
        <v>0</v>
      </c>
      <c r="L196" s="151">
        <v>439.99998474121094</v>
      </c>
      <c r="M196" s="152">
        <v>439.99998474121094</v>
      </c>
      <c r="N196" s="151">
        <v>0</v>
      </c>
      <c r="O196" s="152">
        <v>0</v>
      </c>
      <c r="P196" s="151">
        <v>0</v>
      </c>
      <c r="Q196" s="152">
        <v>0</v>
      </c>
      <c r="R196" s="151">
        <v>0</v>
      </c>
      <c r="S196" s="152">
        <v>0</v>
      </c>
      <c r="T196" s="151">
        <v>0</v>
      </c>
      <c r="U196" s="153">
        <v>0</v>
      </c>
      <c r="V196" t="str">
        <f>VLOOKUP(A196,'Projetos ciclo 2018-2022'!$I$7:$I$318,1,FALSE)</f>
        <v>TI05418</v>
      </c>
    </row>
    <row r="197" spans="1:22" x14ac:dyDescent="0.25">
      <c r="A197" s="21" t="s">
        <v>1647</v>
      </c>
      <c r="B197" s="154"/>
      <c r="C197" s="154"/>
      <c r="D197" s="155">
        <v>0</v>
      </c>
      <c r="E197" s="158">
        <v>0</v>
      </c>
      <c r="F197" s="155">
        <v>0</v>
      </c>
      <c r="G197" s="158">
        <v>760</v>
      </c>
      <c r="H197" s="155">
        <v>0</v>
      </c>
      <c r="I197" s="158">
        <v>0</v>
      </c>
      <c r="J197" s="155">
        <v>0</v>
      </c>
      <c r="K197" s="158">
        <v>0</v>
      </c>
      <c r="L197" s="155">
        <v>580.49600219726562</v>
      </c>
      <c r="M197" s="158">
        <v>580.49600219726562</v>
      </c>
      <c r="N197" s="155">
        <v>0</v>
      </c>
      <c r="O197" s="158">
        <v>0</v>
      </c>
      <c r="P197" s="155">
        <v>0</v>
      </c>
      <c r="Q197" s="158">
        <v>0</v>
      </c>
      <c r="R197" s="155">
        <v>0</v>
      </c>
      <c r="S197" s="158">
        <v>0</v>
      </c>
      <c r="T197" s="155">
        <v>0</v>
      </c>
      <c r="U197" s="157">
        <v>0</v>
      </c>
      <c r="V197" t="str">
        <f>VLOOKUP(A197,'Projetos ciclo 2018-2022'!$I$7:$I$318,1,FALSE)</f>
        <v>TI05518</v>
      </c>
    </row>
    <row r="198" spans="1:22" x14ac:dyDescent="0.25">
      <c r="A198" s="149" t="s">
        <v>1649</v>
      </c>
      <c r="B198" s="150"/>
      <c r="C198" s="150"/>
      <c r="D198" s="151">
        <v>0</v>
      </c>
      <c r="E198" s="152">
        <v>0</v>
      </c>
      <c r="F198" s="151">
        <v>0</v>
      </c>
      <c r="G198" s="152">
        <v>1865</v>
      </c>
      <c r="H198" s="151">
        <v>0</v>
      </c>
      <c r="I198" s="152">
        <v>0</v>
      </c>
      <c r="J198" s="151">
        <v>0</v>
      </c>
      <c r="K198" s="152">
        <v>0</v>
      </c>
      <c r="L198" s="151">
        <v>1678.5040016174316</v>
      </c>
      <c r="M198" s="152">
        <v>1678.5040016174316</v>
      </c>
      <c r="N198" s="151">
        <v>0</v>
      </c>
      <c r="O198" s="152">
        <v>0</v>
      </c>
      <c r="P198" s="151">
        <v>0</v>
      </c>
      <c r="Q198" s="152">
        <v>0</v>
      </c>
      <c r="R198" s="151">
        <v>0</v>
      </c>
      <c r="S198" s="152">
        <v>0</v>
      </c>
      <c r="T198" s="151">
        <v>0</v>
      </c>
      <c r="U198" s="153">
        <v>0</v>
      </c>
      <c r="V198" t="str">
        <f>VLOOKUP(A198,'Projetos ciclo 2018-2022'!$I$7:$I$318,1,FALSE)</f>
        <v>TI05618</v>
      </c>
    </row>
    <row r="199" spans="1:22" x14ac:dyDescent="0.25">
      <c r="A199" s="21" t="s">
        <v>1651</v>
      </c>
      <c r="B199" s="154"/>
      <c r="C199" s="154"/>
      <c r="D199" s="155">
        <v>0</v>
      </c>
      <c r="E199" s="158">
        <v>0</v>
      </c>
      <c r="F199" s="155">
        <v>0</v>
      </c>
      <c r="G199" s="158">
        <v>120</v>
      </c>
      <c r="H199" s="155">
        <v>0</v>
      </c>
      <c r="I199" s="158">
        <v>0</v>
      </c>
      <c r="J199" s="155">
        <v>0</v>
      </c>
      <c r="K199" s="158">
        <v>0</v>
      </c>
      <c r="L199" s="155">
        <v>120.05999755859375</v>
      </c>
      <c r="M199" s="158">
        <v>120.05999755859375</v>
      </c>
      <c r="N199" s="155">
        <v>0</v>
      </c>
      <c r="O199" s="158">
        <v>0</v>
      </c>
      <c r="P199" s="155">
        <v>0</v>
      </c>
      <c r="Q199" s="158">
        <v>0</v>
      </c>
      <c r="R199" s="155">
        <v>0</v>
      </c>
      <c r="S199" s="158">
        <v>0</v>
      </c>
      <c r="T199" s="155">
        <v>0</v>
      </c>
      <c r="U199" s="157">
        <v>0</v>
      </c>
      <c r="V199" t="str">
        <f>VLOOKUP(A199,'Projetos ciclo 2018-2022'!$I$7:$I$318,1,FALSE)</f>
        <v>TI05718</v>
      </c>
    </row>
    <row r="200" spans="1:22" x14ac:dyDescent="0.25">
      <c r="A200" s="149" t="s">
        <v>1746</v>
      </c>
      <c r="B200" s="150"/>
      <c r="C200" s="150"/>
      <c r="D200" s="151">
        <v>0</v>
      </c>
      <c r="E200" s="152">
        <v>0</v>
      </c>
      <c r="F200" s="151">
        <v>0</v>
      </c>
      <c r="G200" s="152">
        <v>0</v>
      </c>
      <c r="H200" s="151">
        <v>0</v>
      </c>
      <c r="I200" s="152">
        <v>0</v>
      </c>
      <c r="J200" s="151">
        <v>0</v>
      </c>
      <c r="K200" s="152">
        <v>0</v>
      </c>
      <c r="L200" s="151">
        <v>0</v>
      </c>
      <c r="M200" s="152">
        <v>0</v>
      </c>
      <c r="N200" s="151">
        <v>0</v>
      </c>
      <c r="O200" s="152">
        <v>0</v>
      </c>
      <c r="P200" s="151">
        <v>0</v>
      </c>
      <c r="Q200" s="152">
        <v>0</v>
      </c>
      <c r="R200" s="151">
        <v>0</v>
      </c>
      <c r="S200" s="152">
        <v>0</v>
      </c>
      <c r="T200" s="151">
        <v>0</v>
      </c>
      <c r="U200" s="153">
        <v>0</v>
      </c>
      <c r="V200" t="str">
        <f>VLOOKUP(A200,'Projetos ciclo 2018-2022'!$I$7:$I$318,1,FALSE)</f>
        <v>TI06218</v>
      </c>
    </row>
    <row r="201" spans="1:22" x14ac:dyDescent="0.25">
      <c r="A201" s="21" t="s">
        <v>1748</v>
      </c>
      <c r="B201" s="154"/>
      <c r="C201" s="154"/>
      <c r="D201" s="155">
        <v>0</v>
      </c>
      <c r="E201" s="158">
        <v>0</v>
      </c>
      <c r="F201" s="155">
        <v>0</v>
      </c>
      <c r="G201" s="158">
        <v>26</v>
      </c>
      <c r="H201" s="155">
        <v>0</v>
      </c>
      <c r="I201" s="158">
        <v>0</v>
      </c>
      <c r="J201" s="155">
        <v>0</v>
      </c>
      <c r="K201" s="158">
        <v>0</v>
      </c>
      <c r="L201" s="155">
        <v>25.677000045776367</v>
      </c>
      <c r="M201" s="158">
        <v>25.677000045776367</v>
      </c>
      <c r="N201" s="155">
        <v>0</v>
      </c>
      <c r="O201" s="158">
        <v>0</v>
      </c>
      <c r="P201" s="155">
        <v>0</v>
      </c>
      <c r="Q201" s="158">
        <v>0</v>
      </c>
      <c r="R201" s="155">
        <v>0</v>
      </c>
      <c r="S201" s="158">
        <v>0</v>
      </c>
      <c r="T201" s="155">
        <v>0</v>
      </c>
      <c r="U201" s="157">
        <v>0</v>
      </c>
      <c r="V201" t="str">
        <f>VLOOKUP(A201,'Projetos ciclo 2018-2022'!$I$7:$I$318,1,FALSE)</f>
        <v>TI06318</v>
      </c>
    </row>
    <row r="202" spans="1:22" x14ac:dyDescent="0.25">
      <c r="A202" s="149" t="s">
        <v>1750</v>
      </c>
      <c r="B202" s="150"/>
      <c r="C202" s="150"/>
      <c r="D202" s="151">
        <v>0</v>
      </c>
      <c r="E202" s="152">
        <v>0</v>
      </c>
      <c r="F202" s="151">
        <v>0</v>
      </c>
      <c r="G202" s="152">
        <v>68</v>
      </c>
      <c r="H202" s="151">
        <v>0</v>
      </c>
      <c r="I202" s="152">
        <v>0</v>
      </c>
      <c r="J202" s="151">
        <v>0</v>
      </c>
      <c r="K202" s="152">
        <v>0</v>
      </c>
      <c r="L202" s="151">
        <v>68.472000122070313</v>
      </c>
      <c r="M202" s="152">
        <v>68.472000122070313</v>
      </c>
      <c r="N202" s="151">
        <v>0</v>
      </c>
      <c r="O202" s="152">
        <v>0</v>
      </c>
      <c r="P202" s="151">
        <v>0</v>
      </c>
      <c r="Q202" s="152">
        <v>0</v>
      </c>
      <c r="R202" s="151">
        <v>0</v>
      </c>
      <c r="S202" s="152">
        <v>0</v>
      </c>
      <c r="T202" s="151">
        <v>0</v>
      </c>
      <c r="U202" s="153">
        <v>0</v>
      </c>
      <c r="V202" t="str">
        <f>VLOOKUP(A202,'Projetos ciclo 2018-2022'!$I$7:$I$318,1,FALSE)</f>
        <v>TI06418</v>
      </c>
    </row>
    <row r="203" spans="1:22" x14ac:dyDescent="0.25">
      <c r="A203" s="21" t="s">
        <v>1752</v>
      </c>
      <c r="B203" s="154"/>
      <c r="C203" s="154"/>
      <c r="D203" s="155">
        <v>0</v>
      </c>
      <c r="E203" s="158">
        <v>0</v>
      </c>
      <c r="F203" s="155">
        <v>0</v>
      </c>
      <c r="G203" s="158">
        <v>1123</v>
      </c>
      <c r="H203" s="155">
        <v>0</v>
      </c>
      <c r="I203" s="158">
        <v>0</v>
      </c>
      <c r="J203" s="155">
        <v>0</v>
      </c>
      <c r="K203" s="158">
        <v>0</v>
      </c>
      <c r="L203" s="155">
        <v>992.60840749740601</v>
      </c>
      <c r="M203" s="158">
        <v>992.60840749740601</v>
      </c>
      <c r="N203" s="155">
        <v>0</v>
      </c>
      <c r="O203" s="158">
        <v>0</v>
      </c>
      <c r="P203" s="155">
        <v>0</v>
      </c>
      <c r="Q203" s="158">
        <v>0</v>
      </c>
      <c r="R203" s="155">
        <v>0</v>
      </c>
      <c r="S203" s="158">
        <v>0</v>
      </c>
      <c r="T203" s="155">
        <v>0</v>
      </c>
      <c r="U203" s="157">
        <v>0</v>
      </c>
      <c r="V203" t="str">
        <f>VLOOKUP(A203,'Projetos ciclo 2018-2022'!$I$7:$I$318,1,FALSE)</f>
        <v>TI06518</v>
      </c>
    </row>
    <row r="204" spans="1:22" x14ac:dyDescent="0.25">
      <c r="A204" s="149" t="s">
        <v>1798</v>
      </c>
      <c r="B204" s="150"/>
      <c r="C204" s="150"/>
      <c r="D204" s="151">
        <v>0</v>
      </c>
      <c r="E204" s="152">
        <v>0</v>
      </c>
      <c r="F204" s="151">
        <v>0</v>
      </c>
      <c r="G204" s="152">
        <v>12</v>
      </c>
      <c r="H204" s="151">
        <v>0</v>
      </c>
      <c r="I204" s="152">
        <v>0</v>
      </c>
      <c r="J204" s="151">
        <v>0</v>
      </c>
      <c r="K204" s="152">
        <v>0</v>
      </c>
      <c r="L204" s="151">
        <v>11</v>
      </c>
      <c r="M204" s="152">
        <v>11</v>
      </c>
      <c r="N204" s="151">
        <v>0</v>
      </c>
      <c r="O204" s="152">
        <v>0</v>
      </c>
      <c r="P204" s="151">
        <v>0</v>
      </c>
      <c r="Q204" s="152">
        <v>0</v>
      </c>
      <c r="R204" s="151">
        <v>0</v>
      </c>
      <c r="S204" s="152">
        <v>0</v>
      </c>
      <c r="T204" s="151">
        <v>0</v>
      </c>
      <c r="U204" s="153">
        <v>0</v>
      </c>
      <c r="V204" t="str">
        <f>VLOOKUP(A204,'Projetos ciclo 2018-2022'!$I$7:$I$318,1,FALSE)</f>
        <v>TI06718</v>
      </c>
    </row>
    <row r="205" spans="1:22" x14ac:dyDescent="0.25">
      <c r="A205" s="21" t="s">
        <v>1800</v>
      </c>
      <c r="B205" s="154"/>
      <c r="C205" s="154"/>
      <c r="D205" s="155">
        <v>0</v>
      </c>
      <c r="E205" s="158">
        <v>0</v>
      </c>
      <c r="F205" s="155">
        <v>0</v>
      </c>
      <c r="G205" s="158">
        <v>99</v>
      </c>
      <c r="H205" s="155">
        <v>0</v>
      </c>
      <c r="I205" s="158">
        <v>0</v>
      </c>
      <c r="J205" s="155">
        <v>0</v>
      </c>
      <c r="K205" s="158">
        <v>0</v>
      </c>
      <c r="L205" s="155">
        <v>99.022499084472656</v>
      </c>
      <c r="M205" s="158">
        <v>99.022499084472656</v>
      </c>
      <c r="N205" s="155">
        <v>0</v>
      </c>
      <c r="O205" s="158">
        <v>0</v>
      </c>
      <c r="P205" s="155">
        <v>0</v>
      </c>
      <c r="Q205" s="158">
        <v>0</v>
      </c>
      <c r="R205" s="155">
        <v>0</v>
      </c>
      <c r="S205" s="158">
        <v>0</v>
      </c>
      <c r="T205" s="155">
        <v>0</v>
      </c>
      <c r="U205" s="157">
        <v>0</v>
      </c>
      <c r="V205" t="str">
        <f>VLOOKUP(A205,'Projetos ciclo 2018-2022'!$I$7:$I$318,1,FALSE)</f>
        <v>TI07018</v>
      </c>
    </row>
    <row r="206" spans="1:22" x14ac:dyDescent="0.25">
      <c r="A206" s="149" t="s">
        <v>1915</v>
      </c>
      <c r="B206" s="150"/>
      <c r="C206" s="150"/>
      <c r="D206" s="151">
        <v>0</v>
      </c>
      <c r="E206" s="152">
        <v>0</v>
      </c>
      <c r="F206" s="151">
        <v>0</v>
      </c>
      <c r="G206" s="152">
        <v>69</v>
      </c>
      <c r="H206" s="151">
        <v>0</v>
      </c>
      <c r="I206" s="152">
        <v>0</v>
      </c>
      <c r="J206" s="151">
        <v>0</v>
      </c>
      <c r="K206" s="152">
        <v>0</v>
      </c>
      <c r="L206" s="151">
        <v>0</v>
      </c>
      <c r="M206" s="152">
        <v>0</v>
      </c>
      <c r="N206" s="151">
        <v>0</v>
      </c>
      <c r="O206" s="152">
        <v>0</v>
      </c>
      <c r="P206" s="151">
        <v>0</v>
      </c>
      <c r="Q206" s="152">
        <v>0</v>
      </c>
      <c r="R206" s="151">
        <v>0</v>
      </c>
      <c r="S206" s="152">
        <v>0</v>
      </c>
      <c r="T206" s="151">
        <v>0</v>
      </c>
      <c r="U206" s="153">
        <v>0</v>
      </c>
      <c r="V206" t="str">
        <f>VLOOKUP(A206,'Projetos ciclo 2018-2022'!$I$7:$I$318,1,FALSE)</f>
        <v>TI07418</v>
      </c>
    </row>
    <row r="207" spans="1:22" x14ac:dyDescent="0.25">
      <c r="A207" s="21" t="s">
        <v>1918</v>
      </c>
      <c r="B207" s="154"/>
      <c r="C207" s="154"/>
      <c r="D207" s="155">
        <v>0</v>
      </c>
      <c r="E207" s="158">
        <v>0</v>
      </c>
      <c r="F207" s="155">
        <v>0</v>
      </c>
      <c r="G207" s="158">
        <v>485</v>
      </c>
      <c r="H207" s="155">
        <v>0</v>
      </c>
      <c r="I207" s="158">
        <v>0</v>
      </c>
      <c r="J207" s="155">
        <v>0</v>
      </c>
      <c r="K207" s="158">
        <v>0</v>
      </c>
      <c r="L207" s="155">
        <v>485</v>
      </c>
      <c r="M207" s="158">
        <v>485</v>
      </c>
      <c r="N207" s="155">
        <v>0</v>
      </c>
      <c r="O207" s="158">
        <v>0</v>
      </c>
      <c r="P207" s="155">
        <v>0</v>
      </c>
      <c r="Q207" s="158">
        <v>0</v>
      </c>
      <c r="R207" s="155">
        <v>0</v>
      </c>
      <c r="S207" s="158">
        <v>0</v>
      </c>
      <c r="T207" s="155">
        <v>0</v>
      </c>
      <c r="U207" s="157">
        <v>0</v>
      </c>
      <c r="V207" t="str">
        <f>VLOOKUP(A207,'Projetos ciclo 2018-2022'!$I$7:$I$318,1,FALSE)</f>
        <v>TI07518</v>
      </c>
    </row>
    <row r="208" spans="1:22" x14ac:dyDescent="0.25">
      <c r="A208" s="149" t="s">
        <v>1947</v>
      </c>
      <c r="B208" s="150"/>
      <c r="C208" s="150"/>
      <c r="D208" s="151">
        <v>0</v>
      </c>
      <c r="E208" s="152">
        <v>0</v>
      </c>
      <c r="F208" s="151">
        <v>0</v>
      </c>
      <c r="G208" s="152">
        <v>115</v>
      </c>
      <c r="H208" s="151">
        <v>0</v>
      </c>
      <c r="I208" s="152">
        <v>0</v>
      </c>
      <c r="J208" s="151">
        <v>0</v>
      </c>
      <c r="K208" s="152">
        <v>0</v>
      </c>
      <c r="L208" s="151">
        <v>114.364501953125</v>
      </c>
      <c r="M208" s="152">
        <v>114.364501953125</v>
      </c>
      <c r="N208" s="151">
        <v>0</v>
      </c>
      <c r="O208" s="152">
        <v>0</v>
      </c>
      <c r="P208" s="151">
        <v>0</v>
      </c>
      <c r="Q208" s="152">
        <v>0</v>
      </c>
      <c r="R208" s="151">
        <v>0</v>
      </c>
      <c r="S208" s="152">
        <v>0</v>
      </c>
      <c r="T208" s="151">
        <v>0</v>
      </c>
      <c r="U208" s="153">
        <v>0</v>
      </c>
      <c r="V208" t="str">
        <f>VLOOKUP(A208,'Projetos ciclo 2018-2022'!$I$7:$I$318,1,FALSE)</f>
        <v>TI08218</v>
      </c>
    </row>
    <row r="209" spans="1:22" x14ac:dyDescent="0.25">
      <c r="A209" s="21" t="s">
        <v>1980</v>
      </c>
      <c r="B209" s="154"/>
      <c r="C209" s="154"/>
      <c r="D209" s="155">
        <v>0</v>
      </c>
      <c r="E209" s="158">
        <v>0</v>
      </c>
      <c r="F209" s="155">
        <v>0</v>
      </c>
      <c r="G209" s="158">
        <v>50</v>
      </c>
      <c r="H209" s="155">
        <v>0</v>
      </c>
      <c r="I209" s="158">
        <v>0</v>
      </c>
      <c r="J209" s="155">
        <v>0</v>
      </c>
      <c r="K209" s="158">
        <v>0</v>
      </c>
      <c r="L209" s="155">
        <v>50</v>
      </c>
      <c r="M209" s="158">
        <v>50</v>
      </c>
      <c r="N209" s="155">
        <v>0</v>
      </c>
      <c r="O209" s="158">
        <v>0</v>
      </c>
      <c r="P209" s="155">
        <v>0</v>
      </c>
      <c r="Q209" s="158">
        <v>0</v>
      </c>
      <c r="R209" s="155">
        <v>0</v>
      </c>
      <c r="S209" s="158">
        <v>0</v>
      </c>
      <c r="T209" s="155">
        <v>0</v>
      </c>
      <c r="U209" s="157">
        <v>0</v>
      </c>
      <c r="V209" t="str">
        <f>VLOOKUP(A209,'Projetos ciclo 2018-2022'!$I$7:$I$318,1,FALSE)</f>
        <v>TI08318</v>
      </c>
    </row>
    <row r="210" spans="1:22" x14ac:dyDescent="0.25">
      <c r="A210" s="149" t="s">
        <v>2002</v>
      </c>
      <c r="B210" s="150"/>
      <c r="C210" s="150"/>
      <c r="D210" s="151">
        <v>0</v>
      </c>
      <c r="E210" s="152">
        <v>0</v>
      </c>
      <c r="F210" s="151">
        <v>0</v>
      </c>
      <c r="G210" s="152">
        <v>50</v>
      </c>
      <c r="H210" s="151">
        <v>0</v>
      </c>
      <c r="I210" s="152">
        <v>0</v>
      </c>
      <c r="J210" s="151">
        <v>0</v>
      </c>
      <c r="K210" s="152">
        <v>0</v>
      </c>
      <c r="L210" s="151">
        <v>49.999950408935547</v>
      </c>
      <c r="M210" s="152">
        <v>49.999950408935547</v>
      </c>
      <c r="N210" s="151">
        <v>0</v>
      </c>
      <c r="O210" s="152">
        <v>0</v>
      </c>
      <c r="P210" s="151">
        <v>0</v>
      </c>
      <c r="Q210" s="152">
        <v>0</v>
      </c>
      <c r="R210" s="151">
        <v>0</v>
      </c>
      <c r="S210" s="152">
        <v>0</v>
      </c>
      <c r="T210" s="151">
        <v>0</v>
      </c>
      <c r="U210" s="153">
        <v>0</v>
      </c>
      <c r="V210" t="str">
        <f>VLOOKUP(A210,'Projetos ciclo 2018-2022'!$I$7:$I$318,1,FALSE)</f>
        <v>TI08418</v>
      </c>
    </row>
    <row r="211" spans="1:22" x14ac:dyDescent="0.25">
      <c r="A211" s="21" t="s">
        <v>2018</v>
      </c>
      <c r="B211" s="154"/>
      <c r="C211" s="154"/>
      <c r="D211" s="155">
        <v>0</v>
      </c>
      <c r="E211" s="158">
        <v>0</v>
      </c>
      <c r="F211" s="155">
        <v>0</v>
      </c>
      <c r="G211" s="158">
        <v>200</v>
      </c>
      <c r="H211" s="155">
        <v>0</v>
      </c>
      <c r="I211" s="158">
        <v>0</v>
      </c>
      <c r="J211" s="155">
        <v>0</v>
      </c>
      <c r="K211" s="158">
        <v>0</v>
      </c>
      <c r="L211" s="155">
        <v>200.10000610351562</v>
      </c>
      <c r="M211" s="158">
        <v>200.10000610351562</v>
      </c>
      <c r="N211" s="155">
        <v>0</v>
      </c>
      <c r="O211" s="158">
        <v>0</v>
      </c>
      <c r="P211" s="155">
        <v>0</v>
      </c>
      <c r="Q211" s="158">
        <v>0</v>
      </c>
      <c r="R211" s="155">
        <v>0</v>
      </c>
      <c r="S211" s="158">
        <v>0</v>
      </c>
      <c r="T211" s="155">
        <v>0</v>
      </c>
      <c r="U211" s="157">
        <v>0</v>
      </c>
      <c r="V211" t="str">
        <f>VLOOKUP(A211,'Projetos ciclo 2018-2022'!$I$7:$I$318,1,FALSE)</f>
        <v>TI08518</v>
      </c>
    </row>
    <row r="212" spans="1:22" x14ac:dyDescent="0.25">
      <c r="A212" s="149" t="s">
        <v>2058</v>
      </c>
      <c r="B212" s="150"/>
      <c r="C212" s="150"/>
      <c r="D212" s="151">
        <v>0</v>
      </c>
      <c r="E212" s="152">
        <v>0</v>
      </c>
      <c r="F212" s="151">
        <v>0</v>
      </c>
      <c r="G212" s="152">
        <v>2400</v>
      </c>
      <c r="H212" s="151">
        <v>0</v>
      </c>
      <c r="I212" s="152">
        <v>0</v>
      </c>
      <c r="J212" s="151">
        <v>0</v>
      </c>
      <c r="K212" s="152">
        <v>0</v>
      </c>
      <c r="L212" s="151">
        <v>0</v>
      </c>
      <c r="M212" s="152">
        <v>0</v>
      </c>
      <c r="N212" s="151">
        <v>0</v>
      </c>
      <c r="O212" s="152">
        <v>0</v>
      </c>
      <c r="P212" s="151">
        <v>0</v>
      </c>
      <c r="Q212" s="152">
        <v>0</v>
      </c>
      <c r="R212" s="151">
        <v>0</v>
      </c>
      <c r="S212" s="152">
        <v>0</v>
      </c>
      <c r="T212" s="151">
        <v>0</v>
      </c>
      <c r="U212" s="153">
        <v>0</v>
      </c>
      <c r="V212" t="e">
        <f>VLOOKUP(A212,'Projetos ciclo 2018-2022'!$I$7:$I$318,1,FALSE)</f>
        <v>#N/A</v>
      </c>
    </row>
    <row r="213" spans="1:22" x14ac:dyDescent="0.25">
      <c r="A213" s="21" t="s">
        <v>2060</v>
      </c>
      <c r="B213" s="154"/>
      <c r="C213" s="154"/>
      <c r="D213" s="155">
        <v>0</v>
      </c>
      <c r="E213" s="158">
        <v>0</v>
      </c>
      <c r="F213" s="155">
        <v>0</v>
      </c>
      <c r="G213" s="158">
        <v>0</v>
      </c>
      <c r="H213" s="155">
        <v>0</v>
      </c>
      <c r="I213" s="158">
        <v>0</v>
      </c>
      <c r="J213" s="155">
        <v>0</v>
      </c>
      <c r="K213" s="158">
        <v>0</v>
      </c>
      <c r="L213" s="155">
        <v>0</v>
      </c>
      <c r="M213" s="158">
        <v>0</v>
      </c>
      <c r="N213" s="155">
        <v>0</v>
      </c>
      <c r="O213" s="158">
        <v>0</v>
      </c>
      <c r="P213" s="155">
        <v>0</v>
      </c>
      <c r="Q213" s="158">
        <v>0</v>
      </c>
      <c r="R213" s="155">
        <v>0</v>
      </c>
      <c r="S213" s="158">
        <v>0</v>
      </c>
      <c r="T213" s="155">
        <v>0</v>
      </c>
      <c r="U213" s="157">
        <v>0</v>
      </c>
      <c r="V213" t="e">
        <f>VLOOKUP(A213,'Projetos ciclo 2018-2022'!$I$7:$I$318,1,FALSE)</f>
        <v>#N/A</v>
      </c>
    </row>
    <row r="214" spans="1:22" x14ac:dyDescent="0.25">
      <c r="A214" s="149" t="s">
        <v>1194</v>
      </c>
      <c r="B214" s="150"/>
      <c r="C214" s="150"/>
      <c r="D214" s="151">
        <v>0</v>
      </c>
      <c r="E214" s="152">
        <v>0</v>
      </c>
      <c r="F214" s="151">
        <v>0</v>
      </c>
      <c r="G214" s="152">
        <v>0</v>
      </c>
      <c r="H214" s="151">
        <v>0</v>
      </c>
      <c r="I214" s="152">
        <v>0</v>
      </c>
      <c r="J214" s="151">
        <v>0</v>
      </c>
      <c r="K214" s="152">
        <v>0</v>
      </c>
      <c r="L214" s="151">
        <v>0</v>
      </c>
      <c r="M214" s="152">
        <v>0</v>
      </c>
      <c r="N214" s="151">
        <v>0</v>
      </c>
      <c r="O214" s="152">
        <v>0</v>
      </c>
      <c r="P214" s="151">
        <v>0</v>
      </c>
      <c r="Q214" s="152">
        <v>0</v>
      </c>
      <c r="R214" s="151">
        <v>0</v>
      </c>
      <c r="S214" s="152">
        <v>0</v>
      </c>
      <c r="T214" s="151">
        <v>0</v>
      </c>
      <c r="U214" s="153">
        <v>0</v>
      </c>
      <c r="V214" t="e">
        <f>VLOOKUP(A214,'Projetos ciclo 2018-2022'!$I$7:$I$318,1,FALSE)</f>
        <v>#N/A</v>
      </c>
    </row>
    <row r="215" spans="1:22" x14ac:dyDescent="0.25">
      <c r="A215" s="21" t="s">
        <v>1196</v>
      </c>
      <c r="B215" s="154"/>
      <c r="C215" s="154"/>
      <c r="D215" s="155">
        <v>0</v>
      </c>
      <c r="E215" s="158">
        <v>0</v>
      </c>
      <c r="F215" s="155">
        <v>0</v>
      </c>
      <c r="G215" s="158">
        <v>0</v>
      </c>
      <c r="H215" s="155">
        <v>0</v>
      </c>
      <c r="I215" s="158">
        <v>0</v>
      </c>
      <c r="J215" s="155">
        <v>0</v>
      </c>
      <c r="K215" s="158">
        <v>0</v>
      </c>
      <c r="L215" s="155">
        <v>0</v>
      </c>
      <c r="M215" s="158">
        <v>0</v>
      </c>
      <c r="N215" s="155">
        <v>0</v>
      </c>
      <c r="O215" s="158">
        <v>0</v>
      </c>
      <c r="P215" s="155">
        <v>0</v>
      </c>
      <c r="Q215" s="158">
        <v>0</v>
      </c>
      <c r="R215" s="155">
        <v>0</v>
      </c>
      <c r="S215" s="158">
        <v>0</v>
      </c>
      <c r="T215" s="155">
        <v>0</v>
      </c>
      <c r="U215" s="157">
        <v>0</v>
      </c>
      <c r="V215" t="e">
        <f>VLOOKUP(A215,'Projetos ciclo 2018-2022'!$I$7:$I$318,1,FALSE)</f>
        <v>#N/A</v>
      </c>
    </row>
    <row r="216" spans="1:22" x14ac:dyDescent="0.25">
      <c r="A216" s="149" t="s">
        <v>1393</v>
      </c>
      <c r="B216" s="150"/>
      <c r="C216" s="150"/>
      <c r="D216" s="151">
        <v>1746</v>
      </c>
      <c r="E216" s="152">
        <v>0</v>
      </c>
      <c r="F216" s="151">
        <v>90</v>
      </c>
      <c r="G216" s="152">
        <v>0</v>
      </c>
      <c r="H216" s="151">
        <v>0</v>
      </c>
      <c r="I216" s="152">
        <v>0</v>
      </c>
      <c r="J216" s="151">
        <v>0</v>
      </c>
      <c r="K216" s="152">
        <v>0</v>
      </c>
      <c r="L216" s="151">
        <v>0</v>
      </c>
      <c r="M216" s="152">
        <v>0</v>
      </c>
      <c r="N216" s="151">
        <v>1656</v>
      </c>
      <c r="O216" s="152">
        <v>0</v>
      </c>
      <c r="P216" s="151">
        <v>0</v>
      </c>
      <c r="Q216" s="152">
        <v>0</v>
      </c>
      <c r="R216" s="151">
        <v>0</v>
      </c>
      <c r="S216" s="152">
        <v>0</v>
      </c>
      <c r="T216" s="151">
        <v>0</v>
      </c>
      <c r="U216" s="153">
        <v>0</v>
      </c>
      <c r="V216" t="e">
        <f>VLOOKUP(A216,'Projetos ciclo 2018-2022'!$I$7:$I$318,1,FALSE)</f>
        <v>#N/A</v>
      </c>
    </row>
    <row r="217" spans="1:22" x14ac:dyDescent="0.25">
      <c r="A217" s="21" t="s">
        <v>1426</v>
      </c>
      <c r="B217" s="154"/>
      <c r="C217" s="154"/>
      <c r="D217" s="155">
        <v>0</v>
      </c>
      <c r="E217" s="158">
        <v>0</v>
      </c>
      <c r="F217" s="155">
        <v>0</v>
      </c>
      <c r="G217" s="158">
        <v>0</v>
      </c>
      <c r="H217" s="155">
        <v>0</v>
      </c>
      <c r="I217" s="158">
        <v>0</v>
      </c>
      <c r="J217" s="155">
        <v>0</v>
      </c>
      <c r="K217" s="158">
        <v>0</v>
      </c>
      <c r="L217" s="155">
        <v>0</v>
      </c>
      <c r="M217" s="158">
        <v>0</v>
      </c>
      <c r="N217" s="155">
        <v>0</v>
      </c>
      <c r="O217" s="158">
        <v>0</v>
      </c>
      <c r="P217" s="155">
        <v>0</v>
      </c>
      <c r="Q217" s="158">
        <v>0</v>
      </c>
      <c r="R217" s="155">
        <v>0</v>
      </c>
      <c r="S217" s="158">
        <v>0</v>
      </c>
      <c r="T217" s="155">
        <v>0</v>
      </c>
      <c r="U217" s="157">
        <v>0</v>
      </c>
      <c r="V217" t="str">
        <f>VLOOKUP(A217,'Projetos ciclo 2018-2022'!$I$7:$I$318,1,FALSE)</f>
        <v>MD00218</v>
      </c>
    </row>
    <row r="218" spans="1:22" x14ac:dyDescent="0.25">
      <c r="A218" s="149" t="s">
        <v>2037</v>
      </c>
      <c r="B218" s="150"/>
      <c r="C218" s="150"/>
      <c r="D218" s="151">
        <v>0</v>
      </c>
      <c r="E218" s="152">
        <v>0</v>
      </c>
      <c r="F218" s="151">
        <v>0</v>
      </c>
      <c r="G218" s="152">
        <v>90</v>
      </c>
      <c r="H218" s="151">
        <v>0</v>
      </c>
      <c r="I218" s="152">
        <v>0</v>
      </c>
      <c r="J218" s="151">
        <v>0</v>
      </c>
      <c r="K218" s="152">
        <v>0</v>
      </c>
      <c r="L218" s="151">
        <v>0</v>
      </c>
      <c r="M218" s="152">
        <v>0</v>
      </c>
      <c r="N218" s="151">
        <v>0</v>
      </c>
      <c r="O218" s="152">
        <v>0</v>
      </c>
      <c r="P218" s="151">
        <v>0</v>
      </c>
      <c r="Q218" s="152">
        <v>0</v>
      </c>
      <c r="R218" s="151">
        <v>0</v>
      </c>
      <c r="S218" s="152">
        <v>0</v>
      </c>
      <c r="T218" s="151">
        <v>0</v>
      </c>
      <c r="U218" s="153">
        <v>0</v>
      </c>
      <c r="V218" t="str">
        <f>VLOOKUP(A218,'Projetos ciclo 2018-2022'!$I$7:$I$318,1,FALSE)</f>
        <v>MD00418</v>
      </c>
    </row>
    <row r="219" spans="1:22" x14ac:dyDescent="0.25">
      <c r="A219" s="21" t="s">
        <v>565</v>
      </c>
      <c r="B219" s="154"/>
      <c r="C219" s="154"/>
      <c r="D219" s="155">
        <v>3710</v>
      </c>
      <c r="E219" s="158">
        <v>0</v>
      </c>
      <c r="F219" s="155">
        <v>0</v>
      </c>
      <c r="G219" s="158">
        <v>0</v>
      </c>
      <c r="H219" s="155">
        <v>0</v>
      </c>
      <c r="I219" s="158">
        <v>0</v>
      </c>
      <c r="J219" s="155">
        <v>0</v>
      </c>
      <c r="K219" s="158">
        <v>0</v>
      </c>
      <c r="L219" s="155">
        <v>0</v>
      </c>
      <c r="M219" s="158">
        <v>0</v>
      </c>
      <c r="N219" s="155">
        <v>208</v>
      </c>
      <c r="O219" s="158">
        <v>2982</v>
      </c>
      <c r="P219" s="155">
        <v>350</v>
      </c>
      <c r="Q219" s="158">
        <v>170</v>
      </c>
      <c r="R219" s="155">
        <v>0</v>
      </c>
      <c r="S219" s="158">
        <v>0</v>
      </c>
      <c r="T219" s="155">
        <v>0</v>
      </c>
      <c r="U219" s="157">
        <v>0</v>
      </c>
      <c r="V219" t="str">
        <f>VLOOKUP(A219,'Projetos ciclo 2018-2022'!$I$7:$I$318,1,FALSE)</f>
        <v>NA</v>
      </c>
    </row>
    <row r="220" spans="1:22" x14ac:dyDescent="0.25">
      <c r="A220" s="149" t="s">
        <v>1199</v>
      </c>
      <c r="B220" s="150"/>
      <c r="C220" s="150"/>
      <c r="D220" s="151">
        <v>3092</v>
      </c>
      <c r="E220" s="152">
        <v>0</v>
      </c>
      <c r="F220" s="151">
        <v>0</v>
      </c>
      <c r="G220" s="152">
        <v>0</v>
      </c>
      <c r="H220" s="151">
        <v>0</v>
      </c>
      <c r="I220" s="152">
        <v>0</v>
      </c>
      <c r="J220" s="151">
        <v>0</v>
      </c>
      <c r="K220" s="152">
        <v>0</v>
      </c>
      <c r="L220" s="151">
        <v>0</v>
      </c>
      <c r="M220" s="152">
        <v>0</v>
      </c>
      <c r="N220" s="151">
        <v>0</v>
      </c>
      <c r="O220" s="152">
        <v>0</v>
      </c>
      <c r="P220" s="151">
        <v>0</v>
      </c>
      <c r="Q220" s="152">
        <v>0</v>
      </c>
      <c r="R220" s="151">
        <v>0</v>
      </c>
      <c r="S220" s="152">
        <v>0</v>
      </c>
      <c r="T220" s="151">
        <v>0</v>
      </c>
      <c r="U220" s="153">
        <v>0</v>
      </c>
      <c r="V220" t="e">
        <f>VLOOKUP(A220,'Projetos ciclo 2018-2022'!$I$7:$I$318,1,FALSE)</f>
        <v>#N/A</v>
      </c>
    </row>
    <row r="221" spans="1:22" x14ac:dyDescent="0.25">
      <c r="A221" s="21" t="s">
        <v>1194</v>
      </c>
      <c r="B221" s="154"/>
      <c r="C221" s="154"/>
      <c r="D221" s="155">
        <v>0</v>
      </c>
      <c r="E221" s="158">
        <v>0</v>
      </c>
      <c r="F221" s="155">
        <v>0</v>
      </c>
      <c r="G221" s="158">
        <v>0</v>
      </c>
      <c r="H221" s="155">
        <v>0</v>
      </c>
      <c r="I221" s="158">
        <v>0</v>
      </c>
      <c r="J221" s="155">
        <v>0</v>
      </c>
      <c r="K221" s="158">
        <v>0</v>
      </c>
      <c r="L221" s="155">
        <v>0</v>
      </c>
      <c r="M221" s="158">
        <v>0</v>
      </c>
      <c r="N221" s="155">
        <v>0</v>
      </c>
      <c r="O221" s="158">
        <v>0</v>
      </c>
      <c r="P221" s="155">
        <v>0</v>
      </c>
      <c r="Q221" s="158">
        <v>0</v>
      </c>
      <c r="R221" s="155">
        <v>0</v>
      </c>
      <c r="S221" s="158">
        <v>0</v>
      </c>
      <c r="T221" s="155">
        <v>0</v>
      </c>
      <c r="U221" s="157">
        <v>0</v>
      </c>
      <c r="V221" t="e">
        <f>VLOOKUP(A221,'Projetos ciclo 2018-2022'!$I$7:$I$318,1,FALSE)</f>
        <v>#N/A</v>
      </c>
    </row>
    <row r="222" spans="1:22" x14ac:dyDescent="0.25">
      <c r="A222" s="149" t="s">
        <v>1196</v>
      </c>
      <c r="B222" s="150"/>
      <c r="C222" s="150"/>
      <c r="D222" s="151">
        <v>0</v>
      </c>
      <c r="E222" s="152">
        <v>0</v>
      </c>
      <c r="F222" s="151">
        <v>0</v>
      </c>
      <c r="G222" s="152">
        <v>0</v>
      </c>
      <c r="H222" s="151">
        <v>0</v>
      </c>
      <c r="I222" s="152">
        <v>0</v>
      </c>
      <c r="J222" s="151">
        <v>0</v>
      </c>
      <c r="K222" s="152">
        <v>0</v>
      </c>
      <c r="L222" s="151">
        <v>0</v>
      </c>
      <c r="M222" s="152">
        <v>0</v>
      </c>
      <c r="N222" s="151">
        <v>0</v>
      </c>
      <c r="O222" s="152">
        <v>0</v>
      </c>
      <c r="P222" s="151">
        <v>0</v>
      </c>
      <c r="Q222" s="152">
        <v>0</v>
      </c>
      <c r="R222" s="151">
        <v>0</v>
      </c>
      <c r="S222" s="152">
        <v>0</v>
      </c>
      <c r="T222" s="151">
        <v>0</v>
      </c>
      <c r="U222" s="153">
        <v>0</v>
      </c>
      <c r="V222" t="e">
        <f>VLOOKUP(A222,'Projetos ciclo 2018-2022'!$I$7:$I$318,1,FALSE)</f>
        <v>#N/A</v>
      </c>
    </row>
    <row r="223" spans="1:22" x14ac:dyDescent="0.25">
      <c r="A223" s="21" t="s">
        <v>565</v>
      </c>
      <c r="B223" s="154"/>
      <c r="C223" s="154"/>
      <c r="D223" s="155">
        <v>625</v>
      </c>
      <c r="E223" s="158">
        <v>0</v>
      </c>
      <c r="F223" s="155">
        <v>0</v>
      </c>
      <c r="G223" s="158">
        <v>0</v>
      </c>
      <c r="H223" s="155">
        <v>0</v>
      </c>
      <c r="I223" s="158">
        <v>0</v>
      </c>
      <c r="J223" s="155">
        <v>0</v>
      </c>
      <c r="K223" s="158">
        <v>0</v>
      </c>
      <c r="L223" s="155">
        <v>0</v>
      </c>
      <c r="M223" s="158">
        <v>0</v>
      </c>
      <c r="N223" s="155">
        <v>75</v>
      </c>
      <c r="O223" s="158">
        <v>150</v>
      </c>
      <c r="P223" s="155">
        <v>150</v>
      </c>
      <c r="Q223" s="158">
        <v>250</v>
      </c>
      <c r="R223" s="155">
        <v>0</v>
      </c>
      <c r="S223" s="158">
        <v>0</v>
      </c>
      <c r="T223" s="155">
        <v>0</v>
      </c>
      <c r="U223" s="157">
        <v>0</v>
      </c>
      <c r="V223" t="str">
        <f>VLOOKUP(A223,'Projetos ciclo 2018-2022'!$I$7:$I$318,1,FALSE)</f>
        <v>NA</v>
      </c>
    </row>
    <row r="224" spans="1:22" x14ac:dyDescent="0.25">
      <c r="A224" s="149" t="s">
        <v>1199</v>
      </c>
      <c r="B224" s="150"/>
      <c r="C224" s="150"/>
      <c r="D224" s="151">
        <v>0</v>
      </c>
      <c r="E224" s="152">
        <v>0</v>
      </c>
      <c r="F224" s="151">
        <v>0</v>
      </c>
      <c r="G224" s="152">
        <v>0</v>
      </c>
      <c r="H224" s="151">
        <v>0</v>
      </c>
      <c r="I224" s="152">
        <v>0</v>
      </c>
      <c r="J224" s="151">
        <v>0</v>
      </c>
      <c r="K224" s="152">
        <v>0</v>
      </c>
      <c r="L224" s="151">
        <v>0</v>
      </c>
      <c r="M224" s="152">
        <v>0</v>
      </c>
      <c r="N224" s="151">
        <v>0</v>
      </c>
      <c r="O224" s="152">
        <v>0</v>
      </c>
      <c r="P224" s="151">
        <v>0</v>
      </c>
      <c r="Q224" s="152">
        <v>0</v>
      </c>
      <c r="R224" s="151">
        <v>0</v>
      </c>
      <c r="S224" s="152">
        <v>0</v>
      </c>
      <c r="T224" s="151">
        <v>0</v>
      </c>
      <c r="U224" s="153">
        <v>0</v>
      </c>
      <c r="V224" t="e">
        <f>VLOOKUP(A224,'Projetos ciclo 2018-2022'!$I$7:$I$318,1,FALSE)</f>
        <v>#N/A</v>
      </c>
    </row>
    <row r="225" spans="1:21" x14ac:dyDescent="0.25">
      <c r="A225" s="21" t="s">
        <v>1397</v>
      </c>
      <c r="B225" s="154"/>
      <c r="C225" s="154"/>
      <c r="D225" s="155">
        <v>75</v>
      </c>
      <c r="E225" s="158">
        <v>0</v>
      </c>
      <c r="F225" s="155">
        <v>75</v>
      </c>
      <c r="G225" s="158">
        <v>0</v>
      </c>
      <c r="H225" s="155">
        <v>0</v>
      </c>
      <c r="I225" s="158">
        <v>0</v>
      </c>
      <c r="J225" s="155">
        <v>0</v>
      </c>
      <c r="K225" s="158">
        <v>0</v>
      </c>
      <c r="L225" s="155">
        <v>0</v>
      </c>
      <c r="M225" s="158">
        <v>0</v>
      </c>
      <c r="N225" s="155">
        <v>0</v>
      </c>
      <c r="O225" s="158">
        <v>0</v>
      </c>
      <c r="P225" s="155">
        <v>0</v>
      </c>
      <c r="Q225" s="158">
        <v>0</v>
      </c>
      <c r="R225" s="155">
        <v>0</v>
      </c>
      <c r="S225" s="158">
        <v>0</v>
      </c>
      <c r="T225" s="155">
        <v>0</v>
      </c>
      <c r="U225" s="157">
        <v>0</v>
      </c>
    </row>
    <row r="226" spans="1:21" x14ac:dyDescent="0.25">
      <c r="A226" s="149" t="s">
        <v>1482</v>
      </c>
      <c r="B226" s="150"/>
      <c r="C226" s="150"/>
      <c r="D226" s="151">
        <v>0</v>
      </c>
      <c r="E226" s="152">
        <v>0</v>
      </c>
      <c r="F226" s="151">
        <v>0</v>
      </c>
      <c r="G226" s="152">
        <v>75</v>
      </c>
      <c r="H226" s="151">
        <v>0</v>
      </c>
      <c r="I226" s="152">
        <v>0</v>
      </c>
      <c r="J226" s="151">
        <v>0</v>
      </c>
      <c r="K226" s="152">
        <v>0</v>
      </c>
      <c r="L226" s="151">
        <v>47.248001098632812</v>
      </c>
      <c r="M226" s="152">
        <v>47.248001098632812</v>
      </c>
      <c r="N226" s="151">
        <v>0</v>
      </c>
      <c r="O226" s="152">
        <v>0</v>
      </c>
      <c r="P226" s="151">
        <v>0</v>
      </c>
      <c r="Q226" s="152">
        <v>0</v>
      </c>
      <c r="R226" s="151">
        <v>0</v>
      </c>
      <c r="S226" s="152">
        <v>0</v>
      </c>
      <c r="T226" s="151">
        <v>0</v>
      </c>
      <c r="U226" s="153">
        <v>0</v>
      </c>
    </row>
    <row r="227" spans="1:21" x14ac:dyDescent="0.25">
      <c r="A227" s="21" t="s">
        <v>1194</v>
      </c>
      <c r="B227" s="154"/>
      <c r="C227" s="154"/>
      <c r="D227" s="155">
        <v>0</v>
      </c>
      <c r="E227" s="158">
        <v>0</v>
      </c>
      <c r="F227" s="155">
        <v>0</v>
      </c>
      <c r="G227" s="158">
        <v>0</v>
      </c>
      <c r="H227" s="155">
        <v>0</v>
      </c>
      <c r="I227" s="158">
        <v>0</v>
      </c>
      <c r="J227" s="155">
        <v>0</v>
      </c>
      <c r="K227" s="158">
        <v>0</v>
      </c>
      <c r="L227" s="155">
        <v>0</v>
      </c>
      <c r="M227" s="158">
        <v>0</v>
      </c>
      <c r="N227" s="155">
        <v>0</v>
      </c>
      <c r="O227" s="158">
        <v>0</v>
      </c>
      <c r="P227" s="155">
        <v>0</v>
      </c>
      <c r="Q227" s="158">
        <v>0</v>
      </c>
      <c r="R227" s="155">
        <v>0</v>
      </c>
      <c r="S227" s="158">
        <v>0</v>
      </c>
      <c r="T227" s="155">
        <v>0</v>
      </c>
      <c r="U227" s="157">
        <v>0</v>
      </c>
    </row>
    <row r="228" spans="1:21" x14ac:dyDescent="0.25">
      <c r="A228" s="149" t="s">
        <v>1196</v>
      </c>
      <c r="B228" s="150"/>
      <c r="C228" s="150"/>
      <c r="D228" s="151">
        <v>0</v>
      </c>
      <c r="E228" s="152">
        <v>0</v>
      </c>
      <c r="F228" s="151">
        <v>0</v>
      </c>
      <c r="G228" s="152">
        <v>0</v>
      </c>
      <c r="H228" s="151">
        <v>0</v>
      </c>
      <c r="I228" s="152">
        <v>0</v>
      </c>
      <c r="J228" s="151">
        <v>0</v>
      </c>
      <c r="K228" s="152">
        <v>0</v>
      </c>
      <c r="L228" s="151">
        <v>0</v>
      </c>
      <c r="M228" s="152">
        <v>0</v>
      </c>
      <c r="N228" s="151">
        <v>0</v>
      </c>
      <c r="O228" s="152">
        <v>0</v>
      </c>
      <c r="P228" s="151">
        <v>0</v>
      </c>
      <c r="Q228" s="152">
        <v>0</v>
      </c>
      <c r="R228" s="151">
        <v>0</v>
      </c>
      <c r="S228" s="152">
        <v>0</v>
      </c>
      <c r="T228" s="151">
        <v>0</v>
      </c>
      <c r="U228" s="153">
        <v>0</v>
      </c>
    </row>
    <row r="229" spans="1:21" ht="13.5" customHeight="1" x14ac:dyDescent="0.25">
      <c r="A229" s="21" t="s">
        <v>565</v>
      </c>
      <c r="B229" s="154"/>
      <c r="C229" s="154"/>
      <c r="D229" s="155">
        <v>571</v>
      </c>
      <c r="E229" s="158">
        <v>0</v>
      </c>
      <c r="F229" s="155">
        <v>0</v>
      </c>
      <c r="G229" s="158">
        <v>0</v>
      </c>
      <c r="H229" s="155">
        <v>0</v>
      </c>
      <c r="I229" s="158">
        <v>0</v>
      </c>
      <c r="J229" s="155">
        <v>0</v>
      </c>
      <c r="K229" s="158">
        <v>0</v>
      </c>
      <c r="L229" s="155">
        <v>0</v>
      </c>
      <c r="M229" s="158">
        <v>0</v>
      </c>
      <c r="N229" s="155">
        <v>135</v>
      </c>
      <c r="O229" s="158">
        <v>136</v>
      </c>
      <c r="P229" s="155">
        <v>150</v>
      </c>
      <c r="Q229" s="158">
        <v>150</v>
      </c>
      <c r="R229" s="155">
        <v>0</v>
      </c>
      <c r="S229" s="158">
        <v>0</v>
      </c>
      <c r="T229" s="155">
        <v>0</v>
      </c>
      <c r="U229" s="157">
        <v>0</v>
      </c>
    </row>
    <row r="230" spans="1:21" x14ac:dyDescent="0.25">
      <c r="A230" s="149" t="s">
        <v>1199</v>
      </c>
      <c r="B230" s="150"/>
      <c r="C230" s="150"/>
      <c r="D230" s="151">
        <v>0</v>
      </c>
      <c r="E230" s="152">
        <v>0</v>
      </c>
      <c r="F230" s="151">
        <v>0</v>
      </c>
      <c r="G230" s="152">
        <v>0</v>
      </c>
      <c r="H230" s="151">
        <v>0</v>
      </c>
      <c r="I230" s="152">
        <v>0</v>
      </c>
      <c r="J230" s="151">
        <v>0</v>
      </c>
      <c r="K230" s="152">
        <v>0</v>
      </c>
      <c r="L230" s="151">
        <v>0</v>
      </c>
      <c r="M230" s="152">
        <v>0</v>
      </c>
      <c r="N230" s="151">
        <v>0</v>
      </c>
      <c r="O230" s="152">
        <v>0</v>
      </c>
      <c r="P230" s="151">
        <v>0</v>
      </c>
      <c r="Q230" s="152">
        <v>0</v>
      </c>
      <c r="R230" s="151">
        <v>0</v>
      </c>
      <c r="S230" s="152">
        <v>0</v>
      </c>
      <c r="T230" s="151">
        <v>0</v>
      </c>
      <c r="U230" s="153">
        <v>0</v>
      </c>
    </row>
    <row r="231" spans="1:21" x14ac:dyDescent="0.25">
      <c r="A231" s="21" t="s">
        <v>801</v>
      </c>
      <c r="B231" s="154"/>
      <c r="C231" s="154"/>
      <c r="D231" s="155">
        <v>0</v>
      </c>
      <c r="E231" s="158">
        <v>0</v>
      </c>
      <c r="F231" s="155">
        <v>0</v>
      </c>
      <c r="G231" s="158">
        <v>178</v>
      </c>
      <c r="H231" s="155">
        <v>0</v>
      </c>
      <c r="I231" s="158">
        <v>7.6050000190734863</v>
      </c>
      <c r="J231" s="155">
        <v>0</v>
      </c>
      <c r="K231" s="158">
        <v>7.6050000190734863</v>
      </c>
      <c r="L231" s="155">
        <v>0</v>
      </c>
      <c r="M231" s="158">
        <v>7.6050000190734863</v>
      </c>
      <c r="N231" s="155">
        <v>0</v>
      </c>
      <c r="O231" s="158">
        <v>0</v>
      </c>
      <c r="P231" s="155">
        <v>0</v>
      </c>
      <c r="Q231" s="158">
        <v>0</v>
      </c>
      <c r="R231" s="155">
        <v>0</v>
      </c>
      <c r="S231" s="158">
        <v>0</v>
      </c>
      <c r="T231" s="155">
        <v>0</v>
      </c>
      <c r="U231" s="157">
        <v>0</v>
      </c>
    </row>
    <row r="232" spans="1:21" x14ac:dyDescent="0.25">
      <c r="A232" s="149" t="s">
        <v>1397</v>
      </c>
      <c r="B232" s="150"/>
      <c r="C232" s="150"/>
      <c r="D232" s="151">
        <v>1318</v>
      </c>
      <c r="E232" s="152">
        <v>0</v>
      </c>
      <c r="F232" s="151">
        <v>1289</v>
      </c>
      <c r="G232" s="152">
        <v>0</v>
      </c>
      <c r="H232" s="151">
        <v>235</v>
      </c>
      <c r="I232" s="152">
        <v>0</v>
      </c>
      <c r="J232" s="151">
        <v>0</v>
      </c>
      <c r="K232" s="152">
        <v>0</v>
      </c>
      <c r="L232" s="151">
        <v>0</v>
      </c>
      <c r="M232" s="152">
        <v>0</v>
      </c>
      <c r="N232" s="151">
        <v>15</v>
      </c>
      <c r="O232" s="152">
        <v>14</v>
      </c>
      <c r="P232" s="151">
        <v>0</v>
      </c>
      <c r="Q232" s="152">
        <v>0</v>
      </c>
      <c r="R232" s="151">
        <v>0</v>
      </c>
      <c r="S232" s="152">
        <v>0</v>
      </c>
      <c r="T232" s="151">
        <v>0</v>
      </c>
      <c r="U232" s="153">
        <v>0</v>
      </c>
    </row>
    <row r="233" spans="1:21" x14ac:dyDescent="0.25">
      <c r="A233" s="21" t="s">
        <v>1802</v>
      </c>
      <c r="B233" s="154"/>
      <c r="C233" s="154"/>
      <c r="D233" s="155">
        <v>0</v>
      </c>
      <c r="E233" s="158">
        <v>0</v>
      </c>
      <c r="F233" s="155">
        <v>0</v>
      </c>
      <c r="G233" s="158">
        <v>15</v>
      </c>
      <c r="H233" s="155">
        <v>0</v>
      </c>
      <c r="I233" s="158">
        <v>0</v>
      </c>
      <c r="J233" s="155">
        <v>0</v>
      </c>
      <c r="K233" s="158">
        <v>0</v>
      </c>
      <c r="L233" s="155">
        <v>14.723099708557129</v>
      </c>
      <c r="M233" s="158">
        <v>14.723099708557129</v>
      </c>
      <c r="N233" s="155">
        <v>0</v>
      </c>
      <c r="O233" s="158">
        <v>0</v>
      </c>
      <c r="P233" s="155">
        <v>0</v>
      </c>
      <c r="Q233" s="158">
        <v>0</v>
      </c>
      <c r="R233" s="155">
        <v>0</v>
      </c>
      <c r="S233" s="158">
        <v>0</v>
      </c>
      <c r="T233" s="155">
        <v>0</v>
      </c>
      <c r="U233" s="157">
        <v>0</v>
      </c>
    </row>
    <row r="234" spans="1:21" x14ac:dyDescent="0.25">
      <c r="A234" s="149" t="s">
        <v>1921</v>
      </c>
      <c r="B234" s="150"/>
      <c r="C234" s="150"/>
      <c r="D234" s="151">
        <v>0</v>
      </c>
      <c r="E234" s="152">
        <v>0</v>
      </c>
      <c r="F234" s="151">
        <v>0</v>
      </c>
      <c r="G234" s="152">
        <v>55</v>
      </c>
      <c r="H234" s="151">
        <v>0</v>
      </c>
      <c r="I234" s="152">
        <v>0</v>
      </c>
      <c r="J234" s="151">
        <v>0</v>
      </c>
      <c r="K234" s="152">
        <v>0</v>
      </c>
      <c r="L234" s="151">
        <v>0</v>
      </c>
      <c r="M234" s="152">
        <v>0</v>
      </c>
      <c r="N234" s="151">
        <v>0</v>
      </c>
      <c r="O234" s="152">
        <v>0</v>
      </c>
      <c r="P234" s="151">
        <v>0</v>
      </c>
      <c r="Q234" s="152">
        <v>0</v>
      </c>
      <c r="R234" s="151">
        <v>0</v>
      </c>
      <c r="S234" s="152">
        <v>0</v>
      </c>
      <c r="T234" s="151">
        <v>0</v>
      </c>
      <c r="U234" s="153">
        <v>0</v>
      </c>
    </row>
    <row r="235" spans="1:21" x14ac:dyDescent="0.25">
      <c r="D235" s="117">
        <f>SUBTOTAL(9,D4:D234)</f>
        <v>356727.6</v>
      </c>
      <c r="E235" s="117">
        <f t="shared" ref="E235:U235" si="0">SUBTOTAL(9,E4:E234)</f>
        <v>0</v>
      </c>
      <c r="F235" s="117">
        <f t="shared" si="0"/>
        <v>77045</v>
      </c>
      <c r="G235" s="117">
        <f t="shared" si="0"/>
        <v>62922</v>
      </c>
      <c r="H235" s="117">
        <f t="shared" si="0"/>
        <v>24263</v>
      </c>
      <c r="I235" s="117">
        <f t="shared" si="0"/>
        <v>15202.927638351917</v>
      </c>
      <c r="J235" s="117">
        <f t="shared" si="0"/>
        <v>0</v>
      </c>
      <c r="K235" s="117">
        <f t="shared" si="0"/>
        <v>15202.927638351917</v>
      </c>
      <c r="L235" s="117">
        <f t="shared" si="0"/>
        <v>30123.272681761067</v>
      </c>
      <c r="M235" s="117">
        <f t="shared" si="0"/>
        <v>45326.200320112985</v>
      </c>
      <c r="N235" s="117">
        <f t="shared" si="0"/>
        <v>89792.5</v>
      </c>
      <c r="O235" s="117">
        <f t="shared" si="0"/>
        <v>81660</v>
      </c>
      <c r="P235" s="117">
        <f t="shared" si="0"/>
        <v>54136</v>
      </c>
      <c r="Q235" s="117">
        <f t="shared" si="0"/>
        <v>47400</v>
      </c>
      <c r="R235" s="117">
        <f t="shared" si="0"/>
        <v>0</v>
      </c>
      <c r="S235" s="117">
        <f t="shared" si="0"/>
        <v>0</v>
      </c>
      <c r="T235" s="117">
        <f t="shared" si="0"/>
        <v>0</v>
      </c>
      <c r="U235" s="117">
        <f t="shared" si="0"/>
        <v>0</v>
      </c>
    </row>
  </sheetData>
  <autoFilter ref="A2:V225"/>
  <mergeCells count="4">
    <mergeCell ref="A2:A3"/>
    <mergeCell ref="B2:B3"/>
    <mergeCell ref="C2:C3"/>
    <mergeCell ref="D2:D3"/>
  </mergeCells>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GL69"/>
  <sheetViews>
    <sheetView showGridLines="0" workbookViewId="0">
      <pane xSplit="1" ySplit="3" topLeftCell="B49" activePane="bottomRight" state="frozen"/>
      <selection pane="topRight" activeCell="B1" sqref="B1"/>
      <selection pane="bottomLeft" activeCell="A4" sqref="A4"/>
      <selection pane="bottomRight" activeCell="H75" sqref="H75"/>
    </sheetView>
  </sheetViews>
  <sheetFormatPr defaultRowHeight="15" outlineLevelCol="1" x14ac:dyDescent="0.25"/>
  <cols>
    <col min="1" max="1" width="9.140625" style="207"/>
    <col min="2" max="2" width="11" customWidth="1"/>
    <col min="3" max="3" width="10.7109375" bestFit="1" customWidth="1"/>
    <col min="8" max="8" width="22.140625" customWidth="1"/>
    <col min="9" max="9" width="40.85546875" customWidth="1"/>
    <col min="10" max="15" width="9.140625" hidden="1" customWidth="1"/>
    <col min="16" max="27" width="9.140625" customWidth="1" outlineLevel="1"/>
    <col min="29" max="39" width="9.140625" customWidth="1" outlineLevel="1"/>
    <col min="40" max="40" width="10.7109375" customWidth="1" outlineLevel="1"/>
    <col min="42" max="53" width="0" hidden="1" customWidth="1" outlineLevel="1"/>
    <col min="54" max="54" width="9.140625" collapsed="1"/>
    <col min="55" max="66" width="0" hidden="1" customWidth="1" outlineLevel="1"/>
    <col min="67" max="67" width="9.140625" collapsed="1"/>
    <col min="68" max="79" width="9.140625" hidden="1" customWidth="1" outlineLevel="1"/>
    <col min="80" max="80" width="9.140625" collapsed="1"/>
    <col min="81" max="81" width="11.85546875" customWidth="1"/>
  </cols>
  <sheetData>
    <row r="3" spans="1:194" s="1" customFormat="1" ht="44.25" customHeight="1" x14ac:dyDescent="0.25">
      <c r="A3" s="206"/>
      <c r="B3" s="27" t="s">
        <v>0</v>
      </c>
      <c r="C3" s="27" t="s">
        <v>1</v>
      </c>
      <c r="D3" s="31" t="s">
        <v>16</v>
      </c>
      <c r="E3" s="31" t="s">
        <v>17</v>
      </c>
      <c r="F3" s="31" t="s">
        <v>53</v>
      </c>
      <c r="G3" s="31" t="s">
        <v>562</v>
      </c>
      <c r="H3" s="31" t="s">
        <v>1155</v>
      </c>
      <c r="I3" s="27" t="s">
        <v>20</v>
      </c>
      <c r="J3" s="27" t="s">
        <v>2</v>
      </c>
      <c r="K3" s="31" t="s">
        <v>19</v>
      </c>
      <c r="L3" s="32" t="s">
        <v>24</v>
      </c>
      <c r="M3" s="32" t="s">
        <v>25</v>
      </c>
      <c r="N3" s="33" t="s">
        <v>18</v>
      </c>
      <c r="O3" s="35" t="s">
        <v>558</v>
      </c>
      <c r="P3" s="28">
        <v>43101</v>
      </c>
      <c r="Q3" s="28">
        <v>43132</v>
      </c>
      <c r="R3" s="28">
        <v>43160</v>
      </c>
      <c r="S3" s="28">
        <v>43191</v>
      </c>
      <c r="T3" s="28">
        <v>43221</v>
      </c>
      <c r="U3" s="28">
        <v>43252</v>
      </c>
      <c r="V3" s="28">
        <v>43282</v>
      </c>
      <c r="W3" s="28">
        <v>43313</v>
      </c>
      <c r="X3" s="28">
        <v>43344</v>
      </c>
      <c r="Y3" s="28">
        <v>43374</v>
      </c>
      <c r="Z3" s="28">
        <v>43405</v>
      </c>
      <c r="AA3" s="28">
        <v>43435</v>
      </c>
      <c r="AB3" s="139" t="s">
        <v>451</v>
      </c>
      <c r="AC3" s="29">
        <v>43466</v>
      </c>
      <c r="AD3" s="29">
        <v>43497</v>
      </c>
      <c r="AE3" s="29">
        <v>43525</v>
      </c>
      <c r="AF3" s="29">
        <v>43556</v>
      </c>
      <c r="AG3" s="29">
        <v>43586</v>
      </c>
      <c r="AH3" s="29">
        <v>43617</v>
      </c>
      <c r="AI3" s="29">
        <v>43647</v>
      </c>
      <c r="AJ3" s="29">
        <v>43678</v>
      </c>
      <c r="AK3" s="29">
        <v>43709</v>
      </c>
      <c r="AL3" s="29">
        <v>43739</v>
      </c>
      <c r="AM3" s="29">
        <v>43770</v>
      </c>
      <c r="AN3" s="29">
        <v>43800</v>
      </c>
      <c r="AO3" s="137" t="s">
        <v>452</v>
      </c>
      <c r="AP3" s="29">
        <v>43831</v>
      </c>
      <c r="AQ3" s="29">
        <v>43862</v>
      </c>
      <c r="AR3" s="29">
        <v>43891</v>
      </c>
      <c r="AS3" s="29">
        <v>43922</v>
      </c>
      <c r="AT3" s="29">
        <v>43952</v>
      </c>
      <c r="AU3" s="29">
        <v>43983</v>
      </c>
      <c r="AV3" s="29">
        <v>44013</v>
      </c>
      <c r="AW3" s="29">
        <v>44044</v>
      </c>
      <c r="AX3" s="29">
        <v>44075</v>
      </c>
      <c r="AY3" s="29">
        <v>44105</v>
      </c>
      <c r="AZ3" s="29">
        <v>44136</v>
      </c>
      <c r="BA3" s="29">
        <v>44166</v>
      </c>
      <c r="BB3" s="137" t="s">
        <v>453</v>
      </c>
      <c r="BC3" s="29">
        <v>44197</v>
      </c>
      <c r="BD3" s="29">
        <v>44228</v>
      </c>
      <c r="BE3" s="29">
        <v>44256</v>
      </c>
      <c r="BF3" s="29">
        <v>44287</v>
      </c>
      <c r="BG3" s="29">
        <v>44317</v>
      </c>
      <c r="BH3" s="29">
        <v>44348</v>
      </c>
      <c r="BI3" s="29">
        <v>44378</v>
      </c>
      <c r="BJ3" s="29">
        <v>44409</v>
      </c>
      <c r="BK3" s="29">
        <v>44440</v>
      </c>
      <c r="BL3" s="29">
        <v>44470</v>
      </c>
      <c r="BM3" s="29">
        <v>44501</v>
      </c>
      <c r="BN3" s="29">
        <v>44531</v>
      </c>
      <c r="BO3" s="137" t="s">
        <v>454</v>
      </c>
      <c r="BP3" s="29">
        <v>44562</v>
      </c>
      <c r="BQ3" s="29">
        <v>44593</v>
      </c>
      <c r="BR3" s="29">
        <v>44621</v>
      </c>
      <c r="BS3" s="29">
        <v>44652</v>
      </c>
      <c r="BT3" s="29">
        <v>44682</v>
      </c>
      <c r="BU3" s="29">
        <v>44713</v>
      </c>
      <c r="BV3" s="29">
        <v>44743</v>
      </c>
      <c r="BW3" s="29">
        <v>44774</v>
      </c>
      <c r="BX3" s="29">
        <v>44805</v>
      </c>
      <c r="BY3" s="29">
        <v>44835</v>
      </c>
      <c r="BZ3" s="29">
        <v>44866</v>
      </c>
      <c r="CA3" s="29">
        <v>44896</v>
      </c>
      <c r="CB3" s="138" t="s">
        <v>455</v>
      </c>
      <c r="CC3" s="113" t="s">
        <v>15</v>
      </c>
      <c r="CD3" s="39" t="s">
        <v>1033</v>
      </c>
      <c r="CF3" s="81" t="s">
        <v>23</v>
      </c>
      <c r="CG3" s="12" t="s">
        <v>3</v>
      </c>
      <c r="CH3" s="12" t="s">
        <v>4</v>
      </c>
      <c r="CI3" s="12" t="s">
        <v>5</v>
      </c>
      <c r="CJ3" s="12" t="s">
        <v>6</v>
      </c>
      <c r="CK3" s="12" t="s">
        <v>7</v>
      </c>
      <c r="CL3" s="12" t="s">
        <v>8</v>
      </c>
      <c r="CM3" s="12" t="s">
        <v>9</v>
      </c>
      <c r="CN3" s="12" t="s">
        <v>10</v>
      </c>
      <c r="CO3" s="12" t="s">
        <v>11</v>
      </c>
      <c r="CP3" s="12" t="s">
        <v>12</v>
      </c>
      <c r="CQ3" s="12" t="s">
        <v>13</v>
      </c>
      <c r="CR3" s="12" t="s">
        <v>21</v>
      </c>
      <c r="CS3" s="12" t="s">
        <v>451</v>
      </c>
      <c r="CT3" s="12" t="s">
        <v>3</v>
      </c>
      <c r="CU3" s="12" t="s">
        <v>4</v>
      </c>
      <c r="CV3" s="12" t="s">
        <v>5</v>
      </c>
      <c r="CW3" s="12" t="s">
        <v>6</v>
      </c>
      <c r="CX3" s="12" t="s">
        <v>7</v>
      </c>
      <c r="CY3" s="12" t="s">
        <v>8</v>
      </c>
      <c r="CZ3" s="12" t="s">
        <v>9</v>
      </c>
      <c r="DA3" s="12" t="s">
        <v>10</v>
      </c>
      <c r="DB3" s="12" t="s">
        <v>11</v>
      </c>
      <c r="DC3" s="12" t="s">
        <v>12</v>
      </c>
      <c r="DD3" s="12" t="s">
        <v>13</v>
      </c>
      <c r="DE3" s="12" t="s">
        <v>21</v>
      </c>
      <c r="DF3" s="12" t="s">
        <v>452</v>
      </c>
      <c r="DG3" s="12" t="s">
        <v>3</v>
      </c>
      <c r="DH3" s="12" t="s">
        <v>4</v>
      </c>
      <c r="DI3" s="12" t="s">
        <v>5</v>
      </c>
      <c r="DJ3" s="12" t="s">
        <v>6</v>
      </c>
      <c r="DK3" s="12" t="s">
        <v>7</v>
      </c>
      <c r="DL3" s="12" t="s">
        <v>8</v>
      </c>
      <c r="DM3" s="12" t="s">
        <v>9</v>
      </c>
      <c r="DN3" s="12" t="s">
        <v>10</v>
      </c>
      <c r="DO3" s="12" t="s">
        <v>11</v>
      </c>
      <c r="DP3" s="12" t="s">
        <v>12</v>
      </c>
      <c r="DQ3" s="12" t="s">
        <v>13</v>
      </c>
      <c r="DR3" s="12" t="s">
        <v>21</v>
      </c>
      <c r="DS3" s="12" t="s">
        <v>453</v>
      </c>
      <c r="DT3" s="12" t="s">
        <v>3</v>
      </c>
      <c r="DU3" s="12" t="s">
        <v>4</v>
      </c>
      <c r="DV3" s="12" t="s">
        <v>5</v>
      </c>
      <c r="DW3" s="12" t="s">
        <v>6</v>
      </c>
      <c r="DX3" s="12" t="s">
        <v>7</v>
      </c>
      <c r="DY3" s="12" t="s">
        <v>8</v>
      </c>
      <c r="DZ3" s="12" t="s">
        <v>9</v>
      </c>
      <c r="EA3" s="12" t="s">
        <v>10</v>
      </c>
      <c r="EB3" s="12" t="s">
        <v>11</v>
      </c>
      <c r="EC3" s="12" t="s">
        <v>12</v>
      </c>
      <c r="ED3" s="12" t="s">
        <v>13</v>
      </c>
      <c r="EE3" s="12" t="s">
        <v>21</v>
      </c>
      <c r="EF3" s="12" t="s">
        <v>454</v>
      </c>
      <c r="EG3" s="12" t="s">
        <v>3</v>
      </c>
      <c r="EH3" s="12" t="s">
        <v>4</v>
      </c>
      <c r="EI3" s="12" t="s">
        <v>5</v>
      </c>
      <c r="EJ3" s="12" t="s">
        <v>6</v>
      </c>
      <c r="EK3" s="12" t="s">
        <v>7</v>
      </c>
      <c r="EL3" s="12" t="s">
        <v>8</v>
      </c>
      <c r="EM3" s="12" t="s">
        <v>9</v>
      </c>
      <c r="EN3" s="12" t="s">
        <v>10</v>
      </c>
      <c r="EO3" s="12" t="s">
        <v>11</v>
      </c>
      <c r="EP3" s="12" t="s">
        <v>12</v>
      </c>
      <c r="EQ3" s="12" t="s">
        <v>13</v>
      </c>
      <c r="ER3" s="12" t="s">
        <v>21</v>
      </c>
      <c r="ES3" s="12" t="s">
        <v>455</v>
      </c>
      <c r="ET3" s="82" t="s">
        <v>15</v>
      </c>
      <c r="EV3" s="15" t="s">
        <v>49</v>
      </c>
      <c r="EW3" s="13">
        <v>2018</v>
      </c>
      <c r="EX3" s="13">
        <v>2019</v>
      </c>
      <c r="EY3" s="13">
        <v>2020</v>
      </c>
      <c r="EZ3" s="13">
        <v>2021</v>
      </c>
      <c r="FA3" s="13">
        <v>2022</v>
      </c>
      <c r="FB3" s="14" t="s">
        <v>15</v>
      </c>
      <c r="FC3" s="15" t="s">
        <v>50</v>
      </c>
      <c r="FD3" s="38" t="s">
        <v>27</v>
      </c>
      <c r="FE3" s="5">
        <v>2018</v>
      </c>
      <c r="FF3" s="5">
        <v>2019</v>
      </c>
      <c r="FG3" s="5">
        <v>2020</v>
      </c>
      <c r="FH3" s="5">
        <v>2021</v>
      </c>
      <c r="FI3" s="5">
        <v>2022</v>
      </c>
      <c r="FJ3" s="11" t="s">
        <v>15</v>
      </c>
      <c r="FK3" s="122"/>
      <c r="FL3" s="16" t="s">
        <v>51</v>
      </c>
      <c r="FM3" s="19" t="s">
        <v>48</v>
      </c>
      <c r="FN3" s="20">
        <v>2018</v>
      </c>
      <c r="FO3" s="20">
        <v>2019</v>
      </c>
      <c r="FP3" s="20">
        <v>2020</v>
      </c>
      <c r="FQ3" s="20">
        <v>2021</v>
      </c>
      <c r="FR3" s="20">
        <v>2022</v>
      </c>
      <c r="FS3" s="17" t="s">
        <v>15</v>
      </c>
      <c r="FT3" s="18" t="s">
        <v>27</v>
      </c>
      <c r="FU3" s="17" t="s">
        <v>978</v>
      </c>
      <c r="FV3" s="17" t="s">
        <v>979</v>
      </c>
      <c r="FW3" s="17" t="s">
        <v>1484</v>
      </c>
      <c r="FX3" s="17" t="s">
        <v>1526</v>
      </c>
      <c r="FY3" s="17" t="s">
        <v>980</v>
      </c>
      <c r="FZ3" s="17" t="s">
        <v>981</v>
      </c>
      <c r="GA3" s="17" t="s">
        <v>982</v>
      </c>
      <c r="GB3" s="17" t="s">
        <v>983</v>
      </c>
      <c r="GC3" s="17" t="s">
        <v>984</v>
      </c>
      <c r="GD3" s="17" t="s">
        <v>985</v>
      </c>
      <c r="GE3" s="17" t="s">
        <v>986</v>
      </c>
      <c r="GF3" s="17" t="s">
        <v>987</v>
      </c>
      <c r="GG3" s="17" t="s">
        <v>988</v>
      </c>
      <c r="GH3" s="17" t="s">
        <v>989</v>
      </c>
      <c r="GI3" s="17" t="s">
        <v>990</v>
      </c>
      <c r="GJ3" s="17" t="s">
        <v>991</v>
      </c>
      <c r="GK3" s="17" t="s">
        <v>992</v>
      </c>
      <c r="GL3" s="17" t="s">
        <v>993</v>
      </c>
    </row>
    <row r="4" spans="1:194" s="271" customFormat="1" ht="12.95" customHeight="1" x14ac:dyDescent="0.2">
      <c r="A4" s="540" t="s">
        <v>1530</v>
      </c>
      <c r="B4" s="253" t="s">
        <v>54</v>
      </c>
      <c r="C4" s="254" t="s">
        <v>29</v>
      </c>
      <c r="D4" s="253" t="s">
        <v>58</v>
      </c>
      <c r="E4" s="253" t="s">
        <v>56</v>
      </c>
      <c r="F4" s="254" t="s">
        <v>292</v>
      </c>
      <c r="G4" s="255" t="s">
        <v>59</v>
      </c>
      <c r="H4" s="255"/>
      <c r="I4" s="253" t="s">
        <v>1073</v>
      </c>
      <c r="J4" s="253" t="s">
        <v>297</v>
      </c>
      <c r="K4" s="253" t="s">
        <v>298</v>
      </c>
      <c r="L4" s="253" t="s">
        <v>299</v>
      </c>
      <c r="M4" s="253"/>
      <c r="N4" s="253" t="s">
        <v>296</v>
      </c>
      <c r="O4" s="256"/>
      <c r="P4" s="257"/>
      <c r="Q4" s="258"/>
      <c r="R4" s="258"/>
      <c r="S4" s="258"/>
      <c r="T4" s="258"/>
      <c r="U4" s="258"/>
      <c r="V4" s="258"/>
      <c r="W4" s="258">
        <v>127.5</v>
      </c>
      <c r="X4" s="258"/>
      <c r="Y4" s="258"/>
      <c r="Z4" s="258"/>
      <c r="AA4" s="258"/>
      <c r="AB4" s="259">
        <f t="shared" ref="AB4:AB5" si="0">SUM(P4:AA4)</f>
        <v>127.5</v>
      </c>
      <c r="AC4" s="258"/>
      <c r="AD4" s="258"/>
      <c r="AE4" s="258"/>
      <c r="AF4" s="258"/>
      <c r="AG4" s="258"/>
      <c r="AH4" s="258"/>
      <c r="AI4" s="258"/>
      <c r="AJ4" s="258"/>
      <c r="AK4" s="258"/>
      <c r="AL4" s="258"/>
      <c r="AM4" s="258"/>
      <c r="AN4" s="258"/>
      <c r="AO4" s="258">
        <f t="shared" ref="AO4:AO5" si="1">SUM(AC4:AN4)</f>
        <v>0</v>
      </c>
      <c r="AP4" s="258"/>
      <c r="AQ4" s="258"/>
      <c r="AR4" s="258"/>
      <c r="AS4" s="258"/>
      <c r="AT4" s="258"/>
      <c r="AU4" s="258"/>
      <c r="AV4" s="258"/>
      <c r="AW4" s="258"/>
      <c r="AX4" s="258">
        <v>82</v>
      </c>
      <c r="AY4" s="258"/>
      <c r="AZ4" s="258"/>
      <c r="BA4" s="258"/>
      <c r="BB4" s="258">
        <f t="shared" ref="BB4:BB5" si="2">SUM(AP4:BA4)</f>
        <v>82</v>
      </c>
      <c r="BC4" s="258"/>
      <c r="BD4" s="258"/>
      <c r="BE4" s="258"/>
      <c r="BF4" s="258"/>
      <c r="BG4" s="258"/>
      <c r="BH4" s="258"/>
      <c r="BI4" s="258"/>
      <c r="BJ4" s="258"/>
      <c r="BK4" s="258">
        <v>6.5000000000000002E-2</v>
      </c>
      <c r="BL4" s="258"/>
      <c r="BM4" s="258"/>
      <c r="BN4" s="258"/>
      <c r="BO4" s="258">
        <f t="shared" ref="BO4:BO5" si="3">SUM(BC4:BN4)</f>
        <v>6.5000000000000002E-2</v>
      </c>
      <c r="BP4" s="258"/>
      <c r="BQ4" s="258"/>
      <c r="BR4" s="258"/>
      <c r="BS4" s="258"/>
      <c r="BT4" s="258"/>
      <c r="BU4" s="258"/>
      <c r="BV4" s="258"/>
      <c r="BW4" s="258"/>
      <c r="BX4" s="258">
        <v>127.8</v>
      </c>
      <c r="BY4" s="258"/>
      <c r="BZ4" s="258"/>
      <c r="CA4" s="258"/>
      <c r="CB4" s="258">
        <f t="shared" ref="CB4:CB5" si="4">SUM(BP4:CA4)</f>
        <v>127.8</v>
      </c>
      <c r="CC4" s="345">
        <f t="shared" ref="CC4:CC67" si="5">SUM(CB4,BO4,BB4,AO4,AB4)</f>
        <v>337.36500000000001</v>
      </c>
      <c r="CD4" s="260"/>
      <c r="CE4" s="261"/>
      <c r="CF4" s="262" t="s">
        <v>73</v>
      </c>
      <c r="CG4" s="263"/>
      <c r="CH4" s="263"/>
      <c r="CI4" s="263"/>
      <c r="CJ4" s="263"/>
      <c r="CK4" s="263"/>
      <c r="CL4" s="263"/>
      <c r="CM4" s="263"/>
      <c r="CN4" s="263">
        <v>26</v>
      </c>
      <c r="CO4" s="263"/>
      <c r="CP4" s="263"/>
      <c r="CQ4" s="263"/>
      <c r="CR4" s="263"/>
      <c r="CS4" s="263">
        <f t="shared" ref="CS4:CS23" si="6">SUM(CG4:CR4)</f>
        <v>26</v>
      </c>
      <c r="CT4" s="263"/>
      <c r="CU4" s="263"/>
      <c r="CV4" s="263"/>
      <c r="CW4" s="263"/>
      <c r="CX4" s="263"/>
      <c r="CY4" s="263"/>
      <c r="CZ4" s="263"/>
      <c r="DA4" s="263"/>
      <c r="DB4" s="263"/>
      <c r="DC4" s="263"/>
      <c r="DD4" s="263"/>
      <c r="DE4" s="263"/>
      <c r="DF4" s="263">
        <f t="shared" ref="DF4:DF23" si="7">SUM(CT4:DE4)</f>
        <v>0</v>
      </c>
      <c r="DG4" s="263"/>
      <c r="DH4" s="263"/>
      <c r="DI4" s="263"/>
      <c r="DJ4" s="263"/>
      <c r="DK4" s="263"/>
      <c r="DL4" s="263"/>
      <c r="DM4" s="263"/>
      <c r="DN4" s="263"/>
      <c r="DO4" s="263"/>
      <c r="DP4" s="263"/>
      <c r="DQ4" s="263">
        <v>16</v>
      </c>
      <c r="DR4" s="263"/>
      <c r="DS4" s="263">
        <f t="shared" ref="DS4:DS23" si="8">SUM(DG4:DR4)</f>
        <v>16</v>
      </c>
      <c r="DT4" s="263"/>
      <c r="DU4" s="263"/>
      <c r="DV4" s="263"/>
      <c r="DW4" s="263"/>
      <c r="DX4" s="263"/>
      <c r="DY4" s="263"/>
      <c r="DZ4" s="263"/>
      <c r="EA4" s="263"/>
      <c r="EB4" s="263"/>
      <c r="EC4" s="263"/>
      <c r="ED4" s="263"/>
      <c r="EE4" s="263"/>
      <c r="EF4" s="263">
        <f t="shared" ref="EF4:EF23" si="9">SUM(DT4:EE4)</f>
        <v>0</v>
      </c>
      <c r="EG4" s="263"/>
      <c r="EH4" s="263"/>
      <c r="EI4" s="263"/>
      <c r="EJ4" s="263"/>
      <c r="EK4" s="263"/>
      <c r="EL4" s="263"/>
      <c r="EM4" s="263"/>
      <c r="EN4" s="263"/>
      <c r="EO4" s="263"/>
      <c r="EP4" s="263"/>
      <c r="EQ4" s="263">
        <v>26</v>
      </c>
      <c r="ER4" s="263"/>
      <c r="ES4" s="263">
        <f t="shared" ref="ES4:ES23" si="10">SUM(EG4:ER4)</f>
        <v>26</v>
      </c>
      <c r="ET4" s="264">
        <f t="shared" ref="ET4:ET23" si="11">SUM(ES4,EF4,DS4,DF4,CS4)</f>
        <v>68</v>
      </c>
      <c r="EU4" s="261"/>
      <c r="EV4" s="265"/>
      <c r="EW4" s="258"/>
      <c r="EX4" s="258"/>
      <c r="EY4" s="258"/>
      <c r="EZ4" s="258"/>
      <c r="FA4" s="258"/>
      <c r="FB4" s="258">
        <f t="shared" ref="FB4:FB5" si="12">SUM(EW4:FA4)</f>
        <v>0</v>
      </c>
      <c r="FC4" s="265"/>
      <c r="FD4" s="266"/>
      <c r="FE4" s="258"/>
      <c r="FF4" s="258"/>
      <c r="FG4" s="258"/>
      <c r="FH4" s="258"/>
      <c r="FI4" s="258"/>
      <c r="FJ4" s="258">
        <f t="shared" ref="FJ4:FJ8" si="13">SUM(FE4:FI4)</f>
        <v>0</v>
      </c>
      <c r="FK4" s="267"/>
      <c r="FL4" s="265"/>
      <c r="FM4" s="268"/>
      <c r="FN4" s="258"/>
      <c r="FO4" s="258"/>
      <c r="FP4" s="258"/>
      <c r="FQ4" s="258"/>
      <c r="FR4" s="258"/>
      <c r="FS4" s="258">
        <f t="shared" ref="FS4:FS8" si="14">SUM(FN4:FR4)</f>
        <v>0</v>
      </c>
      <c r="FT4" s="269"/>
      <c r="FU4" s="270">
        <v>0</v>
      </c>
      <c r="FV4" s="270">
        <v>0</v>
      </c>
      <c r="FW4" s="270">
        <f>IFERROR(VLOOKUP(G4,[2]CEI_032018!$A$1:$U$509,9,FALSE),0)</f>
        <v>0</v>
      </c>
      <c r="FX4" s="270">
        <f>IFERROR(VLOOKUP(G4,[2]CEI_042018!$A$1:$U$493,9,FALSE),0)</f>
        <v>0</v>
      </c>
      <c r="FY4" s="270"/>
      <c r="FZ4" s="270"/>
      <c r="GA4" s="270"/>
      <c r="GB4" s="270"/>
      <c r="GC4" s="270"/>
      <c r="GD4" s="270"/>
      <c r="GE4" s="270"/>
      <c r="GF4" s="270"/>
      <c r="GG4" s="270">
        <f t="shared" ref="GG4:GG23" si="15">SUM(FU4:GF4)</f>
        <v>0</v>
      </c>
      <c r="GH4" s="270">
        <f>IFERROR(VLOOKUP(G4,[2]CEI_042018!$A$1:$U$493,12,FALSE),0)</f>
        <v>0</v>
      </c>
      <c r="GI4" s="270">
        <f t="shared" ref="GI4:GI23" si="16">SUM(GG4:GH4)</f>
        <v>0</v>
      </c>
      <c r="GJ4" s="270">
        <f t="shared" ref="GJ4:GJ23" si="17">SUM(AB4-GI4)</f>
        <v>127.5</v>
      </c>
      <c r="GK4" s="270">
        <f>IFERROR(IF('[2]TESTE TESTE'!$Z$3=1,SUM(FU4),IF('[2]TESTE TESTE'!$Z$3=2,SUM(FU4:FV4),IF('[2]TESTE TESTE'!$Z$3=3,SUM(FU4:FW4),IF('[2]TESTE TESTE'!$Z$3=4,SUM(FU4:FX4),IF('[2]TESTE TESTE'!$Z$3=5,SUM(FU4:FY4),IF('[2]TESTE TESTE'!$Z$3=6,SUM(FU4:FZ4),IF('[2]TESTE TESTE'!$Z$3=7,SUM(FU4:GA4),IF('[2]TESTE TESTE'!$Z$3=8,SUM(FU4:GB4),IF('[2]TESTE TESTE'!$Z$3=9,SUM(FU4:GC4),IF('[2]TESTE TESTE'!$Z$3=10,SUM(FU4:GD4),IF('[2]TESTE TESTE'!$Z$3=11,SUM(FU4:GE4),IF('[2]TESTE TESTE'!$Z$3=12,SUM(FU4:GF4,))))))))))))),"")</f>
        <v>0</v>
      </c>
      <c r="GL4" s="270">
        <f>IFERROR(IF('[2]TESTE TESTE'!$Z$3=1,SUM(P4),IF('[2]TESTE TESTE'!$Z$3=2,SUM(P4:Q4),IF('[2]TESTE TESTE'!$Z$3=3,SUM(P4:R4),IF('[2]TESTE TESTE'!$Z$3=4,SUM(P4:S4),IF('[2]TESTE TESTE'!$Z$3=5,SUM(P4:T4),IF('[2]TESTE TESTE'!$Z$3=6,SUM(P4:U4),IF('[2]TESTE TESTE'!$Z$3=7,SUM(P4:V4),IF('[2]TESTE TESTE'!$Z$3=8,SUM(P4:W4),IF('[2]TESTE TESTE'!$Z$3=9,SUM(P4:X4),IF('[2]TESTE TESTE'!$Z$3=10,SUM(P4:Y4),IF('[2]TESTE TESTE'!$Z$3=11,SUM(P4:Z4),IF('[2]TESTE TESTE'!$Z$3=12,SUM(P4:AA4,))))))))))))),"")</f>
        <v>127.5</v>
      </c>
    </row>
    <row r="5" spans="1:194" s="271" customFormat="1" ht="12.95" customHeight="1" x14ac:dyDescent="0.2">
      <c r="A5" s="540"/>
      <c r="B5" s="253" t="s">
        <v>54</v>
      </c>
      <c r="C5" s="254" t="s">
        <v>29</v>
      </c>
      <c r="D5" s="253" t="s">
        <v>58</v>
      </c>
      <c r="E5" s="253" t="s">
        <v>56</v>
      </c>
      <c r="F5" s="254" t="s">
        <v>292</v>
      </c>
      <c r="G5" s="255" t="s">
        <v>59</v>
      </c>
      <c r="H5" s="255"/>
      <c r="I5" s="253" t="s">
        <v>1077</v>
      </c>
      <c r="J5" s="253" t="s">
        <v>293</v>
      </c>
      <c r="K5" s="253" t="s">
        <v>294</v>
      </c>
      <c r="L5" s="253" t="s">
        <v>295</v>
      </c>
      <c r="M5" s="253"/>
      <c r="N5" s="253" t="s">
        <v>296</v>
      </c>
      <c r="O5" s="256"/>
      <c r="P5" s="257"/>
      <c r="Q5" s="258"/>
      <c r="R5" s="258"/>
      <c r="S5" s="258"/>
      <c r="T5" s="258"/>
      <c r="U5" s="258"/>
      <c r="V5" s="258"/>
      <c r="W5" s="258">
        <v>5</v>
      </c>
      <c r="X5" s="258"/>
      <c r="Y5" s="258"/>
      <c r="Z5" s="258"/>
      <c r="AA5" s="258"/>
      <c r="AB5" s="259">
        <f t="shared" si="0"/>
        <v>5</v>
      </c>
      <c r="AC5" s="258"/>
      <c r="AD5" s="258"/>
      <c r="AE5" s="258"/>
      <c r="AF5" s="258"/>
      <c r="AG5" s="258"/>
      <c r="AH5" s="258"/>
      <c r="AI5" s="258"/>
      <c r="AJ5" s="258"/>
      <c r="AK5" s="258"/>
      <c r="AL5" s="258"/>
      <c r="AM5" s="258"/>
      <c r="AN5" s="258"/>
      <c r="AO5" s="258">
        <f t="shared" si="1"/>
        <v>0</v>
      </c>
      <c r="AP5" s="258"/>
      <c r="AQ5" s="258"/>
      <c r="AR5" s="258"/>
      <c r="AS5" s="258"/>
      <c r="AT5" s="258"/>
      <c r="AU5" s="258"/>
      <c r="AV5" s="258"/>
      <c r="AW5" s="258"/>
      <c r="AX5" s="258">
        <v>5</v>
      </c>
      <c r="AY5" s="258"/>
      <c r="AZ5" s="258"/>
      <c r="BA5" s="258"/>
      <c r="BB5" s="258">
        <f t="shared" si="2"/>
        <v>5</v>
      </c>
      <c r="BC5" s="258"/>
      <c r="BD5" s="258"/>
      <c r="BE5" s="258"/>
      <c r="BF5" s="258"/>
      <c r="BG5" s="258"/>
      <c r="BH5" s="258"/>
      <c r="BI5" s="258"/>
      <c r="BJ5" s="258"/>
      <c r="BK5" s="258">
        <v>5</v>
      </c>
      <c r="BL5" s="258"/>
      <c r="BM5" s="258"/>
      <c r="BN5" s="258"/>
      <c r="BO5" s="258">
        <f t="shared" si="3"/>
        <v>5</v>
      </c>
      <c r="BP5" s="258"/>
      <c r="BQ5" s="258"/>
      <c r="BR5" s="258"/>
      <c r="BS5" s="258"/>
      <c r="BT5" s="258"/>
      <c r="BU5" s="258"/>
      <c r="BV5" s="258"/>
      <c r="BW5" s="258"/>
      <c r="BX5" s="258">
        <v>5</v>
      </c>
      <c r="BY5" s="258"/>
      <c r="BZ5" s="258"/>
      <c r="CA5" s="258"/>
      <c r="CB5" s="258">
        <f t="shared" si="4"/>
        <v>5</v>
      </c>
      <c r="CC5" s="345">
        <f t="shared" si="5"/>
        <v>20</v>
      </c>
      <c r="CD5" s="260"/>
      <c r="CE5" s="261"/>
      <c r="CF5" s="262" t="s">
        <v>73</v>
      </c>
      <c r="CG5" s="263"/>
      <c r="CH5" s="263"/>
      <c r="CI5" s="263"/>
      <c r="CJ5" s="263"/>
      <c r="CK5" s="263"/>
      <c r="CL5" s="263"/>
      <c r="CM5" s="263"/>
      <c r="CN5" s="263">
        <v>2</v>
      </c>
      <c r="CO5" s="263"/>
      <c r="CP5" s="263"/>
      <c r="CQ5" s="263"/>
      <c r="CR5" s="263"/>
      <c r="CS5" s="263">
        <f t="shared" si="6"/>
        <v>2</v>
      </c>
      <c r="CT5" s="263"/>
      <c r="CU5" s="263"/>
      <c r="CV5" s="263"/>
      <c r="CW5" s="263"/>
      <c r="CX5" s="263"/>
      <c r="CY5" s="263"/>
      <c r="CZ5" s="263"/>
      <c r="DA5" s="263"/>
      <c r="DB5" s="263"/>
      <c r="DC5" s="263"/>
      <c r="DD5" s="263"/>
      <c r="DE5" s="263"/>
      <c r="DF5" s="263">
        <f t="shared" si="7"/>
        <v>0</v>
      </c>
      <c r="DG5" s="263"/>
      <c r="DH5" s="263"/>
      <c r="DI5" s="263"/>
      <c r="DJ5" s="263"/>
      <c r="DK5" s="263"/>
      <c r="DL5" s="263"/>
      <c r="DM5" s="263"/>
      <c r="DN5" s="263">
        <v>2</v>
      </c>
      <c r="DO5" s="263"/>
      <c r="DP5" s="263"/>
      <c r="DQ5" s="263"/>
      <c r="DR5" s="263"/>
      <c r="DS5" s="263">
        <f t="shared" si="8"/>
        <v>2</v>
      </c>
      <c r="DT5" s="263"/>
      <c r="DU5" s="263"/>
      <c r="DV5" s="263"/>
      <c r="DW5" s="263"/>
      <c r="DX5" s="263"/>
      <c r="DY5" s="263"/>
      <c r="DZ5" s="263"/>
      <c r="EA5" s="263">
        <v>2</v>
      </c>
      <c r="EB5" s="263"/>
      <c r="EC5" s="263"/>
      <c r="ED5" s="263"/>
      <c r="EE5" s="263"/>
      <c r="EF5" s="263">
        <f t="shared" si="9"/>
        <v>2</v>
      </c>
      <c r="EG5" s="263"/>
      <c r="EH5" s="263"/>
      <c r="EI5" s="263"/>
      <c r="EJ5" s="263"/>
      <c r="EK5" s="263"/>
      <c r="EL5" s="263"/>
      <c r="EM5" s="263"/>
      <c r="EN5" s="263">
        <v>2</v>
      </c>
      <c r="EO5" s="263"/>
      <c r="EP5" s="263"/>
      <c r="EQ5" s="263"/>
      <c r="ER5" s="263"/>
      <c r="ES5" s="263">
        <f t="shared" si="10"/>
        <v>2</v>
      </c>
      <c r="ET5" s="264">
        <f t="shared" si="11"/>
        <v>8</v>
      </c>
      <c r="EU5" s="261"/>
      <c r="EV5" s="265"/>
      <c r="EW5" s="258"/>
      <c r="EX5" s="258"/>
      <c r="EY5" s="258"/>
      <c r="EZ5" s="258"/>
      <c r="FA5" s="258"/>
      <c r="FB5" s="258">
        <f t="shared" si="12"/>
        <v>0</v>
      </c>
      <c r="FC5" s="265"/>
      <c r="FD5" s="266"/>
      <c r="FE5" s="258"/>
      <c r="FF5" s="258"/>
      <c r="FG5" s="258"/>
      <c r="FH5" s="258"/>
      <c r="FI5" s="258"/>
      <c r="FJ5" s="258">
        <f t="shared" si="13"/>
        <v>0</v>
      </c>
      <c r="FK5" s="267"/>
      <c r="FL5" s="265"/>
      <c r="FM5" s="268"/>
      <c r="FN5" s="258"/>
      <c r="FO5" s="258"/>
      <c r="FP5" s="258"/>
      <c r="FQ5" s="258"/>
      <c r="FR5" s="258"/>
      <c r="FS5" s="258">
        <f t="shared" si="14"/>
        <v>0</v>
      </c>
      <c r="FT5" s="269"/>
      <c r="FU5" s="270">
        <v>0</v>
      </c>
      <c r="FV5" s="270">
        <v>0</v>
      </c>
      <c r="FW5" s="270">
        <f>IFERROR(VLOOKUP(G5,[2]CEI_032018!$A$1:$U$509,9,FALSE),0)</f>
        <v>0</v>
      </c>
      <c r="FX5" s="270">
        <f>IFERROR(VLOOKUP(G5,[2]CEI_042018!$A$1:$U$493,9,FALSE),0)</f>
        <v>0</v>
      </c>
      <c r="FY5" s="270"/>
      <c r="FZ5" s="270"/>
      <c r="GA5" s="270"/>
      <c r="GB5" s="270"/>
      <c r="GC5" s="270"/>
      <c r="GD5" s="270"/>
      <c r="GE5" s="270"/>
      <c r="GF5" s="270"/>
      <c r="GG5" s="270">
        <f t="shared" si="15"/>
        <v>0</v>
      </c>
      <c r="GH5" s="270">
        <f>IFERROR(VLOOKUP(G5,[2]CEI_042018!$A$1:$U$493,12,FALSE),0)</f>
        <v>0</v>
      </c>
      <c r="GI5" s="270">
        <f t="shared" si="16"/>
        <v>0</v>
      </c>
      <c r="GJ5" s="270">
        <f t="shared" si="17"/>
        <v>5</v>
      </c>
      <c r="GK5" s="270">
        <f>IFERROR(IF('[2]TESTE TESTE'!$Z$3=1,SUM(FU5),IF('[2]TESTE TESTE'!$Z$3=2,SUM(FU5:FV5),IF('[2]TESTE TESTE'!$Z$3=3,SUM(FU5:FW5),IF('[2]TESTE TESTE'!$Z$3=4,SUM(FU5:FX5),IF('[2]TESTE TESTE'!$Z$3=5,SUM(FU5:FY5),IF('[2]TESTE TESTE'!$Z$3=6,SUM(FU5:FZ5),IF('[2]TESTE TESTE'!$Z$3=7,SUM(FU5:GA5),IF('[2]TESTE TESTE'!$Z$3=8,SUM(FU5:GB5),IF('[2]TESTE TESTE'!$Z$3=9,SUM(FU5:GC5),IF('[2]TESTE TESTE'!$Z$3=10,SUM(FU5:GD5),IF('[2]TESTE TESTE'!$Z$3=11,SUM(FU5:GE5),IF('[2]TESTE TESTE'!$Z$3=12,SUM(FU5:GF5,))))))))))))),"")</f>
        <v>0</v>
      </c>
      <c r="GL5" s="270">
        <f>IFERROR(IF('[2]TESTE TESTE'!$Z$3=1,SUM(P5),IF('[2]TESTE TESTE'!$Z$3=2,SUM(P5:Q5),IF('[2]TESTE TESTE'!$Z$3=3,SUM(P5:R5),IF('[2]TESTE TESTE'!$Z$3=4,SUM(P5:S5),IF('[2]TESTE TESTE'!$Z$3=5,SUM(P5:T5),IF('[2]TESTE TESTE'!$Z$3=6,SUM(P5:U5),IF('[2]TESTE TESTE'!$Z$3=7,SUM(P5:V5),IF('[2]TESTE TESTE'!$Z$3=8,SUM(P5:W5),IF('[2]TESTE TESTE'!$Z$3=9,SUM(P5:X5),IF('[2]TESTE TESTE'!$Z$3=10,SUM(P5:Y5),IF('[2]TESTE TESTE'!$Z$3=11,SUM(P5:Z5),IF('[2]TESTE TESTE'!$Z$3=12,SUM(P5:AA5,))))))))))))),"")</f>
        <v>5</v>
      </c>
    </row>
    <row r="6" spans="1:194" s="211" customFormat="1" ht="12.95" customHeight="1" x14ac:dyDescent="0.2">
      <c r="A6" s="541" t="s">
        <v>1534</v>
      </c>
      <c r="B6" s="236" t="s">
        <v>57</v>
      </c>
      <c r="C6" s="237" t="s">
        <v>41</v>
      </c>
      <c r="D6" s="236" t="s">
        <v>58</v>
      </c>
      <c r="E6" s="236" t="s">
        <v>56</v>
      </c>
      <c r="F6" s="237" t="s">
        <v>292</v>
      </c>
      <c r="G6" s="238" t="s">
        <v>59</v>
      </c>
      <c r="H6" s="238"/>
      <c r="I6" s="236" t="s">
        <v>1074</v>
      </c>
      <c r="J6" s="236" t="s">
        <v>297</v>
      </c>
      <c r="K6" s="236" t="s">
        <v>881</v>
      </c>
      <c r="L6" s="236" t="s">
        <v>299</v>
      </c>
      <c r="M6" s="236"/>
      <c r="N6" s="236" t="s">
        <v>296</v>
      </c>
      <c r="O6" s="239"/>
      <c r="P6" s="240"/>
      <c r="Q6" s="241"/>
      <c r="R6" s="241"/>
      <c r="S6" s="241"/>
      <c r="T6" s="241"/>
      <c r="U6" s="241"/>
      <c r="V6" s="241"/>
      <c r="W6" s="241">
        <v>50.620159999999998</v>
      </c>
      <c r="X6" s="241"/>
      <c r="Y6" s="241"/>
      <c r="Z6" s="241"/>
      <c r="AA6" s="241"/>
      <c r="AB6" s="242">
        <f t="shared" ref="AB6:AB53" si="18">SUM(P6:AA6)</f>
        <v>50.620159999999998</v>
      </c>
      <c r="AC6" s="241"/>
      <c r="AD6" s="241"/>
      <c r="AE6" s="241"/>
      <c r="AF6" s="241"/>
      <c r="AG6" s="241"/>
      <c r="AH6" s="241"/>
      <c r="AI6" s="241"/>
      <c r="AJ6" s="241"/>
      <c r="AK6" s="241"/>
      <c r="AL6" s="241"/>
      <c r="AM6" s="241"/>
      <c r="AN6" s="241">
        <v>248</v>
      </c>
      <c r="AO6" s="241">
        <f t="shared" ref="AO6:AO23" si="19">SUM(AC6:AN6)</f>
        <v>248</v>
      </c>
      <c r="AP6" s="241"/>
      <c r="AQ6" s="241"/>
      <c r="AR6" s="241"/>
      <c r="AS6" s="241"/>
      <c r="AT6" s="241"/>
      <c r="AU6" s="241"/>
      <c r="AV6" s="241"/>
      <c r="AW6" s="241"/>
      <c r="AX6" s="241"/>
      <c r="AY6" s="241"/>
      <c r="AZ6" s="241"/>
      <c r="BA6" s="241">
        <v>173</v>
      </c>
      <c r="BB6" s="241">
        <f t="shared" ref="BB6:BB45" si="20">SUM(AP6:BA6)</f>
        <v>173</v>
      </c>
      <c r="BC6" s="241"/>
      <c r="BD6" s="241"/>
      <c r="BE6" s="241"/>
      <c r="BF6" s="241"/>
      <c r="BG6" s="241"/>
      <c r="BH6" s="241"/>
      <c r="BI6" s="241"/>
      <c r="BJ6" s="241"/>
      <c r="BK6" s="241"/>
      <c r="BL6" s="241"/>
      <c r="BM6" s="241"/>
      <c r="BN6" s="241">
        <v>223</v>
      </c>
      <c r="BO6" s="241">
        <f t="shared" ref="BO6:BO45" si="21">SUM(BC6:BN6)</f>
        <v>223</v>
      </c>
      <c r="BP6" s="241"/>
      <c r="BQ6" s="241"/>
      <c r="BR6" s="241"/>
      <c r="BS6" s="241"/>
      <c r="BT6" s="241"/>
      <c r="BU6" s="241"/>
      <c r="BV6" s="241"/>
      <c r="BW6" s="241"/>
      <c r="BX6" s="241"/>
      <c r="BY6" s="241"/>
      <c r="BZ6" s="241"/>
      <c r="CA6" s="241">
        <v>223</v>
      </c>
      <c r="CB6" s="241">
        <f t="shared" ref="CB6:CB23" si="22">SUM(BP6:CA6)</f>
        <v>223</v>
      </c>
      <c r="CC6" s="346">
        <f t="shared" si="5"/>
        <v>917.62015999999994</v>
      </c>
      <c r="CD6" s="243"/>
      <c r="CE6" s="244"/>
      <c r="CF6" s="245" t="s">
        <v>73</v>
      </c>
      <c r="CG6" s="246"/>
      <c r="CH6" s="246"/>
      <c r="CI6" s="246"/>
      <c r="CJ6" s="246"/>
      <c r="CK6" s="246"/>
      <c r="CL6" s="246"/>
      <c r="CM6" s="246"/>
      <c r="CN6" s="246">
        <v>35</v>
      </c>
      <c r="CO6" s="246"/>
      <c r="CP6" s="246"/>
      <c r="CQ6" s="246"/>
      <c r="CR6" s="246"/>
      <c r="CS6" s="246">
        <f t="shared" si="6"/>
        <v>35</v>
      </c>
      <c r="CT6" s="246"/>
      <c r="CU6" s="246"/>
      <c r="CV6" s="246"/>
      <c r="CW6" s="246"/>
      <c r="CX6" s="246"/>
      <c r="CY6" s="246"/>
      <c r="CZ6" s="246"/>
      <c r="DA6" s="246">
        <v>70</v>
      </c>
      <c r="DB6" s="246"/>
      <c r="DC6" s="246"/>
      <c r="DD6" s="246"/>
      <c r="DE6" s="246"/>
      <c r="DF6" s="246">
        <f t="shared" si="7"/>
        <v>70</v>
      </c>
      <c r="DG6" s="246"/>
      <c r="DH6" s="246"/>
      <c r="DI6" s="246"/>
      <c r="DJ6" s="246"/>
      <c r="DK6" s="246"/>
      <c r="DL6" s="246"/>
      <c r="DM6" s="246"/>
      <c r="DN6" s="246">
        <v>67.5</v>
      </c>
      <c r="DO6" s="246"/>
      <c r="DP6" s="246"/>
      <c r="DQ6" s="246"/>
      <c r="DR6" s="246"/>
      <c r="DS6" s="246">
        <f t="shared" si="8"/>
        <v>67.5</v>
      </c>
      <c r="DT6" s="246"/>
      <c r="DU6" s="246"/>
      <c r="DV6" s="246"/>
      <c r="DW6" s="246"/>
      <c r="DX6" s="246"/>
      <c r="DY6" s="246"/>
      <c r="DZ6" s="246"/>
      <c r="EA6" s="246">
        <v>60</v>
      </c>
      <c r="EB6" s="246"/>
      <c r="EC6" s="246"/>
      <c r="ED6" s="246"/>
      <c r="EE6" s="246"/>
      <c r="EF6" s="246">
        <f t="shared" si="9"/>
        <v>60</v>
      </c>
      <c r="EG6" s="246"/>
      <c r="EH6" s="246"/>
      <c r="EI6" s="246"/>
      <c r="EJ6" s="246"/>
      <c r="EK6" s="246"/>
      <c r="EL6" s="246"/>
      <c r="EM6" s="246"/>
      <c r="EN6" s="246">
        <v>45</v>
      </c>
      <c r="EO6" s="246"/>
      <c r="EP6" s="246"/>
      <c r="EQ6" s="246"/>
      <c r="ER6" s="246"/>
      <c r="ES6" s="246">
        <f t="shared" si="10"/>
        <v>45</v>
      </c>
      <c r="ET6" s="247">
        <f t="shared" si="11"/>
        <v>277.5</v>
      </c>
      <c r="EU6" s="244"/>
      <c r="EV6" s="248"/>
      <c r="EW6" s="241"/>
      <c r="EX6" s="241"/>
      <c r="EY6" s="241"/>
      <c r="EZ6" s="241"/>
      <c r="FA6" s="241"/>
      <c r="FB6" s="241">
        <f t="shared" ref="FB6:FB8" si="23">SUM(EW6:FA6)</f>
        <v>0</v>
      </c>
      <c r="FC6" s="248"/>
      <c r="FD6" s="249"/>
      <c r="FE6" s="241"/>
      <c r="FF6" s="241"/>
      <c r="FG6" s="241"/>
      <c r="FH6" s="241"/>
      <c r="FI6" s="241"/>
      <c r="FJ6" s="241">
        <f t="shared" si="13"/>
        <v>0</v>
      </c>
      <c r="FK6" s="250"/>
      <c r="FL6" s="248"/>
      <c r="FM6" s="251"/>
      <c r="FN6" s="241"/>
      <c r="FO6" s="241"/>
      <c r="FP6" s="241"/>
      <c r="FQ6" s="241"/>
      <c r="FR6" s="241"/>
      <c r="FS6" s="241">
        <f t="shared" si="14"/>
        <v>0</v>
      </c>
      <c r="FT6" s="252"/>
      <c r="FU6" s="212">
        <v>0</v>
      </c>
      <c r="FV6" s="212">
        <v>0</v>
      </c>
      <c r="FW6" s="212">
        <f>IFERROR(VLOOKUP(G6,[2]CEI_032018!$A$1:$U$509,9,FALSE),0)</f>
        <v>0</v>
      </c>
      <c r="FX6" s="212">
        <f>IFERROR(VLOOKUP(G6,[2]CEI_042018!$A$1:$U$493,9,FALSE),0)</f>
        <v>0</v>
      </c>
      <c r="FY6" s="212"/>
      <c r="FZ6" s="212"/>
      <c r="GA6" s="212"/>
      <c r="GB6" s="212"/>
      <c r="GC6" s="212"/>
      <c r="GD6" s="212"/>
      <c r="GE6" s="212"/>
      <c r="GF6" s="212"/>
      <c r="GG6" s="212">
        <f t="shared" si="15"/>
        <v>0</v>
      </c>
      <c r="GH6" s="212">
        <f>IFERROR(VLOOKUP(G6,[2]CEI_042018!$A$1:$U$493,12,FALSE),0)</f>
        <v>0</v>
      </c>
      <c r="GI6" s="212">
        <f t="shared" si="16"/>
        <v>0</v>
      </c>
      <c r="GJ6" s="212">
        <f t="shared" si="17"/>
        <v>50.620159999999998</v>
      </c>
      <c r="GK6" s="212">
        <f>IFERROR(IF('[2]TESTE TESTE'!$Z$3=1,SUM(FU6),IF('[2]TESTE TESTE'!$Z$3=2,SUM(FU6:FV6),IF('[2]TESTE TESTE'!$Z$3=3,SUM(FU6:FW6),IF('[2]TESTE TESTE'!$Z$3=4,SUM(FU6:FX6),IF('[2]TESTE TESTE'!$Z$3=5,SUM(FU6:FY6),IF('[2]TESTE TESTE'!$Z$3=6,SUM(FU6:FZ6),IF('[2]TESTE TESTE'!$Z$3=7,SUM(FU6:GA6),IF('[2]TESTE TESTE'!$Z$3=8,SUM(FU6:GB6),IF('[2]TESTE TESTE'!$Z$3=9,SUM(FU6:GC6),IF('[2]TESTE TESTE'!$Z$3=10,SUM(FU6:GD6),IF('[2]TESTE TESTE'!$Z$3=11,SUM(FU6:GE6),IF('[2]TESTE TESTE'!$Z$3=12,SUM(FU6:GF6,))))))))))))),"")</f>
        <v>0</v>
      </c>
      <c r="GL6" s="212">
        <f>IFERROR(IF('[2]TESTE TESTE'!$Z$3=1,SUM(P6),IF('[2]TESTE TESTE'!$Z$3=2,SUM(P6:Q6),IF('[2]TESTE TESTE'!$Z$3=3,SUM(P6:R6),IF('[2]TESTE TESTE'!$Z$3=4,SUM(P6:S6),IF('[2]TESTE TESTE'!$Z$3=5,SUM(P6:T6),IF('[2]TESTE TESTE'!$Z$3=6,SUM(P6:U6),IF('[2]TESTE TESTE'!$Z$3=7,SUM(P6:V6),IF('[2]TESTE TESTE'!$Z$3=8,SUM(P6:W6),IF('[2]TESTE TESTE'!$Z$3=9,SUM(P6:X6),IF('[2]TESTE TESTE'!$Z$3=10,SUM(P6:Y6),IF('[2]TESTE TESTE'!$Z$3=11,SUM(P6:Z6),IF('[2]TESTE TESTE'!$Z$3=12,SUM(P6:AA6,))))))))))))),"")</f>
        <v>50.620159999999998</v>
      </c>
    </row>
    <row r="7" spans="1:194" s="211" customFormat="1" ht="12.95" customHeight="1" x14ac:dyDescent="0.2">
      <c r="A7" s="541"/>
      <c r="B7" s="236" t="s">
        <v>57</v>
      </c>
      <c r="C7" s="237" t="s">
        <v>41</v>
      </c>
      <c r="D7" s="236" t="s">
        <v>58</v>
      </c>
      <c r="E7" s="236" t="s">
        <v>56</v>
      </c>
      <c r="F7" s="237" t="s">
        <v>433</v>
      </c>
      <c r="G7" s="238" t="s">
        <v>59</v>
      </c>
      <c r="H7" s="238"/>
      <c r="I7" s="236" t="s">
        <v>1071</v>
      </c>
      <c r="J7" s="236" t="s">
        <v>438</v>
      </c>
      <c r="K7" s="236" t="s">
        <v>439</v>
      </c>
      <c r="L7" s="236" t="s">
        <v>440</v>
      </c>
      <c r="M7" s="236"/>
      <c r="N7" s="236" t="s">
        <v>435</v>
      </c>
      <c r="O7" s="239"/>
      <c r="P7" s="240"/>
      <c r="Q7" s="241"/>
      <c r="R7" s="241"/>
      <c r="S7" s="241"/>
      <c r="T7" s="241"/>
      <c r="U7" s="241"/>
      <c r="V7" s="241"/>
      <c r="W7" s="241">
        <v>50</v>
      </c>
      <c r="X7" s="241"/>
      <c r="Y7" s="241"/>
      <c r="Z7" s="241"/>
      <c r="AA7" s="241"/>
      <c r="AB7" s="242">
        <f t="shared" si="18"/>
        <v>50</v>
      </c>
      <c r="AC7" s="241"/>
      <c r="AD7" s="241"/>
      <c r="AE7" s="241"/>
      <c r="AF7" s="241"/>
      <c r="AG7" s="241"/>
      <c r="AH7" s="241"/>
      <c r="AI7" s="241"/>
      <c r="AJ7" s="241"/>
      <c r="AK7" s="241"/>
      <c r="AL7" s="241"/>
      <c r="AM7" s="241"/>
      <c r="AN7" s="241">
        <v>40</v>
      </c>
      <c r="AO7" s="241">
        <f t="shared" si="19"/>
        <v>40</v>
      </c>
      <c r="AP7" s="241"/>
      <c r="AQ7" s="241"/>
      <c r="AR7" s="241"/>
      <c r="AS7" s="241"/>
      <c r="AT7" s="241"/>
      <c r="AU7" s="241"/>
      <c r="AV7" s="241"/>
      <c r="AW7" s="241"/>
      <c r="AX7" s="241"/>
      <c r="AY7" s="241"/>
      <c r="AZ7" s="241"/>
      <c r="BA7" s="241">
        <v>30</v>
      </c>
      <c r="BB7" s="241">
        <f t="shared" si="20"/>
        <v>30</v>
      </c>
      <c r="BC7" s="241"/>
      <c r="BD7" s="241"/>
      <c r="BE7" s="241"/>
      <c r="BF7" s="241"/>
      <c r="BG7" s="241"/>
      <c r="BH7" s="241"/>
      <c r="BI7" s="241"/>
      <c r="BJ7" s="241"/>
      <c r="BK7" s="241"/>
      <c r="BL7" s="241"/>
      <c r="BM7" s="241"/>
      <c r="BN7" s="241">
        <v>20</v>
      </c>
      <c r="BO7" s="241">
        <f t="shared" si="21"/>
        <v>20</v>
      </c>
      <c r="BP7" s="241"/>
      <c r="BQ7" s="241"/>
      <c r="BR7" s="241"/>
      <c r="BS7" s="241"/>
      <c r="BT7" s="241"/>
      <c r="BU7" s="241"/>
      <c r="BV7" s="241"/>
      <c r="BW7" s="241"/>
      <c r="BX7" s="241"/>
      <c r="BY7" s="241"/>
      <c r="BZ7" s="241"/>
      <c r="CA7" s="241">
        <v>15</v>
      </c>
      <c r="CB7" s="241">
        <f t="shared" si="22"/>
        <v>15</v>
      </c>
      <c r="CC7" s="346">
        <f t="shared" si="5"/>
        <v>155</v>
      </c>
      <c r="CD7" s="243"/>
      <c r="CE7" s="244"/>
      <c r="CF7" s="245" t="s">
        <v>73</v>
      </c>
      <c r="CG7" s="246"/>
      <c r="CH7" s="246"/>
      <c r="CI7" s="246"/>
      <c r="CJ7" s="246"/>
      <c r="CK7" s="246"/>
      <c r="CL7" s="246"/>
      <c r="CM7" s="246"/>
      <c r="CN7" s="246">
        <v>8</v>
      </c>
      <c r="CO7" s="246"/>
      <c r="CP7" s="246"/>
      <c r="CQ7" s="246"/>
      <c r="CR7" s="246"/>
      <c r="CS7" s="246">
        <f t="shared" si="6"/>
        <v>8</v>
      </c>
      <c r="CT7" s="246"/>
      <c r="CU7" s="246"/>
      <c r="CV7" s="246"/>
      <c r="CW7" s="246"/>
      <c r="CX7" s="246"/>
      <c r="CY7" s="246"/>
      <c r="CZ7" s="246"/>
      <c r="DA7" s="246"/>
      <c r="DB7" s="246"/>
      <c r="DC7" s="246"/>
      <c r="DD7" s="246"/>
      <c r="DE7" s="246">
        <v>6</v>
      </c>
      <c r="DF7" s="246">
        <f t="shared" si="7"/>
        <v>6</v>
      </c>
      <c r="DG7" s="246"/>
      <c r="DH7" s="246"/>
      <c r="DI7" s="246"/>
      <c r="DJ7" s="246"/>
      <c r="DK7" s="246"/>
      <c r="DL7" s="246"/>
      <c r="DM7" s="246"/>
      <c r="DN7" s="246"/>
      <c r="DO7" s="246"/>
      <c r="DP7" s="246"/>
      <c r="DQ7" s="246"/>
      <c r="DR7" s="246">
        <v>4</v>
      </c>
      <c r="DS7" s="246">
        <f t="shared" si="8"/>
        <v>4</v>
      </c>
      <c r="DT7" s="246"/>
      <c r="DU7" s="246"/>
      <c r="DV7" s="246"/>
      <c r="DW7" s="246"/>
      <c r="DX7" s="246"/>
      <c r="DY7" s="246"/>
      <c r="DZ7" s="246"/>
      <c r="EA7" s="246"/>
      <c r="EB7" s="246"/>
      <c r="EC7" s="246"/>
      <c r="ED7" s="246"/>
      <c r="EE7" s="246">
        <v>3</v>
      </c>
      <c r="EF7" s="246">
        <f t="shared" si="9"/>
        <v>3</v>
      </c>
      <c r="EG7" s="246"/>
      <c r="EH7" s="246"/>
      <c r="EI7" s="246"/>
      <c r="EJ7" s="246"/>
      <c r="EK7" s="246"/>
      <c r="EL7" s="246"/>
      <c r="EM7" s="246"/>
      <c r="EN7" s="246"/>
      <c r="EO7" s="246"/>
      <c r="EP7" s="246"/>
      <c r="EQ7" s="246"/>
      <c r="ER7" s="246">
        <v>2</v>
      </c>
      <c r="ES7" s="246">
        <f t="shared" si="10"/>
        <v>2</v>
      </c>
      <c r="ET7" s="247">
        <f t="shared" si="11"/>
        <v>23</v>
      </c>
      <c r="EU7" s="244"/>
      <c r="EV7" s="248"/>
      <c r="EW7" s="241"/>
      <c r="EX7" s="241"/>
      <c r="EY7" s="241"/>
      <c r="EZ7" s="241"/>
      <c r="FA7" s="241"/>
      <c r="FB7" s="241">
        <f t="shared" si="23"/>
        <v>0</v>
      </c>
      <c r="FC7" s="248"/>
      <c r="FD7" s="249"/>
      <c r="FE7" s="241"/>
      <c r="FF7" s="241"/>
      <c r="FG7" s="241"/>
      <c r="FH7" s="241"/>
      <c r="FI7" s="241"/>
      <c r="FJ7" s="241">
        <f t="shared" si="13"/>
        <v>0</v>
      </c>
      <c r="FK7" s="250"/>
      <c r="FL7" s="248"/>
      <c r="FM7" s="251"/>
      <c r="FN7" s="241"/>
      <c r="FO7" s="241"/>
      <c r="FP7" s="241"/>
      <c r="FQ7" s="241"/>
      <c r="FR7" s="241"/>
      <c r="FS7" s="241">
        <f t="shared" si="14"/>
        <v>0</v>
      </c>
      <c r="FT7" s="252"/>
      <c r="FU7" s="212">
        <v>0</v>
      </c>
      <c r="FV7" s="212">
        <v>0</v>
      </c>
      <c r="FW7" s="212">
        <f>IFERROR(VLOOKUP(G7,[2]CEI_032018!$A$1:$U$509,9,FALSE),0)</f>
        <v>0</v>
      </c>
      <c r="FX7" s="212">
        <f>IFERROR(VLOOKUP(G7,[2]CEI_042018!$A$1:$U$493,9,FALSE),0)</f>
        <v>0</v>
      </c>
      <c r="FY7" s="212"/>
      <c r="FZ7" s="212"/>
      <c r="GA7" s="212"/>
      <c r="GB7" s="212"/>
      <c r="GC7" s="212"/>
      <c r="GD7" s="212"/>
      <c r="GE7" s="212"/>
      <c r="GF7" s="212"/>
      <c r="GG7" s="212">
        <f t="shared" si="15"/>
        <v>0</v>
      </c>
      <c r="GH7" s="212">
        <f>IFERROR(VLOOKUP(G7,[2]CEI_042018!$A$1:$U$493,12,FALSE),0)</f>
        <v>0</v>
      </c>
      <c r="GI7" s="212">
        <f t="shared" si="16"/>
        <v>0</v>
      </c>
      <c r="GJ7" s="212">
        <f t="shared" si="17"/>
        <v>50</v>
      </c>
      <c r="GK7" s="212">
        <f>IFERROR(IF('[2]TESTE TESTE'!$Z$3=1,SUM(FU7),IF('[2]TESTE TESTE'!$Z$3=2,SUM(FU7:FV7),IF('[2]TESTE TESTE'!$Z$3=3,SUM(FU7:FW7),IF('[2]TESTE TESTE'!$Z$3=4,SUM(FU7:FX7),IF('[2]TESTE TESTE'!$Z$3=5,SUM(FU7:FY7),IF('[2]TESTE TESTE'!$Z$3=6,SUM(FU7:FZ7),IF('[2]TESTE TESTE'!$Z$3=7,SUM(FU7:GA7),IF('[2]TESTE TESTE'!$Z$3=8,SUM(FU7:GB7),IF('[2]TESTE TESTE'!$Z$3=9,SUM(FU7:GC7),IF('[2]TESTE TESTE'!$Z$3=10,SUM(FU7:GD7),IF('[2]TESTE TESTE'!$Z$3=11,SUM(FU7:GE7),IF('[2]TESTE TESTE'!$Z$3=12,SUM(FU7:GF7,))))))))))))),"")</f>
        <v>0</v>
      </c>
      <c r="GL7" s="212">
        <f>IFERROR(IF('[2]TESTE TESTE'!$Z$3=1,SUM(P7),IF('[2]TESTE TESTE'!$Z$3=2,SUM(P7:Q7),IF('[2]TESTE TESTE'!$Z$3=3,SUM(P7:R7),IF('[2]TESTE TESTE'!$Z$3=4,SUM(P7:S7),IF('[2]TESTE TESTE'!$Z$3=5,SUM(P7:T7),IF('[2]TESTE TESTE'!$Z$3=6,SUM(P7:U7),IF('[2]TESTE TESTE'!$Z$3=7,SUM(P7:V7),IF('[2]TESTE TESTE'!$Z$3=8,SUM(P7:W7),IF('[2]TESTE TESTE'!$Z$3=9,SUM(P7:X7),IF('[2]TESTE TESTE'!$Z$3=10,SUM(P7:Y7),IF('[2]TESTE TESTE'!$Z$3=11,SUM(P7:Z7),IF('[2]TESTE TESTE'!$Z$3=12,SUM(P7:AA7,))))))))))))),"")</f>
        <v>50</v>
      </c>
    </row>
    <row r="8" spans="1:194" s="211" customFormat="1" ht="12.95" customHeight="1" x14ac:dyDescent="0.2">
      <c r="A8" s="541"/>
      <c r="B8" s="236" t="s">
        <v>57</v>
      </c>
      <c r="C8" s="237" t="s">
        <v>41</v>
      </c>
      <c r="D8" s="236" t="s">
        <v>58</v>
      </c>
      <c r="E8" s="236" t="s">
        <v>56</v>
      </c>
      <c r="F8" s="237" t="s">
        <v>433</v>
      </c>
      <c r="G8" s="238" t="s">
        <v>59</v>
      </c>
      <c r="H8" s="238"/>
      <c r="I8" s="236" t="s">
        <v>1079</v>
      </c>
      <c r="J8" s="236" t="s">
        <v>436</v>
      </c>
      <c r="K8" s="236" t="s">
        <v>434</v>
      </c>
      <c r="L8" s="236" t="s">
        <v>437</v>
      </c>
      <c r="M8" s="236"/>
      <c r="N8" s="236" t="s">
        <v>435</v>
      </c>
      <c r="O8" s="239"/>
      <c r="P8" s="240"/>
      <c r="Q8" s="241"/>
      <c r="R8" s="241"/>
      <c r="S8" s="241"/>
      <c r="T8" s="241"/>
      <c r="U8" s="241"/>
      <c r="V8" s="241"/>
      <c r="W8" s="241">
        <v>30</v>
      </c>
      <c r="X8" s="241"/>
      <c r="Y8" s="241"/>
      <c r="Z8" s="241"/>
      <c r="AA8" s="241"/>
      <c r="AB8" s="242">
        <f t="shared" si="18"/>
        <v>30</v>
      </c>
      <c r="AC8" s="241"/>
      <c r="AD8" s="241"/>
      <c r="AE8" s="241"/>
      <c r="AF8" s="241"/>
      <c r="AG8" s="241"/>
      <c r="AH8" s="241"/>
      <c r="AI8" s="241"/>
      <c r="AJ8" s="241"/>
      <c r="AK8" s="241"/>
      <c r="AL8" s="241"/>
      <c r="AM8" s="241"/>
      <c r="AN8" s="241">
        <v>10</v>
      </c>
      <c r="AO8" s="241">
        <f t="shared" si="19"/>
        <v>10</v>
      </c>
      <c r="AP8" s="241"/>
      <c r="AQ8" s="241"/>
      <c r="AR8" s="241"/>
      <c r="AS8" s="241"/>
      <c r="AT8" s="241"/>
      <c r="AU8" s="241"/>
      <c r="AV8" s="241"/>
      <c r="AW8" s="241"/>
      <c r="AX8" s="241"/>
      <c r="AY8" s="241"/>
      <c r="AZ8" s="241"/>
      <c r="BA8" s="241">
        <v>10</v>
      </c>
      <c r="BB8" s="241">
        <f t="shared" si="20"/>
        <v>10</v>
      </c>
      <c r="BC8" s="241"/>
      <c r="BD8" s="241"/>
      <c r="BE8" s="241"/>
      <c r="BF8" s="241"/>
      <c r="BG8" s="241"/>
      <c r="BH8" s="241"/>
      <c r="BI8" s="241"/>
      <c r="BJ8" s="241"/>
      <c r="BK8" s="241"/>
      <c r="BL8" s="241"/>
      <c r="BM8" s="241"/>
      <c r="BN8" s="241">
        <v>10</v>
      </c>
      <c r="BO8" s="241">
        <f t="shared" si="21"/>
        <v>10</v>
      </c>
      <c r="BP8" s="241"/>
      <c r="BQ8" s="241"/>
      <c r="BR8" s="241"/>
      <c r="BS8" s="241"/>
      <c r="BT8" s="241"/>
      <c r="BU8" s="241"/>
      <c r="BV8" s="241"/>
      <c r="BW8" s="241"/>
      <c r="BX8" s="241"/>
      <c r="BY8" s="241"/>
      <c r="BZ8" s="241"/>
      <c r="CA8" s="241"/>
      <c r="CB8" s="241">
        <f t="shared" si="22"/>
        <v>0</v>
      </c>
      <c r="CC8" s="346">
        <f t="shared" si="5"/>
        <v>60</v>
      </c>
      <c r="CD8" s="243"/>
      <c r="CE8" s="244"/>
      <c r="CF8" s="245" t="s">
        <v>73</v>
      </c>
      <c r="CG8" s="246"/>
      <c r="CH8" s="246"/>
      <c r="CI8" s="246"/>
      <c r="CJ8" s="246"/>
      <c r="CK8" s="246"/>
      <c r="CL8" s="246"/>
      <c r="CM8" s="246"/>
      <c r="CN8" s="246">
        <v>10</v>
      </c>
      <c r="CO8" s="246"/>
      <c r="CP8" s="246"/>
      <c r="CQ8" s="246"/>
      <c r="CR8" s="246"/>
      <c r="CS8" s="246">
        <f t="shared" si="6"/>
        <v>10</v>
      </c>
      <c r="CT8" s="246"/>
      <c r="CU8" s="246"/>
      <c r="CV8" s="246"/>
      <c r="CW8" s="246"/>
      <c r="CX8" s="246"/>
      <c r="CY8" s="246"/>
      <c r="CZ8" s="246"/>
      <c r="DA8" s="246"/>
      <c r="DB8" s="246"/>
      <c r="DC8" s="246"/>
      <c r="DD8" s="246"/>
      <c r="DE8" s="246">
        <v>3</v>
      </c>
      <c r="DF8" s="246">
        <f t="shared" si="7"/>
        <v>3</v>
      </c>
      <c r="DG8" s="246"/>
      <c r="DH8" s="246"/>
      <c r="DI8" s="246"/>
      <c r="DJ8" s="246"/>
      <c r="DK8" s="246"/>
      <c r="DL8" s="246"/>
      <c r="DM8" s="246"/>
      <c r="DN8" s="246"/>
      <c r="DO8" s="246"/>
      <c r="DP8" s="246"/>
      <c r="DQ8" s="246"/>
      <c r="DR8" s="246">
        <v>3</v>
      </c>
      <c r="DS8" s="246">
        <f t="shared" si="8"/>
        <v>3</v>
      </c>
      <c r="DT8" s="246"/>
      <c r="DU8" s="246"/>
      <c r="DV8" s="246"/>
      <c r="DW8" s="246"/>
      <c r="DX8" s="246"/>
      <c r="DY8" s="246"/>
      <c r="DZ8" s="246"/>
      <c r="EA8" s="246"/>
      <c r="EB8" s="246"/>
      <c r="EC8" s="246"/>
      <c r="ED8" s="246"/>
      <c r="EE8" s="246">
        <v>3</v>
      </c>
      <c r="EF8" s="246">
        <f t="shared" si="9"/>
        <v>3</v>
      </c>
      <c r="EG8" s="246"/>
      <c r="EH8" s="246"/>
      <c r="EI8" s="246"/>
      <c r="EJ8" s="246"/>
      <c r="EK8" s="246"/>
      <c r="EL8" s="246"/>
      <c r="EM8" s="246"/>
      <c r="EN8" s="246"/>
      <c r="EO8" s="246"/>
      <c r="EP8" s="246"/>
      <c r="EQ8" s="246"/>
      <c r="ER8" s="246"/>
      <c r="ES8" s="246">
        <f t="shared" si="10"/>
        <v>0</v>
      </c>
      <c r="ET8" s="247">
        <f t="shared" si="11"/>
        <v>19</v>
      </c>
      <c r="EU8" s="244"/>
      <c r="EV8" s="248"/>
      <c r="EW8" s="241"/>
      <c r="EX8" s="241"/>
      <c r="EY8" s="241"/>
      <c r="EZ8" s="241"/>
      <c r="FA8" s="241"/>
      <c r="FB8" s="241">
        <f t="shared" si="23"/>
        <v>0</v>
      </c>
      <c r="FC8" s="248"/>
      <c r="FD8" s="249"/>
      <c r="FE8" s="241"/>
      <c r="FF8" s="241"/>
      <c r="FG8" s="241"/>
      <c r="FH8" s="241"/>
      <c r="FI8" s="241"/>
      <c r="FJ8" s="241">
        <f t="shared" si="13"/>
        <v>0</v>
      </c>
      <c r="FK8" s="250"/>
      <c r="FL8" s="248"/>
      <c r="FM8" s="251"/>
      <c r="FN8" s="241"/>
      <c r="FO8" s="241"/>
      <c r="FP8" s="241"/>
      <c r="FQ8" s="241"/>
      <c r="FR8" s="241"/>
      <c r="FS8" s="241">
        <f t="shared" si="14"/>
        <v>0</v>
      </c>
      <c r="FT8" s="252"/>
      <c r="FU8" s="212">
        <v>0</v>
      </c>
      <c r="FV8" s="212">
        <v>0</v>
      </c>
      <c r="FW8" s="212">
        <f>IFERROR(VLOOKUP(G8,[2]CEI_032018!$A$1:$U$509,9,FALSE),0)</f>
        <v>0</v>
      </c>
      <c r="FX8" s="212">
        <f>IFERROR(VLOOKUP(G8,[2]CEI_042018!$A$1:$U$493,9,FALSE),0)</f>
        <v>0</v>
      </c>
      <c r="FY8" s="212"/>
      <c r="FZ8" s="212"/>
      <c r="GA8" s="212"/>
      <c r="GB8" s="212"/>
      <c r="GC8" s="212"/>
      <c r="GD8" s="212"/>
      <c r="GE8" s="212"/>
      <c r="GF8" s="212"/>
      <c r="GG8" s="212">
        <f t="shared" si="15"/>
        <v>0</v>
      </c>
      <c r="GH8" s="212">
        <f>IFERROR(VLOOKUP(G8,[2]CEI_042018!$A$1:$U$493,12,FALSE),0)</f>
        <v>0</v>
      </c>
      <c r="GI8" s="212">
        <f t="shared" si="16"/>
        <v>0</v>
      </c>
      <c r="GJ8" s="212">
        <f t="shared" si="17"/>
        <v>30</v>
      </c>
      <c r="GK8" s="212">
        <f>IFERROR(IF('[2]TESTE TESTE'!$Z$3=1,SUM(FU8),IF('[2]TESTE TESTE'!$Z$3=2,SUM(FU8:FV8),IF('[2]TESTE TESTE'!$Z$3=3,SUM(FU8:FW8),IF('[2]TESTE TESTE'!$Z$3=4,SUM(FU8:FX8),IF('[2]TESTE TESTE'!$Z$3=5,SUM(FU8:FY8),IF('[2]TESTE TESTE'!$Z$3=6,SUM(FU8:FZ8),IF('[2]TESTE TESTE'!$Z$3=7,SUM(FU8:GA8),IF('[2]TESTE TESTE'!$Z$3=8,SUM(FU8:GB8),IF('[2]TESTE TESTE'!$Z$3=9,SUM(FU8:GC8),IF('[2]TESTE TESTE'!$Z$3=10,SUM(FU8:GD8),IF('[2]TESTE TESTE'!$Z$3=11,SUM(FU8:GE8),IF('[2]TESTE TESTE'!$Z$3=12,SUM(FU8:GF8,))))))))))))),"")</f>
        <v>0</v>
      </c>
      <c r="GL8" s="212">
        <f>IFERROR(IF('[2]TESTE TESTE'!$Z$3=1,SUM(P8),IF('[2]TESTE TESTE'!$Z$3=2,SUM(P8:Q8),IF('[2]TESTE TESTE'!$Z$3=3,SUM(P8:R8),IF('[2]TESTE TESTE'!$Z$3=4,SUM(P8:S8),IF('[2]TESTE TESTE'!$Z$3=5,SUM(P8:T8),IF('[2]TESTE TESTE'!$Z$3=6,SUM(P8:U8),IF('[2]TESTE TESTE'!$Z$3=7,SUM(P8:V8),IF('[2]TESTE TESTE'!$Z$3=8,SUM(P8:W8),IF('[2]TESTE TESTE'!$Z$3=9,SUM(P8:X8),IF('[2]TESTE TESTE'!$Z$3=10,SUM(P8:Y8),IF('[2]TESTE TESTE'!$Z$3=11,SUM(P8:Z8),IF('[2]TESTE TESTE'!$Z$3=12,SUM(P8:AA8,))))))))))))),"")</f>
        <v>30</v>
      </c>
    </row>
    <row r="9" spans="1:194" s="235" customFormat="1" ht="12.95" customHeight="1" x14ac:dyDescent="0.2">
      <c r="A9" s="546" t="s">
        <v>1570</v>
      </c>
      <c r="B9" s="217" t="s">
        <v>57</v>
      </c>
      <c r="C9" s="218" t="s">
        <v>40</v>
      </c>
      <c r="D9" s="217" t="s">
        <v>61</v>
      </c>
      <c r="E9" s="217" t="s">
        <v>226</v>
      </c>
      <c r="F9" s="218" t="s">
        <v>227</v>
      </c>
      <c r="G9" s="219" t="s">
        <v>59</v>
      </c>
      <c r="H9" s="219"/>
      <c r="I9" s="217" t="s">
        <v>561</v>
      </c>
      <c r="J9" s="217" t="s">
        <v>228</v>
      </c>
      <c r="K9" s="217" t="s">
        <v>229</v>
      </c>
      <c r="L9" s="217" t="s">
        <v>230</v>
      </c>
      <c r="M9" s="217"/>
      <c r="N9" s="217" t="s">
        <v>231</v>
      </c>
      <c r="O9" s="220"/>
      <c r="P9" s="221"/>
      <c r="Q9" s="222"/>
      <c r="R9" s="222"/>
      <c r="S9" s="222"/>
      <c r="T9" s="222"/>
      <c r="U9" s="222"/>
      <c r="V9" s="222"/>
      <c r="W9" s="222">
        <v>150</v>
      </c>
      <c r="X9" s="222"/>
      <c r="Y9" s="222"/>
      <c r="Z9" s="222"/>
      <c r="AA9" s="222"/>
      <c r="AB9" s="223">
        <f t="shared" si="18"/>
        <v>150</v>
      </c>
      <c r="AC9" s="222"/>
      <c r="AD9" s="222"/>
      <c r="AE9" s="222"/>
      <c r="AF9" s="222"/>
      <c r="AG9" s="222"/>
      <c r="AH9" s="222"/>
      <c r="AI9" s="222"/>
      <c r="AJ9" s="222"/>
      <c r="AK9" s="222"/>
      <c r="AL9" s="222"/>
      <c r="AM9" s="222"/>
      <c r="AN9" s="318">
        <v>150</v>
      </c>
      <c r="AO9" s="222">
        <f t="shared" si="19"/>
        <v>150</v>
      </c>
      <c r="AP9" s="222"/>
      <c r="AQ9" s="222"/>
      <c r="AR9" s="222"/>
      <c r="AS9" s="222"/>
      <c r="AT9" s="222"/>
      <c r="AU9" s="222"/>
      <c r="AV9" s="222"/>
      <c r="AW9" s="222"/>
      <c r="AX9" s="222"/>
      <c r="AY9" s="222"/>
      <c r="AZ9" s="222"/>
      <c r="BA9" s="222"/>
      <c r="BB9" s="222">
        <f t="shared" si="20"/>
        <v>0</v>
      </c>
      <c r="BC9" s="222"/>
      <c r="BD9" s="222"/>
      <c r="BE9" s="222"/>
      <c r="BF9" s="222"/>
      <c r="BG9" s="222"/>
      <c r="BH9" s="222"/>
      <c r="BI9" s="222"/>
      <c r="BJ9" s="222"/>
      <c r="BK9" s="222"/>
      <c r="BL9" s="222"/>
      <c r="BM9" s="222"/>
      <c r="BN9" s="222"/>
      <c r="BO9" s="222">
        <f t="shared" si="21"/>
        <v>0</v>
      </c>
      <c r="BP9" s="222"/>
      <c r="BQ9" s="222"/>
      <c r="BR9" s="222"/>
      <c r="BS9" s="222"/>
      <c r="BT9" s="222"/>
      <c r="BU9" s="222"/>
      <c r="BV9" s="222"/>
      <c r="BW9" s="222"/>
      <c r="BX9" s="222"/>
      <c r="BY9" s="222"/>
      <c r="BZ9" s="222"/>
      <c r="CA9" s="222"/>
      <c r="CB9" s="222">
        <f t="shared" si="22"/>
        <v>0</v>
      </c>
      <c r="CC9" s="347">
        <f t="shared" si="5"/>
        <v>300</v>
      </c>
      <c r="CD9" s="224"/>
      <c r="CE9" s="225"/>
      <c r="CF9" s="226" t="s">
        <v>73</v>
      </c>
      <c r="CG9" s="227"/>
      <c r="CH9" s="227"/>
      <c r="CI9" s="227"/>
      <c r="CJ9" s="227"/>
      <c r="CK9" s="227"/>
      <c r="CL9" s="227"/>
      <c r="CM9" s="227"/>
      <c r="CN9" s="227">
        <v>1</v>
      </c>
      <c r="CO9" s="227"/>
      <c r="CP9" s="227"/>
      <c r="CQ9" s="227"/>
      <c r="CR9" s="227"/>
      <c r="CS9" s="227">
        <f t="shared" si="6"/>
        <v>1</v>
      </c>
      <c r="CT9" s="227"/>
      <c r="CU9" s="227"/>
      <c r="CV9" s="227"/>
      <c r="CW9" s="227"/>
      <c r="CX9" s="227"/>
      <c r="CY9" s="227"/>
      <c r="CZ9" s="227"/>
      <c r="DA9" s="227"/>
      <c r="DB9" s="227"/>
      <c r="DC9" s="227"/>
      <c r="DD9" s="227"/>
      <c r="DE9" s="227">
        <v>1</v>
      </c>
      <c r="DF9" s="227">
        <f t="shared" si="7"/>
        <v>1</v>
      </c>
      <c r="DG9" s="227"/>
      <c r="DH9" s="227"/>
      <c r="DI9" s="227"/>
      <c r="DJ9" s="227"/>
      <c r="DK9" s="227"/>
      <c r="DL9" s="227"/>
      <c r="DM9" s="227"/>
      <c r="DN9" s="227"/>
      <c r="DO9" s="227"/>
      <c r="DP9" s="227"/>
      <c r="DQ9" s="227"/>
      <c r="DR9" s="227"/>
      <c r="DS9" s="227">
        <f t="shared" si="8"/>
        <v>0</v>
      </c>
      <c r="DT9" s="227"/>
      <c r="DU9" s="227"/>
      <c r="DV9" s="227"/>
      <c r="DW9" s="227"/>
      <c r="DX9" s="227"/>
      <c r="DY9" s="227"/>
      <c r="DZ9" s="227"/>
      <c r="EA9" s="227"/>
      <c r="EB9" s="227"/>
      <c r="EC9" s="227"/>
      <c r="ED9" s="227"/>
      <c r="EE9" s="227"/>
      <c r="EF9" s="227">
        <f t="shared" si="9"/>
        <v>0</v>
      </c>
      <c r="EG9" s="227"/>
      <c r="EH9" s="227"/>
      <c r="EI9" s="227"/>
      <c r="EJ9" s="227"/>
      <c r="EK9" s="227"/>
      <c r="EL9" s="227"/>
      <c r="EM9" s="227"/>
      <c r="EN9" s="227"/>
      <c r="EO9" s="227"/>
      <c r="EP9" s="227"/>
      <c r="EQ9" s="227"/>
      <c r="ER9" s="227"/>
      <c r="ES9" s="227">
        <f t="shared" si="10"/>
        <v>0</v>
      </c>
      <c r="ET9" s="228">
        <f t="shared" si="11"/>
        <v>2</v>
      </c>
      <c r="EU9" s="225"/>
      <c r="EV9" s="229"/>
      <c r="EW9" s="222"/>
      <c r="EX9" s="222"/>
      <c r="EY9" s="222"/>
      <c r="EZ9" s="222"/>
      <c r="FA9" s="222"/>
      <c r="FB9" s="222">
        <f t="shared" ref="FB9:FB10" si="24">SUM(EW9:FA9)</f>
        <v>0</v>
      </c>
      <c r="FC9" s="229"/>
      <c r="FD9" s="230"/>
      <c r="FE9" s="222"/>
      <c r="FF9" s="222"/>
      <c r="FG9" s="222"/>
      <c r="FH9" s="222"/>
      <c r="FI9" s="222"/>
      <c r="FJ9" s="222">
        <f t="shared" ref="FJ9:FJ10" si="25">SUM(FE9:FI9)</f>
        <v>0</v>
      </c>
      <c r="FK9" s="231"/>
      <c r="FL9" s="229"/>
      <c r="FM9" s="232"/>
      <c r="FN9" s="222"/>
      <c r="FO9" s="222"/>
      <c r="FP9" s="222"/>
      <c r="FQ9" s="222"/>
      <c r="FR9" s="222"/>
      <c r="FS9" s="222">
        <f t="shared" ref="FS9:FS10" si="26">SUM(FN9:FR9)</f>
        <v>0</v>
      </c>
      <c r="FT9" s="233"/>
      <c r="FU9" s="234">
        <v>0</v>
      </c>
      <c r="FV9" s="234">
        <v>0</v>
      </c>
      <c r="FW9" s="234">
        <f>IFERROR(VLOOKUP(G9,[2]CEI_032018!$A$1:$U$509,9,FALSE),0)</f>
        <v>0</v>
      </c>
      <c r="FX9" s="234">
        <f>IFERROR(VLOOKUP(G9,[2]CEI_042018!$A$1:$U$493,9,FALSE),0)</f>
        <v>0</v>
      </c>
      <c r="FY9" s="234"/>
      <c r="FZ9" s="234"/>
      <c r="GA9" s="234"/>
      <c r="GB9" s="234"/>
      <c r="GC9" s="234"/>
      <c r="GD9" s="234"/>
      <c r="GE9" s="234"/>
      <c r="GF9" s="234"/>
      <c r="GG9" s="234">
        <f t="shared" si="15"/>
        <v>0</v>
      </c>
      <c r="GH9" s="234">
        <f>IFERROR(VLOOKUP(G9,[2]CEI_042018!$A$1:$U$493,12,FALSE),0)</f>
        <v>0</v>
      </c>
      <c r="GI9" s="234">
        <f t="shared" si="16"/>
        <v>0</v>
      </c>
      <c r="GJ9" s="234">
        <f t="shared" si="17"/>
        <v>150</v>
      </c>
      <c r="GK9" s="234">
        <f>IFERROR(IF('[2]TESTE TESTE'!$Z$3=1,SUM(FU9),IF('[2]TESTE TESTE'!$Z$3=2,SUM(FU9:FV9),IF('[2]TESTE TESTE'!$Z$3=3,SUM(FU9:FW9),IF('[2]TESTE TESTE'!$Z$3=4,SUM(FU9:FX9),IF('[2]TESTE TESTE'!$Z$3=5,SUM(FU9:FY9),IF('[2]TESTE TESTE'!$Z$3=6,SUM(FU9:FZ9),IF('[2]TESTE TESTE'!$Z$3=7,SUM(FU9:GA9),IF('[2]TESTE TESTE'!$Z$3=8,SUM(FU9:GB9),IF('[2]TESTE TESTE'!$Z$3=9,SUM(FU9:GC9),IF('[2]TESTE TESTE'!$Z$3=10,SUM(FU9:GD9),IF('[2]TESTE TESTE'!$Z$3=11,SUM(FU9:GE9),IF('[2]TESTE TESTE'!$Z$3=12,SUM(FU9:GF9,))))))))))))),"")</f>
        <v>0</v>
      </c>
      <c r="GL9" s="234">
        <f>IFERROR(IF('[2]TESTE TESTE'!$Z$3=1,SUM(P9),IF('[2]TESTE TESTE'!$Z$3=2,SUM(P9:Q9),IF('[2]TESTE TESTE'!$Z$3=3,SUM(P9:R9),IF('[2]TESTE TESTE'!$Z$3=4,SUM(P9:S9),IF('[2]TESTE TESTE'!$Z$3=5,SUM(P9:T9),IF('[2]TESTE TESTE'!$Z$3=6,SUM(P9:U9),IF('[2]TESTE TESTE'!$Z$3=7,SUM(P9:V9),IF('[2]TESTE TESTE'!$Z$3=8,SUM(P9:W9),IF('[2]TESTE TESTE'!$Z$3=9,SUM(P9:X9),IF('[2]TESTE TESTE'!$Z$3=10,SUM(P9:Y9),IF('[2]TESTE TESTE'!$Z$3=11,SUM(P9:Z9),IF('[2]TESTE TESTE'!$Z$3=12,SUM(P9:AA9,))))))))))))),"")</f>
        <v>150</v>
      </c>
    </row>
    <row r="10" spans="1:194" s="235" customFormat="1" ht="12.95" customHeight="1" x14ac:dyDescent="0.2">
      <c r="A10" s="546"/>
      <c r="B10" s="217" t="s">
        <v>57</v>
      </c>
      <c r="C10" s="218" t="s">
        <v>40</v>
      </c>
      <c r="D10" s="217" t="s">
        <v>61</v>
      </c>
      <c r="E10" s="217" t="s">
        <v>226</v>
      </c>
      <c r="F10" s="218" t="s">
        <v>274</v>
      </c>
      <c r="G10" s="219" t="s">
        <v>59</v>
      </c>
      <c r="H10" s="219"/>
      <c r="I10" s="217" t="s">
        <v>275</v>
      </c>
      <c r="J10" s="217" t="s">
        <v>276</v>
      </c>
      <c r="K10" s="217" t="s">
        <v>277</v>
      </c>
      <c r="L10" s="217" t="s">
        <v>278</v>
      </c>
      <c r="M10" s="217"/>
      <c r="N10" s="217" t="s">
        <v>279</v>
      </c>
      <c r="O10" s="220"/>
      <c r="P10" s="221"/>
      <c r="Q10" s="222"/>
      <c r="R10" s="222"/>
      <c r="S10" s="222"/>
      <c r="T10" s="222"/>
      <c r="U10" s="222"/>
      <c r="V10" s="222"/>
      <c r="W10" s="222">
        <v>60</v>
      </c>
      <c r="X10" s="222"/>
      <c r="Y10" s="222"/>
      <c r="Z10" s="222"/>
      <c r="AA10" s="222"/>
      <c r="AB10" s="223">
        <f t="shared" si="18"/>
        <v>60</v>
      </c>
      <c r="AC10" s="222"/>
      <c r="AD10" s="222"/>
      <c r="AE10" s="222"/>
      <c r="AF10" s="222"/>
      <c r="AG10" s="222"/>
      <c r="AH10" s="222"/>
      <c r="AI10" s="222"/>
      <c r="AJ10" s="222"/>
      <c r="AK10" s="222"/>
      <c r="AL10" s="222"/>
      <c r="AM10" s="222"/>
      <c r="AN10" s="318"/>
      <c r="AO10" s="222">
        <f t="shared" si="19"/>
        <v>0</v>
      </c>
      <c r="AP10" s="222"/>
      <c r="AQ10" s="222"/>
      <c r="AR10" s="222"/>
      <c r="AS10" s="222"/>
      <c r="AT10" s="222"/>
      <c r="AU10" s="222"/>
      <c r="AV10" s="222"/>
      <c r="AW10" s="222"/>
      <c r="AX10" s="222"/>
      <c r="AY10" s="222"/>
      <c r="AZ10" s="222"/>
      <c r="BA10" s="222"/>
      <c r="BB10" s="222">
        <f t="shared" si="20"/>
        <v>0</v>
      </c>
      <c r="BC10" s="222"/>
      <c r="BD10" s="222"/>
      <c r="BE10" s="222"/>
      <c r="BF10" s="222"/>
      <c r="BG10" s="222"/>
      <c r="BH10" s="222"/>
      <c r="BI10" s="222"/>
      <c r="BJ10" s="222"/>
      <c r="BK10" s="222"/>
      <c r="BL10" s="222"/>
      <c r="BM10" s="222"/>
      <c r="BN10" s="222"/>
      <c r="BO10" s="222">
        <f t="shared" si="21"/>
        <v>0</v>
      </c>
      <c r="BP10" s="222"/>
      <c r="BQ10" s="222"/>
      <c r="BR10" s="222"/>
      <c r="BS10" s="222"/>
      <c r="BT10" s="222"/>
      <c r="BU10" s="222"/>
      <c r="BV10" s="222"/>
      <c r="BW10" s="222"/>
      <c r="BX10" s="222"/>
      <c r="BY10" s="222"/>
      <c r="BZ10" s="222"/>
      <c r="CA10" s="222"/>
      <c r="CB10" s="222">
        <f t="shared" si="22"/>
        <v>0</v>
      </c>
      <c r="CC10" s="347">
        <f t="shared" si="5"/>
        <v>60</v>
      </c>
      <c r="CD10" s="224"/>
      <c r="CE10" s="225"/>
      <c r="CF10" s="226" t="s">
        <v>73</v>
      </c>
      <c r="CG10" s="227"/>
      <c r="CH10" s="227"/>
      <c r="CI10" s="227"/>
      <c r="CJ10" s="227"/>
      <c r="CK10" s="227"/>
      <c r="CL10" s="227"/>
      <c r="CM10" s="227"/>
      <c r="CN10" s="227">
        <v>1</v>
      </c>
      <c r="CO10" s="227"/>
      <c r="CP10" s="227"/>
      <c r="CQ10" s="227"/>
      <c r="CR10" s="227"/>
      <c r="CS10" s="227">
        <f t="shared" si="6"/>
        <v>1</v>
      </c>
      <c r="CT10" s="227"/>
      <c r="CU10" s="227"/>
      <c r="CV10" s="227"/>
      <c r="CW10" s="227"/>
      <c r="CX10" s="227"/>
      <c r="CY10" s="227"/>
      <c r="CZ10" s="227"/>
      <c r="DA10" s="227"/>
      <c r="DB10" s="227"/>
      <c r="DC10" s="227"/>
      <c r="DD10" s="227"/>
      <c r="DE10" s="227"/>
      <c r="DF10" s="227">
        <f t="shared" si="7"/>
        <v>0</v>
      </c>
      <c r="DG10" s="227"/>
      <c r="DH10" s="227"/>
      <c r="DI10" s="227"/>
      <c r="DJ10" s="227"/>
      <c r="DK10" s="227"/>
      <c r="DL10" s="227"/>
      <c r="DM10" s="227"/>
      <c r="DN10" s="227"/>
      <c r="DO10" s="227"/>
      <c r="DP10" s="227"/>
      <c r="DQ10" s="227"/>
      <c r="DR10" s="227"/>
      <c r="DS10" s="227">
        <f t="shared" si="8"/>
        <v>0</v>
      </c>
      <c r="DT10" s="227"/>
      <c r="DU10" s="227"/>
      <c r="DV10" s="227"/>
      <c r="DW10" s="227"/>
      <c r="DX10" s="227"/>
      <c r="DY10" s="227"/>
      <c r="DZ10" s="227"/>
      <c r="EA10" s="227"/>
      <c r="EB10" s="227"/>
      <c r="EC10" s="227"/>
      <c r="ED10" s="227"/>
      <c r="EE10" s="227"/>
      <c r="EF10" s="227">
        <f t="shared" si="9"/>
        <v>0</v>
      </c>
      <c r="EG10" s="227"/>
      <c r="EH10" s="227"/>
      <c r="EI10" s="227"/>
      <c r="EJ10" s="227"/>
      <c r="EK10" s="227"/>
      <c r="EL10" s="227"/>
      <c r="EM10" s="227"/>
      <c r="EN10" s="227"/>
      <c r="EO10" s="227"/>
      <c r="EP10" s="227"/>
      <c r="EQ10" s="227"/>
      <c r="ER10" s="227"/>
      <c r="ES10" s="227">
        <f t="shared" si="10"/>
        <v>0</v>
      </c>
      <c r="ET10" s="228">
        <f t="shared" si="11"/>
        <v>1</v>
      </c>
      <c r="EU10" s="225"/>
      <c r="EV10" s="229"/>
      <c r="EW10" s="222"/>
      <c r="EX10" s="222"/>
      <c r="EY10" s="222"/>
      <c r="EZ10" s="222"/>
      <c r="FA10" s="222"/>
      <c r="FB10" s="222">
        <f t="shared" si="24"/>
        <v>0</v>
      </c>
      <c r="FC10" s="229"/>
      <c r="FD10" s="230"/>
      <c r="FE10" s="222"/>
      <c r="FF10" s="222"/>
      <c r="FG10" s="222"/>
      <c r="FH10" s="222"/>
      <c r="FI10" s="222"/>
      <c r="FJ10" s="222">
        <f t="shared" si="25"/>
        <v>0</v>
      </c>
      <c r="FK10" s="231"/>
      <c r="FL10" s="229"/>
      <c r="FM10" s="232"/>
      <c r="FN10" s="222"/>
      <c r="FO10" s="222"/>
      <c r="FP10" s="222"/>
      <c r="FQ10" s="222"/>
      <c r="FR10" s="222"/>
      <c r="FS10" s="222">
        <f t="shared" si="26"/>
        <v>0</v>
      </c>
      <c r="FT10" s="233"/>
      <c r="FU10" s="234">
        <v>0</v>
      </c>
      <c r="FV10" s="234">
        <v>0</v>
      </c>
      <c r="FW10" s="234">
        <f>IFERROR(VLOOKUP(G10,[2]CEI_032018!$A$1:$U$509,9,FALSE),0)</f>
        <v>0</v>
      </c>
      <c r="FX10" s="234">
        <f>IFERROR(VLOOKUP(G10,[2]CEI_042018!$A$1:$U$493,9,FALSE),0)</f>
        <v>0</v>
      </c>
      <c r="FY10" s="234"/>
      <c r="FZ10" s="234"/>
      <c r="GA10" s="234"/>
      <c r="GB10" s="234"/>
      <c r="GC10" s="234"/>
      <c r="GD10" s="234"/>
      <c r="GE10" s="234"/>
      <c r="GF10" s="234"/>
      <c r="GG10" s="234">
        <f t="shared" si="15"/>
        <v>0</v>
      </c>
      <c r="GH10" s="234">
        <f>IFERROR(VLOOKUP(G10,[2]CEI_042018!$A$1:$U$493,12,FALSE),0)</f>
        <v>0</v>
      </c>
      <c r="GI10" s="234">
        <f t="shared" si="16"/>
        <v>0</v>
      </c>
      <c r="GJ10" s="234">
        <f t="shared" si="17"/>
        <v>60</v>
      </c>
      <c r="GK10" s="234">
        <f>IFERROR(IF('[2]TESTE TESTE'!$Z$3=1,SUM(FU10),IF('[2]TESTE TESTE'!$Z$3=2,SUM(FU10:FV10),IF('[2]TESTE TESTE'!$Z$3=3,SUM(FU10:FW10),IF('[2]TESTE TESTE'!$Z$3=4,SUM(FU10:FX10),IF('[2]TESTE TESTE'!$Z$3=5,SUM(FU10:FY10),IF('[2]TESTE TESTE'!$Z$3=6,SUM(FU10:FZ10),IF('[2]TESTE TESTE'!$Z$3=7,SUM(FU10:GA10),IF('[2]TESTE TESTE'!$Z$3=8,SUM(FU10:GB10),IF('[2]TESTE TESTE'!$Z$3=9,SUM(FU10:GC10),IF('[2]TESTE TESTE'!$Z$3=10,SUM(FU10:GD10),IF('[2]TESTE TESTE'!$Z$3=11,SUM(FU10:GE10),IF('[2]TESTE TESTE'!$Z$3=12,SUM(FU10:GF10,))))))))))))),"")</f>
        <v>0</v>
      </c>
      <c r="GL10" s="234">
        <f>IFERROR(IF('[2]TESTE TESTE'!$Z$3=1,SUM(P10),IF('[2]TESTE TESTE'!$Z$3=2,SUM(P10:Q10),IF('[2]TESTE TESTE'!$Z$3=3,SUM(P10:R10),IF('[2]TESTE TESTE'!$Z$3=4,SUM(P10:S10),IF('[2]TESTE TESTE'!$Z$3=5,SUM(P10:T10),IF('[2]TESTE TESTE'!$Z$3=6,SUM(P10:U10),IF('[2]TESTE TESTE'!$Z$3=7,SUM(P10:V10),IF('[2]TESTE TESTE'!$Z$3=8,SUM(P10:W10),IF('[2]TESTE TESTE'!$Z$3=9,SUM(P10:X10),IF('[2]TESTE TESTE'!$Z$3=10,SUM(P10:Y10),IF('[2]TESTE TESTE'!$Z$3=11,SUM(P10:Z10),IF('[2]TESTE TESTE'!$Z$3=12,SUM(P10:AA10,))))))))))))),"")</f>
        <v>60</v>
      </c>
    </row>
    <row r="11" spans="1:194" s="235" customFormat="1" ht="12.95" customHeight="1" x14ac:dyDescent="0.2">
      <c r="A11" s="546"/>
      <c r="B11" s="217" t="s">
        <v>57</v>
      </c>
      <c r="C11" s="218" t="s">
        <v>40</v>
      </c>
      <c r="D11" s="217" t="s">
        <v>61</v>
      </c>
      <c r="E11" s="217" t="s">
        <v>226</v>
      </c>
      <c r="F11" s="218" t="s">
        <v>227</v>
      </c>
      <c r="G11" s="219" t="s">
        <v>59</v>
      </c>
      <c r="H11" s="219"/>
      <c r="I11" s="217" t="s">
        <v>240</v>
      </c>
      <c r="J11" s="217" t="s">
        <v>238</v>
      </c>
      <c r="K11" s="217" t="s">
        <v>239</v>
      </c>
      <c r="L11" s="217" t="s">
        <v>236</v>
      </c>
      <c r="M11" s="217"/>
      <c r="N11" s="217" t="s">
        <v>231</v>
      </c>
      <c r="O11" s="220"/>
      <c r="P11" s="221"/>
      <c r="Q11" s="222"/>
      <c r="R11" s="222"/>
      <c r="S11" s="222"/>
      <c r="T11" s="222"/>
      <c r="U11" s="222"/>
      <c r="V11" s="222"/>
      <c r="W11" s="222">
        <v>8</v>
      </c>
      <c r="X11" s="222"/>
      <c r="Y11" s="222"/>
      <c r="Z11" s="222"/>
      <c r="AA11" s="222"/>
      <c r="AB11" s="223">
        <f t="shared" si="18"/>
        <v>8</v>
      </c>
      <c r="AC11" s="222"/>
      <c r="AD11" s="222"/>
      <c r="AE11" s="222"/>
      <c r="AF11" s="222"/>
      <c r="AG11" s="222"/>
      <c r="AH11" s="222"/>
      <c r="AI11" s="222"/>
      <c r="AJ11" s="222"/>
      <c r="AK11" s="222"/>
      <c r="AL11" s="222"/>
      <c r="AM11" s="222"/>
      <c r="AN11" s="318"/>
      <c r="AO11" s="222">
        <f t="shared" si="19"/>
        <v>0</v>
      </c>
      <c r="AP11" s="222"/>
      <c r="AQ11" s="222"/>
      <c r="AR11" s="222"/>
      <c r="AS11" s="222"/>
      <c r="AT11" s="222"/>
      <c r="AU11" s="222"/>
      <c r="AV11" s="222"/>
      <c r="AW11" s="222"/>
      <c r="AX11" s="222"/>
      <c r="AY11" s="222"/>
      <c r="AZ11" s="222"/>
      <c r="BA11" s="222"/>
      <c r="BB11" s="222">
        <f t="shared" si="20"/>
        <v>0</v>
      </c>
      <c r="BC11" s="222"/>
      <c r="BD11" s="222"/>
      <c r="BE11" s="222"/>
      <c r="BF11" s="222"/>
      <c r="BG11" s="222"/>
      <c r="BH11" s="222"/>
      <c r="BI11" s="222"/>
      <c r="BJ11" s="222"/>
      <c r="BK11" s="222"/>
      <c r="BL11" s="222"/>
      <c r="BM11" s="222"/>
      <c r="BN11" s="222"/>
      <c r="BO11" s="222">
        <f t="shared" si="21"/>
        <v>0</v>
      </c>
      <c r="BP11" s="222"/>
      <c r="BQ11" s="222"/>
      <c r="BR11" s="222"/>
      <c r="BS11" s="222"/>
      <c r="BT11" s="222"/>
      <c r="BU11" s="222"/>
      <c r="BV11" s="222"/>
      <c r="BW11" s="222"/>
      <c r="BX11" s="222"/>
      <c r="BY11" s="222"/>
      <c r="BZ11" s="222"/>
      <c r="CA11" s="222"/>
      <c r="CB11" s="222">
        <f t="shared" si="22"/>
        <v>0</v>
      </c>
      <c r="CC11" s="347">
        <f t="shared" si="5"/>
        <v>8</v>
      </c>
      <c r="CD11" s="224"/>
      <c r="CE11" s="225"/>
      <c r="CF11" s="226" t="s">
        <v>73</v>
      </c>
      <c r="CG11" s="227"/>
      <c r="CH11" s="227"/>
      <c r="CI11" s="227"/>
      <c r="CJ11" s="227"/>
      <c r="CK11" s="227"/>
      <c r="CL11" s="227"/>
      <c r="CM11" s="227"/>
      <c r="CN11" s="227">
        <v>1</v>
      </c>
      <c r="CO11" s="227"/>
      <c r="CP11" s="227"/>
      <c r="CQ11" s="227"/>
      <c r="CR11" s="227"/>
      <c r="CS11" s="227">
        <f t="shared" si="6"/>
        <v>1</v>
      </c>
      <c r="CT11" s="227"/>
      <c r="CU11" s="227"/>
      <c r="CV11" s="227"/>
      <c r="CW11" s="227"/>
      <c r="CX11" s="227"/>
      <c r="CY11" s="227"/>
      <c r="CZ11" s="227"/>
      <c r="DA11" s="227"/>
      <c r="DB11" s="227"/>
      <c r="DC11" s="227"/>
      <c r="DD11" s="227"/>
      <c r="DE11" s="227"/>
      <c r="DF11" s="227">
        <f t="shared" si="7"/>
        <v>0</v>
      </c>
      <c r="DG11" s="227"/>
      <c r="DH11" s="227"/>
      <c r="DI11" s="227"/>
      <c r="DJ11" s="227"/>
      <c r="DK11" s="227"/>
      <c r="DL11" s="227"/>
      <c r="DM11" s="227"/>
      <c r="DN11" s="227"/>
      <c r="DO11" s="227"/>
      <c r="DP11" s="227"/>
      <c r="DQ11" s="227"/>
      <c r="DR11" s="227"/>
      <c r="DS11" s="227">
        <f t="shared" si="8"/>
        <v>0</v>
      </c>
      <c r="DT11" s="227"/>
      <c r="DU11" s="227"/>
      <c r="DV11" s="227"/>
      <c r="DW11" s="227"/>
      <c r="DX11" s="227"/>
      <c r="DY11" s="227"/>
      <c r="DZ11" s="227"/>
      <c r="EA11" s="227"/>
      <c r="EB11" s="227"/>
      <c r="EC11" s="227"/>
      <c r="ED11" s="227"/>
      <c r="EE11" s="227"/>
      <c r="EF11" s="227">
        <f t="shared" si="9"/>
        <v>0</v>
      </c>
      <c r="EG11" s="227"/>
      <c r="EH11" s="227"/>
      <c r="EI11" s="227"/>
      <c r="EJ11" s="227"/>
      <c r="EK11" s="227"/>
      <c r="EL11" s="227"/>
      <c r="EM11" s="227"/>
      <c r="EN11" s="227"/>
      <c r="EO11" s="227"/>
      <c r="EP11" s="227"/>
      <c r="EQ11" s="227"/>
      <c r="ER11" s="227"/>
      <c r="ES11" s="227">
        <f t="shared" si="10"/>
        <v>0</v>
      </c>
      <c r="ET11" s="228">
        <f t="shared" si="11"/>
        <v>1</v>
      </c>
      <c r="EU11" s="225"/>
      <c r="EV11" s="229"/>
      <c r="EW11" s="222"/>
      <c r="EX11" s="222"/>
      <c r="EY11" s="222"/>
      <c r="EZ11" s="222"/>
      <c r="FA11" s="222"/>
      <c r="FB11" s="222">
        <f t="shared" ref="FB11:FB23" si="27">SUM(EW11:FA11)</f>
        <v>0</v>
      </c>
      <c r="FC11" s="229"/>
      <c r="FD11" s="230"/>
      <c r="FE11" s="222"/>
      <c r="FF11" s="222"/>
      <c r="FG11" s="222"/>
      <c r="FH11" s="222"/>
      <c r="FI11" s="222"/>
      <c r="FJ11" s="222">
        <f t="shared" ref="FJ11:FJ23" si="28">SUM(FE11:FI11)</f>
        <v>0</v>
      </c>
      <c r="FK11" s="231"/>
      <c r="FL11" s="229"/>
      <c r="FM11" s="232"/>
      <c r="FN11" s="222"/>
      <c r="FO11" s="222"/>
      <c r="FP11" s="222"/>
      <c r="FQ11" s="222"/>
      <c r="FR11" s="222"/>
      <c r="FS11" s="222">
        <f t="shared" ref="FS11:FS21" si="29">SUM(FN11:FR11)</f>
        <v>0</v>
      </c>
      <c r="FT11" s="233"/>
      <c r="FU11" s="234">
        <v>0</v>
      </c>
      <c r="FV11" s="234">
        <v>0</v>
      </c>
      <c r="FW11" s="234">
        <f>IFERROR(VLOOKUP(G11,[2]CEI_032018!$A$1:$U$509,9,FALSE),0)</f>
        <v>0</v>
      </c>
      <c r="FX11" s="234">
        <f>IFERROR(VLOOKUP(G11,[2]CEI_042018!$A$1:$U$493,9,FALSE),0)</f>
        <v>0</v>
      </c>
      <c r="FY11" s="234"/>
      <c r="FZ11" s="234"/>
      <c r="GA11" s="234"/>
      <c r="GB11" s="234"/>
      <c r="GC11" s="234"/>
      <c r="GD11" s="234"/>
      <c r="GE11" s="234"/>
      <c r="GF11" s="234"/>
      <c r="GG11" s="234">
        <f t="shared" si="15"/>
        <v>0</v>
      </c>
      <c r="GH11" s="234">
        <f>IFERROR(VLOOKUP(G11,[2]CEI_042018!$A$1:$U$493,12,FALSE),0)</f>
        <v>0</v>
      </c>
      <c r="GI11" s="234">
        <f t="shared" si="16"/>
        <v>0</v>
      </c>
      <c r="GJ11" s="234">
        <f t="shared" si="17"/>
        <v>8</v>
      </c>
      <c r="GK11" s="234">
        <f>IFERROR(IF('[2]TESTE TESTE'!$Z$3=1,SUM(FU11),IF('[2]TESTE TESTE'!$Z$3=2,SUM(FU11:FV11),IF('[2]TESTE TESTE'!$Z$3=3,SUM(FU11:FW11),IF('[2]TESTE TESTE'!$Z$3=4,SUM(FU11:FX11),IF('[2]TESTE TESTE'!$Z$3=5,SUM(FU11:FY11),IF('[2]TESTE TESTE'!$Z$3=6,SUM(FU11:FZ11),IF('[2]TESTE TESTE'!$Z$3=7,SUM(FU11:GA11),IF('[2]TESTE TESTE'!$Z$3=8,SUM(FU11:GB11),IF('[2]TESTE TESTE'!$Z$3=9,SUM(FU11:GC11),IF('[2]TESTE TESTE'!$Z$3=10,SUM(FU11:GD11),IF('[2]TESTE TESTE'!$Z$3=11,SUM(FU11:GE11),IF('[2]TESTE TESTE'!$Z$3=12,SUM(FU11:GF11,))))))))))))),"")</f>
        <v>0</v>
      </c>
      <c r="GL11" s="234">
        <f>IFERROR(IF('[2]TESTE TESTE'!$Z$3=1,SUM(P11),IF('[2]TESTE TESTE'!$Z$3=2,SUM(P11:Q11),IF('[2]TESTE TESTE'!$Z$3=3,SUM(P11:R11),IF('[2]TESTE TESTE'!$Z$3=4,SUM(P11:S11),IF('[2]TESTE TESTE'!$Z$3=5,SUM(P11:T11),IF('[2]TESTE TESTE'!$Z$3=6,SUM(P11:U11),IF('[2]TESTE TESTE'!$Z$3=7,SUM(P11:V11),IF('[2]TESTE TESTE'!$Z$3=8,SUM(P11:W11),IF('[2]TESTE TESTE'!$Z$3=9,SUM(P11:X11),IF('[2]TESTE TESTE'!$Z$3=10,SUM(P11:Y11),IF('[2]TESTE TESTE'!$Z$3=11,SUM(P11:Z11),IF('[2]TESTE TESTE'!$Z$3=12,SUM(P11:AA11,))))))))))))),"")</f>
        <v>8</v>
      </c>
    </row>
    <row r="12" spans="1:194" s="235" customFormat="1" ht="12.75" customHeight="1" x14ac:dyDescent="0.2">
      <c r="A12" s="546"/>
      <c r="B12" s="217" t="s">
        <v>57</v>
      </c>
      <c r="C12" s="218" t="s">
        <v>40</v>
      </c>
      <c r="D12" s="217" t="s">
        <v>61</v>
      </c>
      <c r="E12" s="217" t="s">
        <v>226</v>
      </c>
      <c r="F12" s="218" t="s">
        <v>233</v>
      </c>
      <c r="G12" s="219" t="s">
        <v>59</v>
      </c>
      <c r="H12" s="219"/>
      <c r="I12" s="217" t="s">
        <v>252</v>
      </c>
      <c r="J12" s="217" t="s">
        <v>253</v>
      </c>
      <c r="K12" s="217" t="s">
        <v>254</v>
      </c>
      <c r="L12" s="217" t="s">
        <v>236</v>
      </c>
      <c r="M12" s="217"/>
      <c r="N12" s="217" t="s">
        <v>231</v>
      </c>
      <c r="O12" s="220"/>
      <c r="P12" s="221"/>
      <c r="Q12" s="222"/>
      <c r="R12" s="222"/>
      <c r="S12" s="222"/>
      <c r="T12" s="222"/>
      <c r="U12" s="222"/>
      <c r="V12" s="222"/>
      <c r="W12" s="222">
        <v>4</v>
      </c>
      <c r="X12" s="222"/>
      <c r="Y12" s="222"/>
      <c r="Z12" s="222"/>
      <c r="AA12" s="222"/>
      <c r="AB12" s="223">
        <f t="shared" si="18"/>
        <v>4</v>
      </c>
      <c r="AC12" s="222"/>
      <c r="AD12" s="222"/>
      <c r="AE12" s="222"/>
      <c r="AF12" s="222"/>
      <c r="AG12" s="222"/>
      <c r="AH12" s="222"/>
      <c r="AI12" s="222"/>
      <c r="AJ12" s="222"/>
      <c r="AK12" s="222"/>
      <c r="AL12" s="222"/>
      <c r="AM12" s="222"/>
      <c r="AN12" s="318">
        <v>4</v>
      </c>
      <c r="AO12" s="222">
        <f t="shared" si="19"/>
        <v>4</v>
      </c>
      <c r="AP12" s="222"/>
      <c r="AQ12" s="222"/>
      <c r="AR12" s="222"/>
      <c r="AS12" s="222"/>
      <c r="AT12" s="222"/>
      <c r="AU12" s="222"/>
      <c r="AV12" s="222"/>
      <c r="AW12" s="222"/>
      <c r="AX12" s="222"/>
      <c r="AY12" s="222"/>
      <c r="AZ12" s="222"/>
      <c r="BA12" s="222"/>
      <c r="BB12" s="222">
        <f t="shared" si="20"/>
        <v>0</v>
      </c>
      <c r="BC12" s="222"/>
      <c r="BD12" s="222"/>
      <c r="BE12" s="222"/>
      <c r="BF12" s="222"/>
      <c r="BG12" s="222"/>
      <c r="BH12" s="222"/>
      <c r="BI12" s="222"/>
      <c r="BJ12" s="222"/>
      <c r="BK12" s="222"/>
      <c r="BL12" s="222"/>
      <c r="BM12" s="222"/>
      <c r="BN12" s="222"/>
      <c r="BO12" s="222">
        <f t="shared" si="21"/>
        <v>0</v>
      </c>
      <c r="BP12" s="222"/>
      <c r="BQ12" s="222"/>
      <c r="BR12" s="222"/>
      <c r="BS12" s="222"/>
      <c r="BT12" s="222"/>
      <c r="BU12" s="222"/>
      <c r="BV12" s="222"/>
      <c r="BW12" s="222"/>
      <c r="BX12" s="222"/>
      <c r="BY12" s="222"/>
      <c r="BZ12" s="222"/>
      <c r="CA12" s="222"/>
      <c r="CB12" s="222">
        <f t="shared" si="22"/>
        <v>0</v>
      </c>
      <c r="CC12" s="347">
        <f t="shared" si="5"/>
        <v>8</v>
      </c>
      <c r="CD12" s="224"/>
      <c r="CE12" s="225"/>
      <c r="CF12" s="226" t="s">
        <v>73</v>
      </c>
      <c r="CG12" s="227"/>
      <c r="CH12" s="227"/>
      <c r="CI12" s="227"/>
      <c r="CJ12" s="227"/>
      <c r="CK12" s="227"/>
      <c r="CL12" s="227"/>
      <c r="CM12" s="227"/>
      <c r="CN12" s="227">
        <v>2</v>
      </c>
      <c r="CO12" s="227"/>
      <c r="CP12" s="227"/>
      <c r="CQ12" s="227"/>
      <c r="CR12" s="227"/>
      <c r="CS12" s="227">
        <f t="shared" si="6"/>
        <v>2</v>
      </c>
      <c r="CT12" s="227"/>
      <c r="CU12" s="227"/>
      <c r="CV12" s="227"/>
      <c r="CW12" s="227"/>
      <c r="CX12" s="227"/>
      <c r="CY12" s="227"/>
      <c r="CZ12" s="227"/>
      <c r="DA12" s="227"/>
      <c r="DB12" s="227"/>
      <c r="DC12" s="227"/>
      <c r="DD12" s="227"/>
      <c r="DE12" s="227">
        <v>1</v>
      </c>
      <c r="DF12" s="227">
        <f t="shared" si="7"/>
        <v>1</v>
      </c>
      <c r="DG12" s="227"/>
      <c r="DH12" s="227"/>
      <c r="DI12" s="227"/>
      <c r="DJ12" s="227"/>
      <c r="DK12" s="227"/>
      <c r="DL12" s="227"/>
      <c r="DM12" s="227"/>
      <c r="DN12" s="227"/>
      <c r="DO12" s="227"/>
      <c r="DP12" s="227"/>
      <c r="DQ12" s="227"/>
      <c r="DR12" s="227"/>
      <c r="DS12" s="227">
        <f t="shared" si="8"/>
        <v>0</v>
      </c>
      <c r="DT12" s="227"/>
      <c r="DU12" s="227"/>
      <c r="DV12" s="227"/>
      <c r="DW12" s="227"/>
      <c r="DX12" s="227"/>
      <c r="DY12" s="227"/>
      <c r="DZ12" s="227"/>
      <c r="EA12" s="227"/>
      <c r="EB12" s="227"/>
      <c r="EC12" s="227"/>
      <c r="ED12" s="227"/>
      <c r="EE12" s="227"/>
      <c r="EF12" s="227">
        <f t="shared" si="9"/>
        <v>0</v>
      </c>
      <c r="EG12" s="227"/>
      <c r="EH12" s="227"/>
      <c r="EI12" s="227"/>
      <c r="EJ12" s="227"/>
      <c r="EK12" s="227"/>
      <c r="EL12" s="227"/>
      <c r="EM12" s="227"/>
      <c r="EN12" s="227"/>
      <c r="EO12" s="227"/>
      <c r="EP12" s="227"/>
      <c r="EQ12" s="227"/>
      <c r="ER12" s="227"/>
      <c r="ES12" s="227">
        <f t="shared" si="10"/>
        <v>0</v>
      </c>
      <c r="ET12" s="228">
        <f t="shared" si="11"/>
        <v>3</v>
      </c>
      <c r="EU12" s="225"/>
      <c r="EV12" s="229"/>
      <c r="EW12" s="222"/>
      <c r="EX12" s="222"/>
      <c r="EY12" s="222"/>
      <c r="EZ12" s="222"/>
      <c r="FA12" s="222"/>
      <c r="FB12" s="222">
        <f t="shared" si="27"/>
        <v>0</v>
      </c>
      <c r="FC12" s="229"/>
      <c r="FD12" s="230"/>
      <c r="FE12" s="222"/>
      <c r="FF12" s="222"/>
      <c r="FG12" s="222"/>
      <c r="FH12" s="222"/>
      <c r="FI12" s="222"/>
      <c r="FJ12" s="222">
        <f t="shared" si="28"/>
        <v>0</v>
      </c>
      <c r="FK12" s="231"/>
      <c r="FL12" s="229"/>
      <c r="FM12" s="232"/>
      <c r="FN12" s="222"/>
      <c r="FO12" s="222"/>
      <c r="FP12" s="222"/>
      <c r="FQ12" s="222"/>
      <c r="FR12" s="222"/>
      <c r="FS12" s="222">
        <f t="shared" si="29"/>
        <v>0</v>
      </c>
      <c r="FT12" s="233"/>
      <c r="FU12" s="234">
        <v>0</v>
      </c>
      <c r="FV12" s="234">
        <v>0</v>
      </c>
      <c r="FW12" s="234">
        <f>IFERROR(VLOOKUP(G12,[2]CEI_032018!$A$1:$U$509,9,FALSE),0)</f>
        <v>0</v>
      </c>
      <c r="FX12" s="234">
        <f>IFERROR(VLOOKUP(G12,[2]CEI_042018!$A$1:$U$493,9,FALSE),0)</f>
        <v>0</v>
      </c>
      <c r="FY12" s="234"/>
      <c r="FZ12" s="234"/>
      <c r="GA12" s="234"/>
      <c r="GB12" s="234"/>
      <c r="GC12" s="234"/>
      <c r="GD12" s="234"/>
      <c r="GE12" s="234"/>
      <c r="GF12" s="234"/>
      <c r="GG12" s="234">
        <f t="shared" si="15"/>
        <v>0</v>
      </c>
      <c r="GH12" s="234">
        <f>IFERROR(VLOOKUP(G12,[2]CEI_042018!$A$1:$U$493,12,FALSE),0)</f>
        <v>0</v>
      </c>
      <c r="GI12" s="234">
        <f t="shared" si="16"/>
        <v>0</v>
      </c>
      <c r="GJ12" s="234">
        <f t="shared" si="17"/>
        <v>4</v>
      </c>
      <c r="GK12" s="234">
        <f>IFERROR(IF('[2]TESTE TESTE'!$Z$3=1,SUM(FU12),IF('[2]TESTE TESTE'!$Z$3=2,SUM(FU12:FV12),IF('[2]TESTE TESTE'!$Z$3=3,SUM(FU12:FW12),IF('[2]TESTE TESTE'!$Z$3=4,SUM(FU12:FX12),IF('[2]TESTE TESTE'!$Z$3=5,SUM(FU12:FY12),IF('[2]TESTE TESTE'!$Z$3=6,SUM(FU12:FZ12),IF('[2]TESTE TESTE'!$Z$3=7,SUM(FU12:GA12),IF('[2]TESTE TESTE'!$Z$3=8,SUM(FU12:GB12),IF('[2]TESTE TESTE'!$Z$3=9,SUM(FU12:GC12),IF('[2]TESTE TESTE'!$Z$3=10,SUM(FU12:GD12),IF('[2]TESTE TESTE'!$Z$3=11,SUM(FU12:GE12),IF('[2]TESTE TESTE'!$Z$3=12,SUM(FU12:GF12,))))))))))))),"")</f>
        <v>0</v>
      </c>
      <c r="GL12" s="234">
        <f>IFERROR(IF('[2]TESTE TESTE'!$Z$3=1,SUM(P12),IF('[2]TESTE TESTE'!$Z$3=2,SUM(P12:Q12),IF('[2]TESTE TESTE'!$Z$3=3,SUM(P12:R12),IF('[2]TESTE TESTE'!$Z$3=4,SUM(P12:S12),IF('[2]TESTE TESTE'!$Z$3=5,SUM(P12:T12),IF('[2]TESTE TESTE'!$Z$3=6,SUM(P12:U12),IF('[2]TESTE TESTE'!$Z$3=7,SUM(P12:V12),IF('[2]TESTE TESTE'!$Z$3=8,SUM(P12:W12),IF('[2]TESTE TESTE'!$Z$3=9,SUM(P12:X12),IF('[2]TESTE TESTE'!$Z$3=10,SUM(P12:Y12),IF('[2]TESTE TESTE'!$Z$3=11,SUM(P12:Z12),IF('[2]TESTE TESTE'!$Z$3=12,SUM(P12:AA12,))))))))))))),"")</f>
        <v>4</v>
      </c>
    </row>
    <row r="13" spans="1:194" s="235" customFormat="1" ht="12.95" customHeight="1" x14ac:dyDescent="0.2">
      <c r="A13" s="546"/>
      <c r="B13" s="217" t="s">
        <v>57</v>
      </c>
      <c r="C13" s="218" t="s">
        <v>40</v>
      </c>
      <c r="D13" s="217" t="s">
        <v>61</v>
      </c>
      <c r="E13" s="217" t="s">
        <v>226</v>
      </c>
      <c r="F13" s="218" t="s">
        <v>233</v>
      </c>
      <c r="G13" s="219" t="s">
        <v>59</v>
      </c>
      <c r="H13" s="219"/>
      <c r="I13" s="217" t="s">
        <v>257</v>
      </c>
      <c r="J13" s="217" t="s">
        <v>235</v>
      </c>
      <c r="K13" s="217" t="s">
        <v>255</v>
      </c>
      <c r="L13" s="217" t="s">
        <v>236</v>
      </c>
      <c r="M13" s="217"/>
      <c r="N13" s="217" t="s">
        <v>231</v>
      </c>
      <c r="O13" s="220"/>
      <c r="P13" s="221"/>
      <c r="Q13" s="222"/>
      <c r="R13" s="222"/>
      <c r="S13" s="222"/>
      <c r="T13" s="222"/>
      <c r="U13" s="222"/>
      <c r="V13" s="222"/>
      <c r="W13" s="222">
        <v>3</v>
      </c>
      <c r="X13" s="222"/>
      <c r="Y13" s="222"/>
      <c r="Z13" s="222"/>
      <c r="AA13" s="222"/>
      <c r="AB13" s="223">
        <f t="shared" si="18"/>
        <v>3</v>
      </c>
      <c r="AC13" s="222"/>
      <c r="AD13" s="222"/>
      <c r="AE13" s="222"/>
      <c r="AF13" s="222"/>
      <c r="AG13" s="222"/>
      <c r="AH13" s="222"/>
      <c r="AI13" s="222"/>
      <c r="AJ13" s="222"/>
      <c r="AK13" s="222"/>
      <c r="AL13" s="222"/>
      <c r="AM13" s="222"/>
      <c r="AN13" s="318">
        <v>3</v>
      </c>
      <c r="AO13" s="222">
        <f t="shared" si="19"/>
        <v>3</v>
      </c>
      <c r="AP13" s="222"/>
      <c r="AQ13" s="222"/>
      <c r="AR13" s="222"/>
      <c r="AS13" s="222"/>
      <c r="AT13" s="222"/>
      <c r="AU13" s="222"/>
      <c r="AV13" s="222"/>
      <c r="AW13" s="222"/>
      <c r="AX13" s="222"/>
      <c r="AY13" s="222"/>
      <c r="AZ13" s="222"/>
      <c r="BA13" s="222"/>
      <c r="BB13" s="222">
        <f t="shared" si="20"/>
        <v>0</v>
      </c>
      <c r="BC13" s="222"/>
      <c r="BD13" s="222"/>
      <c r="BE13" s="222"/>
      <c r="BF13" s="222"/>
      <c r="BG13" s="222"/>
      <c r="BH13" s="222"/>
      <c r="BI13" s="222"/>
      <c r="BJ13" s="222"/>
      <c r="BK13" s="222"/>
      <c r="BL13" s="222"/>
      <c r="BM13" s="222"/>
      <c r="BN13" s="222"/>
      <c r="BO13" s="222">
        <f t="shared" si="21"/>
        <v>0</v>
      </c>
      <c r="BP13" s="222"/>
      <c r="BQ13" s="222"/>
      <c r="BR13" s="222"/>
      <c r="BS13" s="222"/>
      <c r="BT13" s="222"/>
      <c r="BU13" s="222"/>
      <c r="BV13" s="222"/>
      <c r="BW13" s="222"/>
      <c r="BX13" s="222"/>
      <c r="BY13" s="222"/>
      <c r="BZ13" s="222"/>
      <c r="CA13" s="222"/>
      <c r="CB13" s="222">
        <f t="shared" si="22"/>
        <v>0</v>
      </c>
      <c r="CC13" s="347">
        <f t="shared" si="5"/>
        <v>6</v>
      </c>
      <c r="CD13" s="224"/>
      <c r="CE13" s="225"/>
      <c r="CF13" s="226" t="s">
        <v>73</v>
      </c>
      <c r="CG13" s="227"/>
      <c r="CH13" s="227"/>
      <c r="CI13" s="227"/>
      <c r="CJ13" s="227"/>
      <c r="CK13" s="227"/>
      <c r="CL13" s="227"/>
      <c r="CM13" s="227"/>
      <c r="CN13" s="227">
        <v>2</v>
      </c>
      <c r="CO13" s="227"/>
      <c r="CP13" s="227"/>
      <c r="CQ13" s="227"/>
      <c r="CR13" s="227"/>
      <c r="CS13" s="227">
        <f t="shared" si="6"/>
        <v>2</v>
      </c>
      <c r="CT13" s="227"/>
      <c r="CU13" s="227"/>
      <c r="CV13" s="227"/>
      <c r="CW13" s="227"/>
      <c r="CX13" s="227"/>
      <c r="CY13" s="227"/>
      <c r="CZ13" s="227"/>
      <c r="DA13" s="227"/>
      <c r="DB13" s="227"/>
      <c r="DC13" s="227"/>
      <c r="DD13" s="227"/>
      <c r="DE13" s="227">
        <v>1</v>
      </c>
      <c r="DF13" s="227">
        <f t="shared" si="7"/>
        <v>1</v>
      </c>
      <c r="DG13" s="227"/>
      <c r="DH13" s="227"/>
      <c r="DI13" s="227"/>
      <c r="DJ13" s="227"/>
      <c r="DK13" s="227"/>
      <c r="DL13" s="227"/>
      <c r="DM13" s="227"/>
      <c r="DN13" s="227"/>
      <c r="DO13" s="227"/>
      <c r="DP13" s="227"/>
      <c r="DQ13" s="227"/>
      <c r="DR13" s="227"/>
      <c r="DS13" s="227">
        <f t="shared" si="8"/>
        <v>0</v>
      </c>
      <c r="DT13" s="227"/>
      <c r="DU13" s="227"/>
      <c r="DV13" s="227"/>
      <c r="DW13" s="227"/>
      <c r="DX13" s="227"/>
      <c r="DY13" s="227"/>
      <c r="DZ13" s="227"/>
      <c r="EA13" s="227"/>
      <c r="EB13" s="227"/>
      <c r="EC13" s="227"/>
      <c r="ED13" s="227"/>
      <c r="EE13" s="227"/>
      <c r="EF13" s="227">
        <f t="shared" si="9"/>
        <v>0</v>
      </c>
      <c r="EG13" s="227"/>
      <c r="EH13" s="227"/>
      <c r="EI13" s="227"/>
      <c r="EJ13" s="227"/>
      <c r="EK13" s="227"/>
      <c r="EL13" s="227"/>
      <c r="EM13" s="227"/>
      <c r="EN13" s="227"/>
      <c r="EO13" s="227"/>
      <c r="EP13" s="227"/>
      <c r="EQ13" s="227"/>
      <c r="ER13" s="227"/>
      <c r="ES13" s="227">
        <f t="shared" si="10"/>
        <v>0</v>
      </c>
      <c r="ET13" s="228">
        <f t="shared" si="11"/>
        <v>3</v>
      </c>
      <c r="EU13" s="225"/>
      <c r="EV13" s="229"/>
      <c r="EW13" s="222"/>
      <c r="EX13" s="222"/>
      <c r="EY13" s="222"/>
      <c r="EZ13" s="222"/>
      <c r="FA13" s="222"/>
      <c r="FB13" s="222">
        <f t="shared" si="27"/>
        <v>0</v>
      </c>
      <c r="FC13" s="229"/>
      <c r="FD13" s="230"/>
      <c r="FE13" s="222"/>
      <c r="FF13" s="222"/>
      <c r="FG13" s="222"/>
      <c r="FH13" s="222"/>
      <c r="FI13" s="222"/>
      <c r="FJ13" s="222">
        <f t="shared" si="28"/>
        <v>0</v>
      </c>
      <c r="FK13" s="231"/>
      <c r="FL13" s="229"/>
      <c r="FM13" s="232"/>
      <c r="FN13" s="222"/>
      <c r="FO13" s="222"/>
      <c r="FP13" s="222"/>
      <c r="FQ13" s="222"/>
      <c r="FR13" s="222"/>
      <c r="FS13" s="222">
        <f t="shared" si="29"/>
        <v>0</v>
      </c>
      <c r="FT13" s="233"/>
      <c r="FU13" s="234">
        <v>0</v>
      </c>
      <c r="FV13" s="234">
        <v>0</v>
      </c>
      <c r="FW13" s="234">
        <f>IFERROR(VLOOKUP(G13,[2]CEI_032018!$A$1:$U$509,9,FALSE),0)</f>
        <v>0</v>
      </c>
      <c r="FX13" s="234">
        <f>IFERROR(VLOOKUP(G13,[2]CEI_042018!$A$1:$U$493,9,FALSE),0)</f>
        <v>0</v>
      </c>
      <c r="FY13" s="234"/>
      <c r="FZ13" s="234"/>
      <c r="GA13" s="234"/>
      <c r="GB13" s="234"/>
      <c r="GC13" s="234"/>
      <c r="GD13" s="234"/>
      <c r="GE13" s="234"/>
      <c r="GF13" s="234"/>
      <c r="GG13" s="234">
        <f t="shared" si="15"/>
        <v>0</v>
      </c>
      <c r="GH13" s="234">
        <f>IFERROR(VLOOKUP(G13,[2]CEI_042018!$A$1:$U$493,12,FALSE),0)</f>
        <v>0</v>
      </c>
      <c r="GI13" s="234">
        <f t="shared" si="16"/>
        <v>0</v>
      </c>
      <c r="GJ13" s="234">
        <f t="shared" si="17"/>
        <v>3</v>
      </c>
      <c r="GK13" s="234">
        <f>IFERROR(IF('[2]TESTE TESTE'!$Z$3=1,SUM(FU13),IF('[2]TESTE TESTE'!$Z$3=2,SUM(FU13:FV13),IF('[2]TESTE TESTE'!$Z$3=3,SUM(FU13:FW13),IF('[2]TESTE TESTE'!$Z$3=4,SUM(FU13:FX13),IF('[2]TESTE TESTE'!$Z$3=5,SUM(FU13:FY13),IF('[2]TESTE TESTE'!$Z$3=6,SUM(FU13:FZ13),IF('[2]TESTE TESTE'!$Z$3=7,SUM(FU13:GA13),IF('[2]TESTE TESTE'!$Z$3=8,SUM(FU13:GB13),IF('[2]TESTE TESTE'!$Z$3=9,SUM(FU13:GC13),IF('[2]TESTE TESTE'!$Z$3=10,SUM(FU13:GD13),IF('[2]TESTE TESTE'!$Z$3=11,SUM(FU13:GE13),IF('[2]TESTE TESTE'!$Z$3=12,SUM(FU13:GF13,))))))))))))),"")</f>
        <v>0</v>
      </c>
      <c r="GL13" s="234">
        <f>IFERROR(IF('[2]TESTE TESTE'!$Z$3=1,SUM(P13),IF('[2]TESTE TESTE'!$Z$3=2,SUM(P13:Q13),IF('[2]TESTE TESTE'!$Z$3=3,SUM(P13:R13),IF('[2]TESTE TESTE'!$Z$3=4,SUM(P13:S13),IF('[2]TESTE TESTE'!$Z$3=5,SUM(P13:T13),IF('[2]TESTE TESTE'!$Z$3=6,SUM(P13:U13),IF('[2]TESTE TESTE'!$Z$3=7,SUM(P13:V13),IF('[2]TESTE TESTE'!$Z$3=8,SUM(P13:W13),IF('[2]TESTE TESTE'!$Z$3=9,SUM(P13:X13),IF('[2]TESTE TESTE'!$Z$3=10,SUM(P13:Y13),IF('[2]TESTE TESTE'!$Z$3=11,SUM(P13:Z13),IF('[2]TESTE TESTE'!$Z$3=12,SUM(P13:AA13,))))))))))))),"")</f>
        <v>3</v>
      </c>
    </row>
    <row r="14" spans="1:194" s="235" customFormat="1" ht="12.95" customHeight="1" x14ac:dyDescent="0.2">
      <c r="A14" s="546"/>
      <c r="B14" s="217" t="s">
        <v>57</v>
      </c>
      <c r="C14" s="218" t="s">
        <v>40</v>
      </c>
      <c r="D14" s="217" t="s">
        <v>61</v>
      </c>
      <c r="E14" s="217" t="s">
        <v>226</v>
      </c>
      <c r="F14" s="218" t="s">
        <v>271</v>
      </c>
      <c r="G14" s="219" t="s">
        <v>59</v>
      </c>
      <c r="H14" s="219"/>
      <c r="I14" s="217" t="s">
        <v>560</v>
      </c>
      <c r="J14" s="217" t="s">
        <v>272</v>
      </c>
      <c r="K14" s="217" t="s">
        <v>273</v>
      </c>
      <c r="L14" s="217" t="s">
        <v>236</v>
      </c>
      <c r="M14" s="217"/>
      <c r="N14" s="217" t="s">
        <v>266</v>
      </c>
      <c r="O14" s="220"/>
      <c r="P14" s="221"/>
      <c r="Q14" s="222"/>
      <c r="R14" s="222"/>
      <c r="S14" s="222"/>
      <c r="T14" s="222"/>
      <c r="U14" s="222"/>
      <c r="V14" s="222"/>
      <c r="W14" s="222"/>
      <c r="X14" s="222">
        <v>2</v>
      </c>
      <c r="Y14" s="222"/>
      <c r="Z14" s="222"/>
      <c r="AA14" s="222"/>
      <c r="AB14" s="223">
        <f t="shared" si="18"/>
        <v>2</v>
      </c>
      <c r="AC14" s="222"/>
      <c r="AD14" s="222"/>
      <c r="AE14" s="222"/>
      <c r="AF14" s="222"/>
      <c r="AG14" s="222"/>
      <c r="AH14" s="222"/>
      <c r="AI14" s="222"/>
      <c r="AJ14" s="222"/>
      <c r="AK14" s="222"/>
      <c r="AL14" s="222"/>
      <c r="AM14" s="222"/>
      <c r="AN14" s="318">
        <v>2</v>
      </c>
      <c r="AO14" s="222">
        <f t="shared" si="19"/>
        <v>2</v>
      </c>
      <c r="AP14" s="222"/>
      <c r="AQ14" s="222"/>
      <c r="AR14" s="222"/>
      <c r="AS14" s="222"/>
      <c r="AT14" s="222"/>
      <c r="AU14" s="222"/>
      <c r="AV14" s="222"/>
      <c r="AW14" s="222"/>
      <c r="AX14" s="222"/>
      <c r="AY14" s="222"/>
      <c r="AZ14" s="222"/>
      <c r="BA14" s="222"/>
      <c r="BB14" s="222">
        <f t="shared" si="20"/>
        <v>0</v>
      </c>
      <c r="BC14" s="222"/>
      <c r="BD14" s="222"/>
      <c r="BE14" s="222"/>
      <c r="BF14" s="222"/>
      <c r="BG14" s="222"/>
      <c r="BH14" s="222"/>
      <c r="BI14" s="222"/>
      <c r="BJ14" s="222"/>
      <c r="BK14" s="222"/>
      <c r="BL14" s="222"/>
      <c r="BM14" s="222"/>
      <c r="BN14" s="222"/>
      <c r="BO14" s="222">
        <f t="shared" si="21"/>
        <v>0</v>
      </c>
      <c r="BP14" s="222"/>
      <c r="BQ14" s="222"/>
      <c r="BR14" s="222"/>
      <c r="BS14" s="222"/>
      <c r="BT14" s="222"/>
      <c r="BU14" s="222"/>
      <c r="BV14" s="222"/>
      <c r="BW14" s="222"/>
      <c r="BX14" s="222"/>
      <c r="BY14" s="222"/>
      <c r="BZ14" s="222"/>
      <c r="CA14" s="222"/>
      <c r="CB14" s="222">
        <f t="shared" si="22"/>
        <v>0</v>
      </c>
      <c r="CC14" s="347">
        <f t="shared" si="5"/>
        <v>4</v>
      </c>
      <c r="CD14" s="224"/>
      <c r="CE14" s="225"/>
      <c r="CF14" s="226" t="s">
        <v>73</v>
      </c>
      <c r="CG14" s="227"/>
      <c r="CH14" s="227"/>
      <c r="CI14" s="227"/>
      <c r="CJ14" s="227"/>
      <c r="CK14" s="227"/>
      <c r="CL14" s="227"/>
      <c r="CM14" s="227"/>
      <c r="CN14" s="227"/>
      <c r="CO14" s="227">
        <v>2</v>
      </c>
      <c r="CP14" s="227"/>
      <c r="CQ14" s="227"/>
      <c r="CR14" s="227"/>
      <c r="CS14" s="227">
        <f t="shared" si="6"/>
        <v>2</v>
      </c>
      <c r="CT14" s="227"/>
      <c r="CU14" s="227"/>
      <c r="CV14" s="227"/>
      <c r="CW14" s="227"/>
      <c r="CX14" s="227"/>
      <c r="CY14" s="227"/>
      <c r="CZ14" s="227"/>
      <c r="DA14" s="227"/>
      <c r="DB14" s="227"/>
      <c r="DC14" s="227"/>
      <c r="DD14" s="227"/>
      <c r="DE14" s="227">
        <v>1</v>
      </c>
      <c r="DF14" s="227">
        <f t="shared" si="7"/>
        <v>1</v>
      </c>
      <c r="DG14" s="227"/>
      <c r="DH14" s="227"/>
      <c r="DI14" s="227"/>
      <c r="DJ14" s="227"/>
      <c r="DK14" s="227"/>
      <c r="DL14" s="227"/>
      <c r="DM14" s="227"/>
      <c r="DN14" s="227"/>
      <c r="DO14" s="227"/>
      <c r="DP14" s="227"/>
      <c r="DQ14" s="227"/>
      <c r="DR14" s="227"/>
      <c r="DS14" s="227">
        <f t="shared" si="8"/>
        <v>0</v>
      </c>
      <c r="DT14" s="227"/>
      <c r="DU14" s="227"/>
      <c r="DV14" s="227"/>
      <c r="DW14" s="227"/>
      <c r="DX14" s="227"/>
      <c r="DY14" s="227"/>
      <c r="DZ14" s="227"/>
      <c r="EA14" s="227"/>
      <c r="EB14" s="227"/>
      <c r="EC14" s="227"/>
      <c r="ED14" s="227"/>
      <c r="EE14" s="227"/>
      <c r="EF14" s="227">
        <f t="shared" si="9"/>
        <v>0</v>
      </c>
      <c r="EG14" s="227"/>
      <c r="EH14" s="227"/>
      <c r="EI14" s="227"/>
      <c r="EJ14" s="227"/>
      <c r="EK14" s="227"/>
      <c r="EL14" s="227"/>
      <c r="EM14" s="227"/>
      <c r="EN14" s="227"/>
      <c r="EO14" s="227"/>
      <c r="EP14" s="227"/>
      <c r="EQ14" s="227"/>
      <c r="ER14" s="227"/>
      <c r="ES14" s="227">
        <f t="shared" si="10"/>
        <v>0</v>
      </c>
      <c r="ET14" s="228">
        <f t="shared" si="11"/>
        <v>3</v>
      </c>
      <c r="EU14" s="225"/>
      <c r="EV14" s="229"/>
      <c r="EW14" s="222"/>
      <c r="EX14" s="222"/>
      <c r="EY14" s="222"/>
      <c r="EZ14" s="222"/>
      <c r="FA14" s="222"/>
      <c r="FB14" s="222">
        <f t="shared" si="27"/>
        <v>0</v>
      </c>
      <c r="FC14" s="229"/>
      <c r="FD14" s="230"/>
      <c r="FE14" s="222"/>
      <c r="FF14" s="222"/>
      <c r="FG14" s="222"/>
      <c r="FH14" s="222"/>
      <c r="FI14" s="222"/>
      <c r="FJ14" s="222">
        <f t="shared" si="28"/>
        <v>0</v>
      </c>
      <c r="FK14" s="231"/>
      <c r="FL14" s="229"/>
      <c r="FM14" s="232"/>
      <c r="FN14" s="222"/>
      <c r="FO14" s="222"/>
      <c r="FP14" s="222"/>
      <c r="FQ14" s="222"/>
      <c r="FR14" s="222"/>
      <c r="FS14" s="222">
        <f t="shared" si="29"/>
        <v>0</v>
      </c>
      <c r="FT14" s="233"/>
      <c r="FU14" s="234">
        <v>0</v>
      </c>
      <c r="FV14" s="234">
        <v>0</v>
      </c>
      <c r="FW14" s="234">
        <f>IFERROR(VLOOKUP(G14,[2]CEI_032018!$A$1:$U$509,9,FALSE),0)</f>
        <v>0</v>
      </c>
      <c r="FX14" s="234">
        <f>IFERROR(VLOOKUP(G14,[2]CEI_042018!$A$1:$U$493,9,FALSE),0)</f>
        <v>0</v>
      </c>
      <c r="FY14" s="234"/>
      <c r="FZ14" s="234"/>
      <c r="GA14" s="234"/>
      <c r="GB14" s="234"/>
      <c r="GC14" s="234"/>
      <c r="GD14" s="234"/>
      <c r="GE14" s="234"/>
      <c r="GF14" s="234"/>
      <c r="GG14" s="234">
        <f t="shared" si="15"/>
        <v>0</v>
      </c>
      <c r="GH14" s="234">
        <f>IFERROR(VLOOKUP(G14,[2]CEI_042018!$A$1:$U$493,12,FALSE),0)</f>
        <v>0</v>
      </c>
      <c r="GI14" s="234">
        <f t="shared" si="16"/>
        <v>0</v>
      </c>
      <c r="GJ14" s="234">
        <f t="shared" si="17"/>
        <v>2</v>
      </c>
      <c r="GK14" s="234">
        <f>IFERROR(IF('[2]TESTE TESTE'!$Z$3=1,SUM(FU14),IF('[2]TESTE TESTE'!$Z$3=2,SUM(FU14:FV14),IF('[2]TESTE TESTE'!$Z$3=3,SUM(FU14:FW14),IF('[2]TESTE TESTE'!$Z$3=4,SUM(FU14:FX14),IF('[2]TESTE TESTE'!$Z$3=5,SUM(FU14:FY14),IF('[2]TESTE TESTE'!$Z$3=6,SUM(FU14:FZ14),IF('[2]TESTE TESTE'!$Z$3=7,SUM(FU14:GA14),IF('[2]TESTE TESTE'!$Z$3=8,SUM(FU14:GB14),IF('[2]TESTE TESTE'!$Z$3=9,SUM(FU14:GC14),IF('[2]TESTE TESTE'!$Z$3=10,SUM(FU14:GD14),IF('[2]TESTE TESTE'!$Z$3=11,SUM(FU14:GE14),IF('[2]TESTE TESTE'!$Z$3=12,SUM(FU14:GF14,))))))))))))),"")</f>
        <v>0</v>
      </c>
      <c r="GL14" s="234">
        <f>IFERROR(IF('[2]TESTE TESTE'!$Z$3=1,SUM(P14),IF('[2]TESTE TESTE'!$Z$3=2,SUM(P14:Q14),IF('[2]TESTE TESTE'!$Z$3=3,SUM(P14:R14),IF('[2]TESTE TESTE'!$Z$3=4,SUM(P14:S14),IF('[2]TESTE TESTE'!$Z$3=5,SUM(P14:T14),IF('[2]TESTE TESTE'!$Z$3=6,SUM(P14:U14),IF('[2]TESTE TESTE'!$Z$3=7,SUM(P14:V14),IF('[2]TESTE TESTE'!$Z$3=8,SUM(P14:W14),IF('[2]TESTE TESTE'!$Z$3=9,SUM(P14:X14),IF('[2]TESTE TESTE'!$Z$3=10,SUM(P14:Y14),IF('[2]TESTE TESTE'!$Z$3=11,SUM(P14:Z14),IF('[2]TESTE TESTE'!$Z$3=12,SUM(P14:AA14,))))))))))))),"")</f>
        <v>2</v>
      </c>
    </row>
    <row r="15" spans="1:194" s="235" customFormat="1" ht="12.95" customHeight="1" x14ac:dyDescent="0.2">
      <c r="A15" s="546"/>
      <c r="B15" s="217" t="s">
        <v>57</v>
      </c>
      <c r="C15" s="218" t="s">
        <v>40</v>
      </c>
      <c r="D15" s="217" t="s">
        <v>61</v>
      </c>
      <c r="E15" s="217" t="s">
        <v>226</v>
      </c>
      <c r="F15" s="218" t="s">
        <v>233</v>
      </c>
      <c r="G15" s="219" t="s">
        <v>59</v>
      </c>
      <c r="H15" s="219"/>
      <c r="I15" s="217" t="s">
        <v>650</v>
      </c>
      <c r="J15" s="217" t="s">
        <v>235</v>
      </c>
      <c r="K15" s="217" t="s">
        <v>255</v>
      </c>
      <c r="L15" s="217" t="s">
        <v>236</v>
      </c>
      <c r="M15" s="217"/>
      <c r="N15" s="217" t="s">
        <v>231</v>
      </c>
      <c r="O15" s="220"/>
      <c r="P15" s="221"/>
      <c r="Q15" s="222"/>
      <c r="R15" s="222"/>
      <c r="S15" s="222"/>
      <c r="T15" s="222"/>
      <c r="U15" s="222"/>
      <c r="V15" s="222"/>
      <c r="W15" s="222"/>
      <c r="X15" s="222">
        <v>1.5</v>
      </c>
      <c r="Y15" s="222"/>
      <c r="Z15" s="222"/>
      <c r="AA15" s="222"/>
      <c r="AB15" s="223">
        <f t="shared" si="18"/>
        <v>1.5</v>
      </c>
      <c r="AC15" s="222"/>
      <c r="AD15" s="222"/>
      <c r="AE15" s="222"/>
      <c r="AF15" s="222"/>
      <c r="AG15" s="222"/>
      <c r="AH15" s="222"/>
      <c r="AI15" s="222"/>
      <c r="AJ15" s="222"/>
      <c r="AK15" s="222"/>
      <c r="AL15" s="222"/>
      <c r="AM15" s="222"/>
      <c r="AN15" s="318">
        <v>1.5</v>
      </c>
      <c r="AO15" s="222">
        <f t="shared" si="19"/>
        <v>1.5</v>
      </c>
      <c r="AP15" s="222"/>
      <c r="AQ15" s="222"/>
      <c r="AR15" s="222"/>
      <c r="AS15" s="222"/>
      <c r="AT15" s="222"/>
      <c r="AU15" s="222"/>
      <c r="AV15" s="222"/>
      <c r="AW15" s="222"/>
      <c r="AX15" s="222"/>
      <c r="AY15" s="222"/>
      <c r="AZ15" s="222"/>
      <c r="BA15" s="222"/>
      <c r="BB15" s="222">
        <f t="shared" si="20"/>
        <v>0</v>
      </c>
      <c r="BC15" s="222"/>
      <c r="BD15" s="222"/>
      <c r="BE15" s="222"/>
      <c r="BF15" s="222"/>
      <c r="BG15" s="222"/>
      <c r="BH15" s="222"/>
      <c r="BI15" s="222"/>
      <c r="BJ15" s="222"/>
      <c r="BK15" s="222"/>
      <c r="BL15" s="222"/>
      <c r="BM15" s="222"/>
      <c r="BN15" s="222"/>
      <c r="BO15" s="222">
        <f t="shared" si="21"/>
        <v>0</v>
      </c>
      <c r="BP15" s="222"/>
      <c r="BQ15" s="222"/>
      <c r="BR15" s="222"/>
      <c r="BS15" s="222"/>
      <c r="BT15" s="222"/>
      <c r="BU15" s="222"/>
      <c r="BV15" s="222"/>
      <c r="BW15" s="222"/>
      <c r="BX15" s="222"/>
      <c r="BY15" s="222"/>
      <c r="BZ15" s="222"/>
      <c r="CA15" s="222"/>
      <c r="CB15" s="222">
        <f t="shared" si="22"/>
        <v>0</v>
      </c>
      <c r="CC15" s="347">
        <f t="shared" si="5"/>
        <v>3</v>
      </c>
      <c r="CD15" s="224"/>
      <c r="CE15" s="225"/>
      <c r="CF15" s="226" t="s">
        <v>73</v>
      </c>
      <c r="CG15" s="227"/>
      <c r="CH15" s="227"/>
      <c r="CI15" s="227"/>
      <c r="CJ15" s="227"/>
      <c r="CK15" s="227"/>
      <c r="CL15" s="227"/>
      <c r="CM15" s="227"/>
      <c r="CN15" s="227"/>
      <c r="CO15" s="227">
        <v>2</v>
      </c>
      <c r="CP15" s="227"/>
      <c r="CQ15" s="227"/>
      <c r="CR15" s="227"/>
      <c r="CS15" s="227">
        <f t="shared" si="6"/>
        <v>2</v>
      </c>
      <c r="CT15" s="227"/>
      <c r="CU15" s="227"/>
      <c r="CV15" s="227"/>
      <c r="CW15" s="227"/>
      <c r="CX15" s="227"/>
      <c r="CY15" s="227"/>
      <c r="CZ15" s="227"/>
      <c r="DA15" s="227"/>
      <c r="DB15" s="227"/>
      <c r="DC15" s="227"/>
      <c r="DD15" s="227"/>
      <c r="DE15" s="227">
        <v>1</v>
      </c>
      <c r="DF15" s="227">
        <f t="shared" si="7"/>
        <v>1</v>
      </c>
      <c r="DG15" s="227"/>
      <c r="DH15" s="227"/>
      <c r="DI15" s="227"/>
      <c r="DJ15" s="227"/>
      <c r="DK15" s="227"/>
      <c r="DL15" s="227"/>
      <c r="DM15" s="227"/>
      <c r="DN15" s="227"/>
      <c r="DO15" s="227"/>
      <c r="DP15" s="227"/>
      <c r="DQ15" s="227"/>
      <c r="DR15" s="227"/>
      <c r="DS15" s="227">
        <f t="shared" si="8"/>
        <v>0</v>
      </c>
      <c r="DT15" s="227"/>
      <c r="DU15" s="227"/>
      <c r="DV15" s="227"/>
      <c r="DW15" s="227"/>
      <c r="DX15" s="227"/>
      <c r="DY15" s="227"/>
      <c r="DZ15" s="227"/>
      <c r="EA15" s="227"/>
      <c r="EB15" s="227"/>
      <c r="EC15" s="227"/>
      <c r="ED15" s="227"/>
      <c r="EE15" s="227"/>
      <c r="EF15" s="227">
        <f t="shared" si="9"/>
        <v>0</v>
      </c>
      <c r="EG15" s="227"/>
      <c r="EH15" s="227"/>
      <c r="EI15" s="227"/>
      <c r="EJ15" s="227"/>
      <c r="EK15" s="227"/>
      <c r="EL15" s="227"/>
      <c r="EM15" s="227"/>
      <c r="EN15" s="227"/>
      <c r="EO15" s="227"/>
      <c r="EP15" s="227"/>
      <c r="EQ15" s="227"/>
      <c r="ER15" s="227"/>
      <c r="ES15" s="227">
        <f t="shared" si="10"/>
        <v>0</v>
      </c>
      <c r="ET15" s="228">
        <f t="shared" si="11"/>
        <v>3</v>
      </c>
      <c r="EU15" s="225"/>
      <c r="EV15" s="229"/>
      <c r="EW15" s="222"/>
      <c r="EX15" s="222"/>
      <c r="EY15" s="222"/>
      <c r="EZ15" s="222"/>
      <c r="FA15" s="222"/>
      <c r="FB15" s="222">
        <f t="shared" si="27"/>
        <v>0</v>
      </c>
      <c r="FC15" s="229"/>
      <c r="FD15" s="230"/>
      <c r="FE15" s="222"/>
      <c r="FF15" s="222"/>
      <c r="FG15" s="222"/>
      <c r="FH15" s="222"/>
      <c r="FI15" s="222"/>
      <c r="FJ15" s="222">
        <f t="shared" si="28"/>
        <v>0</v>
      </c>
      <c r="FK15" s="231"/>
      <c r="FL15" s="229"/>
      <c r="FM15" s="232"/>
      <c r="FN15" s="222"/>
      <c r="FO15" s="222"/>
      <c r="FP15" s="222"/>
      <c r="FQ15" s="222"/>
      <c r="FR15" s="222"/>
      <c r="FS15" s="222">
        <f t="shared" si="29"/>
        <v>0</v>
      </c>
      <c r="FT15" s="233"/>
      <c r="FU15" s="234">
        <v>0</v>
      </c>
      <c r="FV15" s="234">
        <v>0</v>
      </c>
      <c r="FW15" s="234">
        <f>IFERROR(VLOOKUP(G15,[2]CEI_032018!$A$1:$U$509,9,FALSE),0)</f>
        <v>0</v>
      </c>
      <c r="FX15" s="234">
        <f>IFERROR(VLOOKUP(G15,[2]CEI_042018!$A$1:$U$493,9,FALSE),0)</f>
        <v>0</v>
      </c>
      <c r="FY15" s="234"/>
      <c r="FZ15" s="234"/>
      <c r="GA15" s="234"/>
      <c r="GB15" s="234"/>
      <c r="GC15" s="234"/>
      <c r="GD15" s="234"/>
      <c r="GE15" s="234"/>
      <c r="GF15" s="234"/>
      <c r="GG15" s="234">
        <f t="shared" si="15"/>
        <v>0</v>
      </c>
      <c r="GH15" s="234">
        <f>IFERROR(VLOOKUP(G15,[2]CEI_042018!$A$1:$U$493,12,FALSE),0)</f>
        <v>0</v>
      </c>
      <c r="GI15" s="234">
        <f t="shared" si="16"/>
        <v>0</v>
      </c>
      <c r="GJ15" s="234">
        <f t="shared" si="17"/>
        <v>1.5</v>
      </c>
      <c r="GK15" s="234">
        <f>IFERROR(IF('[2]TESTE TESTE'!$Z$3=1,SUM(FU15),IF('[2]TESTE TESTE'!$Z$3=2,SUM(FU15:FV15),IF('[2]TESTE TESTE'!$Z$3=3,SUM(FU15:FW15),IF('[2]TESTE TESTE'!$Z$3=4,SUM(FU15:FX15),IF('[2]TESTE TESTE'!$Z$3=5,SUM(FU15:FY15),IF('[2]TESTE TESTE'!$Z$3=6,SUM(FU15:FZ15),IF('[2]TESTE TESTE'!$Z$3=7,SUM(FU15:GA15),IF('[2]TESTE TESTE'!$Z$3=8,SUM(FU15:GB15),IF('[2]TESTE TESTE'!$Z$3=9,SUM(FU15:GC15),IF('[2]TESTE TESTE'!$Z$3=10,SUM(FU15:GD15),IF('[2]TESTE TESTE'!$Z$3=11,SUM(FU15:GE15),IF('[2]TESTE TESTE'!$Z$3=12,SUM(FU15:GF15,))))))))))))),"")</f>
        <v>0</v>
      </c>
      <c r="GL15" s="234">
        <f>IFERROR(IF('[2]TESTE TESTE'!$Z$3=1,SUM(P15),IF('[2]TESTE TESTE'!$Z$3=2,SUM(P15:Q15),IF('[2]TESTE TESTE'!$Z$3=3,SUM(P15:R15),IF('[2]TESTE TESTE'!$Z$3=4,SUM(P15:S15),IF('[2]TESTE TESTE'!$Z$3=5,SUM(P15:T15),IF('[2]TESTE TESTE'!$Z$3=6,SUM(P15:U15),IF('[2]TESTE TESTE'!$Z$3=7,SUM(P15:V15),IF('[2]TESTE TESTE'!$Z$3=8,SUM(P15:W15),IF('[2]TESTE TESTE'!$Z$3=9,SUM(P15:X15),IF('[2]TESTE TESTE'!$Z$3=10,SUM(P15:Y15),IF('[2]TESTE TESTE'!$Z$3=11,SUM(P15:Z15),IF('[2]TESTE TESTE'!$Z$3=12,SUM(P15:AA15,))))))))))))),"")</f>
        <v>1.5</v>
      </c>
    </row>
    <row r="16" spans="1:194" s="235" customFormat="1" ht="12.95" customHeight="1" x14ac:dyDescent="0.2">
      <c r="A16" s="546"/>
      <c r="B16" s="217" t="s">
        <v>57</v>
      </c>
      <c r="C16" s="218" t="s">
        <v>40</v>
      </c>
      <c r="D16" s="217" t="s">
        <v>61</v>
      </c>
      <c r="E16" s="217" t="s">
        <v>226</v>
      </c>
      <c r="F16" s="218" t="s">
        <v>233</v>
      </c>
      <c r="G16" s="219" t="s">
        <v>59</v>
      </c>
      <c r="H16" s="219"/>
      <c r="I16" s="217" t="s">
        <v>256</v>
      </c>
      <c r="J16" s="217" t="s">
        <v>235</v>
      </c>
      <c r="K16" s="217" t="s">
        <v>255</v>
      </c>
      <c r="L16" s="217" t="s">
        <v>236</v>
      </c>
      <c r="M16" s="217"/>
      <c r="N16" s="217" t="s">
        <v>231</v>
      </c>
      <c r="O16" s="220"/>
      <c r="P16" s="221"/>
      <c r="Q16" s="222"/>
      <c r="R16" s="222"/>
      <c r="S16" s="222"/>
      <c r="T16" s="222"/>
      <c r="U16" s="222"/>
      <c r="V16" s="222"/>
      <c r="W16" s="222"/>
      <c r="X16" s="222">
        <v>1.5</v>
      </c>
      <c r="Y16" s="222"/>
      <c r="Z16" s="222"/>
      <c r="AA16" s="222"/>
      <c r="AB16" s="223">
        <f t="shared" si="18"/>
        <v>1.5</v>
      </c>
      <c r="AC16" s="222"/>
      <c r="AD16" s="222"/>
      <c r="AE16" s="222"/>
      <c r="AF16" s="222"/>
      <c r="AG16" s="222"/>
      <c r="AH16" s="222"/>
      <c r="AI16" s="222"/>
      <c r="AJ16" s="222"/>
      <c r="AK16" s="222"/>
      <c r="AL16" s="222"/>
      <c r="AM16" s="222"/>
      <c r="AN16" s="318">
        <v>1.5</v>
      </c>
      <c r="AO16" s="222">
        <f t="shared" si="19"/>
        <v>1.5</v>
      </c>
      <c r="AP16" s="222"/>
      <c r="AQ16" s="222"/>
      <c r="AR16" s="222"/>
      <c r="AS16" s="222"/>
      <c r="AT16" s="222"/>
      <c r="AU16" s="222"/>
      <c r="AV16" s="222"/>
      <c r="AW16" s="222"/>
      <c r="AX16" s="222"/>
      <c r="AY16" s="222"/>
      <c r="AZ16" s="222"/>
      <c r="BA16" s="222"/>
      <c r="BB16" s="222">
        <f t="shared" si="20"/>
        <v>0</v>
      </c>
      <c r="BC16" s="222"/>
      <c r="BD16" s="222"/>
      <c r="BE16" s="222"/>
      <c r="BF16" s="222"/>
      <c r="BG16" s="222"/>
      <c r="BH16" s="222"/>
      <c r="BI16" s="222"/>
      <c r="BJ16" s="222"/>
      <c r="BK16" s="222"/>
      <c r="BL16" s="222"/>
      <c r="BM16" s="222"/>
      <c r="BN16" s="222"/>
      <c r="BO16" s="222">
        <f t="shared" si="21"/>
        <v>0</v>
      </c>
      <c r="BP16" s="222"/>
      <c r="BQ16" s="222"/>
      <c r="BR16" s="222"/>
      <c r="BS16" s="222"/>
      <c r="BT16" s="222"/>
      <c r="BU16" s="222"/>
      <c r="BV16" s="222"/>
      <c r="BW16" s="222"/>
      <c r="BX16" s="222"/>
      <c r="BY16" s="222"/>
      <c r="BZ16" s="222"/>
      <c r="CA16" s="222"/>
      <c r="CB16" s="222">
        <f t="shared" si="22"/>
        <v>0</v>
      </c>
      <c r="CC16" s="347">
        <f t="shared" si="5"/>
        <v>3</v>
      </c>
      <c r="CD16" s="224"/>
      <c r="CE16" s="225"/>
      <c r="CF16" s="226" t="s">
        <v>73</v>
      </c>
      <c r="CG16" s="227"/>
      <c r="CH16" s="227"/>
      <c r="CI16" s="227"/>
      <c r="CJ16" s="227"/>
      <c r="CK16" s="227"/>
      <c r="CL16" s="227"/>
      <c r="CM16" s="227"/>
      <c r="CN16" s="227"/>
      <c r="CO16" s="227">
        <v>2</v>
      </c>
      <c r="CP16" s="227"/>
      <c r="CQ16" s="227"/>
      <c r="CR16" s="227"/>
      <c r="CS16" s="227">
        <f t="shared" si="6"/>
        <v>2</v>
      </c>
      <c r="CT16" s="227"/>
      <c r="CU16" s="227"/>
      <c r="CV16" s="227"/>
      <c r="CW16" s="227"/>
      <c r="CX16" s="227"/>
      <c r="CY16" s="227"/>
      <c r="CZ16" s="227"/>
      <c r="DA16" s="227"/>
      <c r="DB16" s="227"/>
      <c r="DC16" s="227"/>
      <c r="DD16" s="227"/>
      <c r="DE16" s="227">
        <v>1</v>
      </c>
      <c r="DF16" s="227">
        <f t="shared" si="7"/>
        <v>1</v>
      </c>
      <c r="DG16" s="227"/>
      <c r="DH16" s="227"/>
      <c r="DI16" s="227"/>
      <c r="DJ16" s="227"/>
      <c r="DK16" s="227"/>
      <c r="DL16" s="227"/>
      <c r="DM16" s="227"/>
      <c r="DN16" s="227"/>
      <c r="DO16" s="227"/>
      <c r="DP16" s="227"/>
      <c r="DQ16" s="227"/>
      <c r="DR16" s="227"/>
      <c r="DS16" s="227">
        <f t="shared" si="8"/>
        <v>0</v>
      </c>
      <c r="DT16" s="227"/>
      <c r="DU16" s="227"/>
      <c r="DV16" s="227"/>
      <c r="DW16" s="227"/>
      <c r="DX16" s="227"/>
      <c r="DY16" s="227"/>
      <c r="DZ16" s="227"/>
      <c r="EA16" s="227"/>
      <c r="EB16" s="227"/>
      <c r="EC16" s="227"/>
      <c r="ED16" s="227"/>
      <c r="EE16" s="227"/>
      <c r="EF16" s="227">
        <f t="shared" si="9"/>
        <v>0</v>
      </c>
      <c r="EG16" s="227"/>
      <c r="EH16" s="227"/>
      <c r="EI16" s="227"/>
      <c r="EJ16" s="227"/>
      <c r="EK16" s="227"/>
      <c r="EL16" s="227"/>
      <c r="EM16" s="227"/>
      <c r="EN16" s="227"/>
      <c r="EO16" s="227"/>
      <c r="EP16" s="227"/>
      <c r="EQ16" s="227"/>
      <c r="ER16" s="227"/>
      <c r="ES16" s="227">
        <f t="shared" si="10"/>
        <v>0</v>
      </c>
      <c r="ET16" s="228">
        <f t="shared" si="11"/>
        <v>3</v>
      </c>
      <c r="EU16" s="225"/>
      <c r="EV16" s="229"/>
      <c r="EW16" s="222"/>
      <c r="EX16" s="222"/>
      <c r="EY16" s="222"/>
      <c r="EZ16" s="222"/>
      <c r="FA16" s="222"/>
      <c r="FB16" s="222">
        <f t="shared" si="27"/>
        <v>0</v>
      </c>
      <c r="FC16" s="229"/>
      <c r="FD16" s="230"/>
      <c r="FE16" s="222"/>
      <c r="FF16" s="222"/>
      <c r="FG16" s="222"/>
      <c r="FH16" s="222"/>
      <c r="FI16" s="222"/>
      <c r="FJ16" s="222">
        <f t="shared" si="28"/>
        <v>0</v>
      </c>
      <c r="FK16" s="231"/>
      <c r="FL16" s="229"/>
      <c r="FM16" s="232"/>
      <c r="FN16" s="222"/>
      <c r="FO16" s="222"/>
      <c r="FP16" s="222"/>
      <c r="FQ16" s="222"/>
      <c r="FR16" s="222"/>
      <c r="FS16" s="222">
        <f t="shared" si="29"/>
        <v>0</v>
      </c>
      <c r="FT16" s="233"/>
      <c r="FU16" s="234">
        <v>0</v>
      </c>
      <c r="FV16" s="234">
        <v>0</v>
      </c>
      <c r="FW16" s="234">
        <f>IFERROR(VLOOKUP(G16,[2]CEI_032018!$A$1:$U$509,9,FALSE),0)</f>
        <v>0</v>
      </c>
      <c r="FX16" s="234">
        <f>IFERROR(VLOOKUP(G16,[2]CEI_042018!$A$1:$U$493,9,FALSE),0)</f>
        <v>0</v>
      </c>
      <c r="FY16" s="234"/>
      <c r="FZ16" s="234"/>
      <c r="GA16" s="234"/>
      <c r="GB16" s="234"/>
      <c r="GC16" s="234"/>
      <c r="GD16" s="234"/>
      <c r="GE16" s="234"/>
      <c r="GF16" s="234"/>
      <c r="GG16" s="234">
        <f t="shared" si="15"/>
        <v>0</v>
      </c>
      <c r="GH16" s="234">
        <f>IFERROR(VLOOKUP(G16,[2]CEI_042018!$A$1:$U$493,12,FALSE),0)</f>
        <v>0</v>
      </c>
      <c r="GI16" s="234">
        <f t="shared" si="16"/>
        <v>0</v>
      </c>
      <c r="GJ16" s="234">
        <f t="shared" si="17"/>
        <v>1.5</v>
      </c>
      <c r="GK16" s="234">
        <f>IFERROR(IF('[2]TESTE TESTE'!$Z$3=1,SUM(FU16),IF('[2]TESTE TESTE'!$Z$3=2,SUM(FU16:FV16),IF('[2]TESTE TESTE'!$Z$3=3,SUM(FU16:FW16),IF('[2]TESTE TESTE'!$Z$3=4,SUM(FU16:FX16),IF('[2]TESTE TESTE'!$Z$3=5,SUM(FU16:FY16),IF('[2]TESTE TESTE'!$Z$3=6,SUM(FU16:FZ16),IF('[2]TESTE TESTE'!$Z$3=7,SUM(FU16:GA16),IF('[2]TESTE TESTE'!$Z$3=8,SUM(FU16:GB16),IF('[2]TESTE TESTE'!$Z$3=9,SUM(FU16:GC16),IF('[2]TESTE TESTE'!$Z$3=10,SUM(FU16:GD16),IF('[2]TESTE TESTE'!$Z$3=11,SUM(FU16:GE16),IF('[2]TESTE TESTE'!$Z$3=12,SUM(FU16:GF16,))))))))))))),"")</f>
        <v>0</v>
      </c>
      <c r="GL16" s="234">
        <f>IFERROR(IF('[2]TESTE TESTE'!$Z$3=1,SUM(P16),IF('[2]TESTE TESTE'!$Z$3=2,SUM(P16:Q16),IF('[2]TESTE TESTE'!$Z$3=3,SUM(P16:R16),IF('[2]TESTE TESTE'!$Z$3=4,SUM(P16:S16),IF('[2]TESTE TESTE'!$Z$3=5,SUM(P16:T16),IF('[2]TESTE TESTE'!$Z$3=6,SUM(P16:U16),IF('[2]TESTE TESTE'!$Z$3=7,SUM(P16:V16),IF('[2]TESTE TESTE'!$Z$3=8,SUM(P16:W16),IF('[2]TESTE TESTE'!$Z$3=9,SUM(P16:X16),IF('[2]TESTE TESTE'!$Z$3=10,SUM(P16:Y16),IF('[2]TESTE TESTE'!$Z$3=11,SUM(P16:Z16),IF('[2]TESTE TESTE'!$Z$3=12,SUM(P16:AA16,))))))))))))),"")</f>
        <v>1.5</v>
      </c>
    </row>
    <row r="17" spans="1:194" s="308" customFormat="1" ht="12.95" customHeight="1" x14ac:dyDescent="0.2">
      <c r="A17" s="547" t="s">
        <v>1518</v>
      </c>
      <c r="B17" s="208" t="s">
        <v>57</v>
      </c>
      <c r="C17" s="209" t="s">
        <v>41</v>
      </c>
      <c r="D17" s="208" t="s">
        <v>61</v>
      </c>
      <c r="E17" s="208" t="s">
        <v>226</v>
      </c>
      <c r="F17" s="209" t="s">
        <v>232</v>
      </c>
      <c r="G17" s="210" t="s">
        <v>59</v>
      </c>
      <c r="H17" s="210"/>
      <c r="I17" s="208" t="s">
        <v>284</v>
      </c>
      <c r="J17" s="208" t="s">
        <v>285</v>
      </c>
      <c r="K17" s="208" t="s">
        <v>286</v>
      </c>
      <c r="L17" s="208" t="s">
        <v>287</v>
      </c>
      <c r="M17" s="208"/>
      <c r="N17" s="208" t="s">
        <v>246</v>
      </c>
      <c r="O17" s="293"/>
      <c r="P17" s="294"/>
      <c r="Q17" s="295"/>
      <c r="R17" s="295"/>
      <c r="S17" s="295"/>
      <c r="T17" s="295"/>
      <c r="U17" s="295"/>
      <c r="V17" s="295"/>
      <c r="W17" s="295">
        <v>100</v>
      </c>
      <c r="X17" s="295">
        <v>100</v>
      </c>
      <c r="Y17" s="295">
        <v>150</v>
      </c>
      <c r="Z17" s="295"/>
      <c r="AA17" s="295"/>
      <c r="AB17" s="296">
        <f t="shared" si="18"/>
        <v>350</v>
      </c>
      <c r="AC17" s="295"/>
      <c r="AD17" s="295"/>
      <c r="AE17" s="295"/>
      <c r="AF17" s="295"/>
      <c r="AG17" s="295"/>
      <c r="AH17" s="295"/>
      <c r="AI17" s="295"/>
      <c r="AJ17" s="295"/>
      <c r="AK17" s="295"/>
      <c r="AL17" s="295"/>
      <c r="AM17" s="295"/>
      <c r="AN17" s="295"/>
      <c r="AO17" s="295">
        <f t="shared" si="19"/>
        <v>0</v>
      </c>
      <c r="AP17" s="295"/>
      <c r="AQ17" s="295"/>
      <c r="AR17" s="295"/>
      <c r="AS17" s="295"/>
      <c r="AT17" s="295"/>
      <c r="AU17" s="295"/>
      <c r="AV17" s="295"/>
      <c r="AW17" s="295"/>
      <c r="AX17" s="295"/>
      <c r="AY17" s="295"/>
      <c r="AZ17" s="295"/>
      <c r="BA17" s="295"/>
      <c r="BB17" s="295">
        <f t="shared" si="20"/>
        <v>0</v>
      </c>
      <c r="BC17" s="295"/>
      <c r="BD17" s="295"/>
      <c r="BE17" s="295"/>
      <c r="BF17" s="295"/>
      <c r="BG17" s="295"/>
      <c r="BH17" s="295"/>
      <c r="BI17" s="295"/>
      <c r="BJ17" s="295"/>
      <c r="BK17" s="295"/>
      <c r="BL17" s="295"/>
      <c r="BM17" s="295"/>
      <c r="BN17" s="295"/>
      <c r="BO17" s="295">
        <f t="shared" si="21"/>
        <v>0</v>
      </c>
      <c r="BP17" s="295"/>
      <c r="BQ17" s="295"/>
      <c r="BR17" s="295"/>
      <c r="BS17" s="295"/>
      <c r="BT17" s="295"/>
      <c r="BU17" s="295"/>
      <c r="BV17" s="295"/>
      <c r="BW17" s="295"/>
      <c r="BX17" s="295"/>
      <c r="BY17" s="295"/>
      <c r="BZ17" s="295"/>
      <c r="CA17" s="295"/>
      <c r="CB17" s="295">
        <f t="shared" si="22"/>
        <v>0</v>
      </c>
      <c r="CC17" s="348">
        <f t="shared" si="5"/>
        <v>350</v>
      </c>
      <c r="CD17" s="297"/>
      <c r="CE17" s="298"/>
      <c r="CF17" s="299" t="s">
        <v>483</v>
      </c>
      <c r="CG17" s="300"/>
      <c r="CH17" s="300"/>
      <c r="CI17" s="300"/>
      <c r="CJ17" s="300"/>
      <c r="CK17" s="300"/>
      <c r="CL17" s="300"/>
      <c r="CM17" s="300"/>
      <c r="CN17" s="300">
        <v>1232</v>
      </c>
      <c r="CO17" s="300">
        <v>1233</v>
      </c>
      <c r="CP17" s="300">
        <v>1850</v>
      </c>
      <c r="CQ17" s="300"/>
      <c r="CR17" s="300"/>
      <c r="CS17" s="300">
        <f t="shared" si="6"/>
        <v>4315</v>
      </c>
      <c r="CT17" s="300"/>
      <c r="CU17" s="300"/>
      <c r="CV17" s="300"/>
      <c r="CW17" s="300"/>
      <c r="CX17" s="300"/>
      <c r="CY17" s="300"/>
      <c r="CZ17" s="300"/>
      <c r="DA17" s="300"/>
      <c r="DB17" s="300"/>
      <c r="DC17" s="300"/>
      <c r="DD17" s="300"/>
      <c r="DE17" s="300"/>
      <c r="DF17" s="300">
        <f t="shared" si="7"/>
        <v>0</v>
      </c>
      <c r="DG17" s="300"/>
      <c r="DH17" s="300"/>
      <c r="DI17" s="300"/>
      <c r="DJ17" s="300"/>
      <c r="DK17" s="300"/>
      <c r="DL17" s="300"/>
      <c r="DM17" s="300"/>
      <c r="DN17" s="300"/>
      <c r="DO17" s="300"/>
      <c r="DP17" s="300"/>
      <c r="DQ17" s="300"/>
      <c r="DR17" s="300"/>
      <c r="DS17" s="300">
        <f t="shared" si="8"/>
        <v>0</v>
      </c>
      <c r="DT17" s="300"/>
      <c r="DU17" s="300"/>
      <c r="DV17" s="300"/>
      <c r="DW17" s="300"/>
      <c r="DX17" s="300"/>
      <c r="DY17" s="300"/>
      <c r="DZ17" s="300"/>
      <c r="EA17" s="300"/>
      <c r="EB17" s="300"/>
      <c r="EC17" s="300"/>
      <c r="ED17" s="300"/>
      <c r="EE17" s="300"/>
      <c r="EF17" s="300">
        <f t="shared" si="9"/>
        <v>0</v>
      </c>
      <c r="EG17" s="300"/>
      <c r="EH17" s="300"/>
      <c r="EI17" s="300"/>
      <c r="EJ17" s="300"/>
      <c r="EK17" s="300"/>
      <c r="EL17" s="300"/>
      <c r="EM17" s="300"/>
      <c r="EN17" s="300"/>
      <c r="EO17" s="300"/>
      <c r="EP17" s="300"/>
      <c r="EQ17" s="300"/>
      <c r="ER17" s="300"/>
      <c r="ES17" s="300">
        <f t="shared" si="10"/>
        <v>0</v>
      </c>
      <c r="ET17" s="301">
        <f t="shared" si="11"/>
        <v>4315</v>
      </c>
      <c r="EU17" s="298"/>
      <c r="EV17" s="302"/>
      <c r="EW17" s="295"/>
      <c r="EX17" s="295"/>
      <c r="EY17" s="295"/>
      <c r="EZ17" s="295"/>
      <c r="FA17" s="295"/>
      <c r="FB17" s="295">
        <f t="shared" si="27"/>
        <v>0</v>
      </c>
      <c r="FC17" s="302"/>
      <c r="FD17" s="303"/>
      <c r="FE17" s="295"/>
      <c r="FF17" s="295"/>
      <c r="FG17" s="295"/>
      <c r="FH17" s="295"/>
      <c r="FI17" s="295"/>
      <c r="FJ17" s="295">
        <f t="shared" si="28"/>
        <v>0</v>
      </c>
      <c r="FK17" s="304"/>
      <c r="FL17" s="302"/>
      <c r="FM17" s="305"/>
      <c r="FN17" s="295"/>
      <c r="FO17" s="295"/>
      <c r="FP17" s="295"/>
      <c r="FQ17" s="295"/>
      <c r="FR17" s="295"/>
      <c r="FS17" s="295">
        <f t="shared" si="29"/>
        <v>0</v>
      </c>
      <c r="FT17" s="306"/>
      <c r="FU17" s="307">
        <v>0</v>
      </c>
      <c r="FV17" s="307">
        <v>0</v>
      </c>
      <c r="FW17" s="307">
        <f>IFERROR(VLOOKUP(G17,[2]CEI_032018!$A$1:$U$509,9,FALSE),0)</f>
        <v>0</v>
      </c>
      <c r="FX17" s="307">
        <f>IFERROR(VLOOKUP(G17,[2]CEI_042018!$A$1:$U$493,9,FALSE),0)</f>
        <v>0</v>
      </c>
      <c r="FY17" s="307"/>
      <c r="FZ17" s="307"/>
      <c r="GA17" s="307"/>
      <c r="GB17" s="307"/>
      <c r="GC17" s="307"/>
      <c r="GD17" s="307"/>
      <c r="GE17" s="307"/>
      <c r="GF17" s="307"/>
      <c r="GG17" s="307">
        <f t="shared" si="15"/>
        <v>0</v>
      </c>
      <c r="GH17" s="307">
        <f>IFERROR(VLOOKUP(G17,[2]CEI_042018!$A$1:$U$493,12,FALSE),0)</f>
        <v>0</v>
      </c>
      <c r="GI17" s="307">
        <f t="shared" si="16"/>
        <v>0</v>
      </c>
      <c r="GJ17" s="307">
        <f t="shared" si="17"/>
        <v>350</v>
      </c>
      <c r="GK17" s="307">
        <f>IFERROR(IF('[2]TESTE TESTE'!$Z$3=1,SUM(FU17),IF('[2]TESTE TESTE'!$Z$3=2,SUM(FU17:FV17),IF('[2]TESTE TESTE'!$Z$3=3,SUM(FU17:FW17),IF('[2]TESTE TESTE'!$Z$3=4,SUM(FU17:FX17),IF('[2]TESTE TESTE'!$Z$3=5,SUM(FU17:FY17),IF('[2]TESTE TESTE'!$Z$3=6,SUM(FU17:FZ17),IF('[2]TESTE TESTE'!$Z$3=7,SUM(FU17:GA17),IF('[2]TESTE TESTE'!$Z$3=8,SUM(FU17:GB17),IF('[2]TESTE TESTE'!$Z$3=9,SUM(FU17:GC17),IF('[2]TESTE TESTE'!$Z$3=10,SUM(FU17:GD17),IF('[2]TESTE TESTE'!$Z$3=11,SUM(FU17:GE17),IF('[2]TESTE TESTE'!$Z$3=12,SUM(FU17:GF17,))))))))))))),"")</f>
        <v>0</v>
      </c>
      <c r="GL17" s="307">
        <f>IFERROR(IF('[2]TESTE TESTE'!$Z$3=1,SUM(P17),IF('[2]TESTE TESTE'!$Z$3=2,SUM(P17:Q17),IF('[2]TESTE TESTE'!$Z$3=3,SUM(P17:R17),IF('[2]TESTE TESTE'!$Z$3=4,SUM(P17:S17),IF('[2]TESTE TESTE'!$Z$3=5,SUM(P17:T17),IF('[2]TESTE TESTE'!$Z$3=6,SUM(P17:U17),IF('[2]TESTE TESTE'!$Z$3=7,SUM(P17:V17),IF('[2]TESTE TESTE'!$Z$3=8,SUM(P17:W17),IF('[2]TESTE TESTE'!$Z$3=9,SUM(P17:X17),IF('[2]TESTE TESTE'!$Z$3=10,SUM(P17:Y17),IF('[2]TESTE TESTE'!$Z$3=11,SUM(P17:Z17),IF('[2]TESTE TESTE'!$Z$3=12,SUM(P17:AA17,))))))))))))),"")</f>
        <v>350</v>
      </c>
    </row>
    <row r="18" spans="1:194" s="308" customFormat="1" ht="12.95" customHeight="1" x14ac:dyDescent="0.2">
      <c r="A18" s="547"/>
      <c r="B18" s="208" t="s">
        <v>57</v>
      </c>
      <c r="C18" s="209" t="s">
        <v>41</v>
      </c>
      <c r="D18" s="208" t="s">
        <v>61</v>
      </c>
      <c r="E18" s="208" t="s">
        <v>226</v>
      </c>
      <c r="F18" s="209" t="s">
        <v>232</v>
      </c>
      <c r="G18" s="210" t="s">
        <v>59</v>
      </c>
      <c r="H18" s="210"/>
      <c r="I18" s="208" t="s">
        <v>280</v>
      </c>
      <c r="J18" s="208" t="s">
        <v>281</v>
      </c>
      <c r="K18" s="208" t="s">
        <v>282</v>
      </c>
      <c r="L18" s="208" t="s">
        <v>283</v>
      </c>
      <c r="M18" s="208"/>
      <c r="N18" s="208" t="s">
        <v>246</v>
      </c>
      <c r="O18" s="293"/>
      <c r="P18" s="294"/>
      <c r="Q18" s="295"/>
      <c r="R18" s="295"/>
      <c r="S18" s="295"/>
      <c r="T18" s="295"/>
      <c r="U18" s="295"/>
      <c r="V18" s="295"/>
      <c r="W18" s="295"/>
      <c r="X18" s="295">
        <v>150</v>
      </c>
      <c r="Y18" s="295"/>
      <c r="Z18" s="295"/>
      <c r="AA18" s="295"/>
      <c r="AB18" s="296">
        <f t="shared" si="18"/>
        <v>150</v>
      </c>
      <c r="AC18" s="295"/>
      <c r="AD18" s="295"/>
      <c r="AE18" s="295"/>
      <c r="AF18" s="295"/>
      <c r="AG18" s="295"/>
      <c r="AH18" s="295"/>
      <c r="AI18" s="295"/>
      <c r="AJ18" s="295"/>
      <c r="AK18" s="295"/>
      <c r="AL18" s="295"/>
      <c r="AM18" s="295"/>
      <c r="AN18" s="295"/>
      <c r="AO18" s="295">
        <f t="shared" si="19"/>
        <v>0</v>
      </c>
      <c r="AP18" s="295"/>
      <c r="AQ18" s="295"/>
      <c r="AR18" s="295"/>
      <c r="AS18" s="295"/>
      <c r="AT18" s="295"/>
      <c r="AU18" s="295"/>
      <c r="AV18" s="295"/>
      <c r="AW18" s="295"/>
      <c r="AX18" s="295"/>
      <c r="AY18" s="295"/>
      <c r="AZ18" s="295"/>
      <c r="BA18" s="295">
        <v>50</v>
      </c>
      <c r="BB18" s="295">
        <f t="shared" si="20"/>
        <v>50</v>
      </c>
      <c r="BC18" s="295"/>
      <c r="BD18" s="295"/>
      <c r="BE18" s="295"/>
      <c r="BF18" s="295"/>
      <c r="BG18" s="295"/>
      <c r="BH18" s="295"/>
      <c r="BI18" s="295"/>
      <c r="BJ18" s="295"/>
      <c r="BK18" s="295"/>
      <c r="BL18" s="295"/>
      <c r="BM18" s="295"/>
      <c r="BN18" s="295"/>
      <c r="BO18" s="295">
        <f t="shared" si="21"/>
        <v>0</v>
      </c>
      <c r="BP18" s="295"/>
      <c r="BQ18" s="295"/>
      <c r="BR18" s="295"/>
      <c r="BS18" s="295"/>
      <c r="BT18" s="295"/>
      <c r="BU18" s="295"/>
      <c r="BV18" s="295"/>
      <c r="BW18" s="295"/>
      <c r="BX18" s="295"/>
      <c r="BY18" s="295"/>
      <c r="BZ18" s="295"/>
      <c r="CA18" s="295">
        <v>50</v>
      </c>
      <c r="CB18" s="295">
        <f t="shared" si="22"/>
        <v>50</v>
      </c>
      <c r="CC18" s="348">
        <f t="shared" si="5"/>
        <v>250</v>
      </c>
      <c r="CD18" s="297"/>
      <c r="CE18" s="298"/>
      <c r="CF18" s="299" t="s">
        <v>291</v>
      </c>
      <c r="CG18" s="300"/>
      <c r="CH18" s="300"/>
      <c r="CI18" s="300"/>
      <c r="CJ18" s="300"/>
      <c r="CK18" s="300"/>
      <c r="CL18" s="300"/>
      <c r="CM18" s="300"/>
      <c r="CN18" s="300"/>
      <c r="CO18" s="300">
        <v>85</v>
      </c>
      <c r="CP18" s="300"/>
      <c r="CQ18" s="300"/>
      <c r="CR18" s="300"/>
      <c r="CS18" s="300">
        <f t="shared" si="6"/>
        <v>85</v>
      </c>
      <c r="CT18" s="300"/>
      <c r="CU18" s="300"/>
      <c r="CV18" s="300"/>
      <c r="CW18" s="300"/>
      <c r="CX18" s="300"/>
      <c r="CY18" s="300"/>
      <c r="CZ18" s="300"/>
      <c r="DA18" s="300"/>
      <c r="DB18" s="300"/>
      <c r="DC18" s="300"/>
      <c r="DD18" s="300"/>
      <c r="DE18" s="300"/>
      <c r="DF18" s="300">
        <f t="shared" si="7"/>
        <v>0</v>
      </c>
      <c r="DG18" s="300"/>
      <c r="DH18" s="300"/>
      <c r="DI18" s="300"/>
      <c r="DJ18" s="300"/>
      <c r="DK18" s="300"/>
      <c r="DL18" s="300"/>
      <c r="DM18" s="300"/>
      <c r="DN18" s="300"/>
      <c r="DO18" s="300"/>
      <c r="DP18" s="300"/>
      <c r="DQ18" s="300"/>
      <c r="DR18" s="300">
        <v>25</v>
      </c>
      <c r="DS18" s="300">
        <f t="shared" si="8"/>
        <v>25</v>
      </c>
      <c r="DT18" s="300"/>
      <c r="DU18" s="300"/>
      <c r="DV18" s="300"/>
      <c r="DW18" s="300"/>
      <c r="DX18" s="300"/>
      <c r="DY18" s="300"/>
      <c r="DZ18" s="300"/>
      <c r="EA18" s="300"/>
      <c r="EB18" s="300"/>
      <c r="EC18" s="300"/>
      <c r="ED18" s="300"/>
      <c r="EE18" s="300"/>
      <c r="EF18" s="300">
        <f t="shared" si="9"/>
        <v>0</v>
      </c>
      <c r="EG18" s="300"/>
      <c r="EH18" s="300"/>
      <c r="EI18" s="300"/>
      <c r="EJ18" s="300"/>
      <c r="EK18" s="300"/>
      <c r="EL18" s="300"/>
      <c r="EM18" s="300"/>
      <c r="EN18" s="300"/>
      <c r="EO18" s="300"/>
      <c r="EP18" s="300"/>
      <c r="EQ18" s="300"/>
      <c r="ER18" s="300">
        <v>25</v>
      </c>
      <c r="ES18" s="300">
        <f t="shared" si="10"/>
        <v>25</v>
      </c>
      <c r="ET18" s="301">
        <f t="shared" si="11"/>
        <v>135</v>
      </c>
      <c r="EU18" s="298"/>
      <c r="EV18" s="302"/>
      <c r="EW18" s="295"/>
      <c r="EX18" s="295"/>
      <c r="EY18" s="295"/>
      <c r="EZ18" s="295"/>
      <c r="FA18" s="295"/>
      <c r="FB18" s="295">
        <f t="shared" si="27"/>
        <v>0</v>
      </c>
      <c r="FC18" s="302"/>
      <c r="FD18" s="303"/>
      <c r="FE18" s="295"/>
      <c r="FF18" s="295"/>
      <c r="FG18" s="295"/>
      <c r="FH18" s="295"/>
      <c r="FI18" s="295"/>
      <c r="FJ18" s="295">
        <f t="shared" si="28"/>
        <v>0</v>
      </c>
      <c r="FK18" s="304"/>
      <c r="FL18" s="302"/>
      <c r="FM18" s="305"/>
      <c r="FN18" s="295"/>
      <c r="FO18" s="295"/>
      <c r="FP18" s="295"/>
      <c r="FQ18" s="295"/>
      <c r="FR18" s="295"/>
      <c r="FS18" s="295">
        <f t="shared" si="29"/>
        <v>0</v>
      </c>
      <c r="FT18" s="306"/>
      <c r="FU18" s="307">
        <v>0</v>
      </c>
      <c r="FV18" s="307">
        <v>0</v>
      </c>
      <c r="FW18" s="307">
        <f>IFERROR(VLOOKUP(G18,[2]CEI_032018!$A$1:$U$509,9,FALSE),0)</f>
        <v>0</v>
      </c>
      <c r="FX18" s="307">
        <f>IFERROR(VLOOKUP(G18,[2]CEI_042018!$A$1:$U$493,9,FALSE),0)</f>
        <v>0</v>
      </c>
      <c r="FY18" s="307"/>
      <c r="FZ18" s="307"/>
      <c r="GA18" s="307"/>
      <c r="GB18" s="307"/>
      <c r="GC18" s="307"/>
      <c r="GD18" s="307"/>
      <c r="GE18" s="307"/>
      <c r="GF18" s="307"/>
      <c r="GG18" s="307">
        <f t="shared" si="15"/>
        <v>0</v>
      </c>
      <c r="GH18" s="307">
        <f>IFERROR(VLOOKUP(G18,[2]CEI_042018!$A$1:$U$493,12,FALSE),0)</f>
        <v>0</v>
      </c>
      <c r="GI18" s="307">
        <f t="shared" si="16"/>
        <v>0</v>
      </c>
      <c r="GJ18" s="307">
        <f t="shared" si="17"/>
        <v>150</v>
      </c>
      <c r="GK18" s="307">
        <f>IFERROR(IF('[2]TESTE TESTE'!$Z$3=1,SUM(FU18),IF('[2]TESTE TESTE'!$Z$3=2,SUM(FU18:FV18),IF('[2]TESTE TESTE'!$Z$3=3,SUM(FU18:FW18),IF('[2]TESTE TESTE'!$Z$3=4,SUM(FU18:FX18),IF('[2]TESTE TESTE'!$Z$3=5,SUM(FU18:FY18),IF('[2]TESTE TESTE'!$Z$3=6,SUM(FU18:FZ18),IF('[2]TESTE TESTE'!$Z$3=7,SUM(FU18:GA18),IF('[2]TESTE TESTE'!$Z$3=8,SUM(FU18:GB18),IF('[2]TESTE TESTE'!$Z$3=9,SUM(FU18:GC18),IF('[2]TESTE TESTE'!$Z$3=10,SUM(FU18:GD18),IF('[2]TESTE TESTE'!$Z$3=11,SUM(FU18:GE18),IF('[2]TESTE TESTE'!$Z$3=12,SUM(FU18:GF18,))))))))))))),"")</f>
        <v>0</v>
      </c>
      <c r="GL18" s="307">
        <f>IFERROR(IF('[2]TESTE TESTE'!$Z$3=1,SUM(P18),IF('[2]TESTE TESTE'!$Z$3=2,SUM(P18:Q18),IF('[2]TESTE TESTE'!$Z$3=3,SUM(P18:R18),IF('[2]TESTE TESTE'!$Z$3=4,SUM(P18:S18),IF('[2]TESTE TESTE'!$Z$3=5,SUM(P18:T18),IF('[2]TESTE TESTE'!$Z$3=6,SUM(P18:U18),IF('[2]TESTE TESTE'!$Z$3=7,SUM(P18:V18),IF('[2]TESTE TESTE'!$Z$3=8,SUM(P18:W18),IF('[2]TESTE TESTE'!$Z$3=9,SUM(P18:X18),IF('[2]TESTE TESTE'!$Z$3=10,SUM(P18:Y18),IF('[2]TESTE TESTE'!$Z$3=11,SUM(P18:Z18),IF('[2]TESTE TESTE'!$Z$3=12,SUM(P18:AA18,))))))))))))),"")</f>
        <v>150</v>
      </c>
    </row>
    <row r="19" spans="1:194" s="308" customFormat="1" ht="12.95" customHeight="1" x14ac:dyDescent="0.2">
      <c r="A19" s="547"/>
      <c r="B19" s="208" t="s">
        <v>57</v>
      </c>
      <c r="C19" s="209" t="s">
        <v>41</v>
      </c>
      <c r="D19" s="208" t="s">
        <v>61</v>
      </c>
      <c r="E19" s="208" t="s">
        <v>226</v>
      </c>
      <c r="F19" s="209" t="s">
        <v>241</v>
      </c>
      <c r="G19" s="210" t="s">
        <v>59</v>
      </c>
      <c r="H19" s="210"/>
      <c r="I19" s="208" t="s">
        <v>1072</v>
      </c>
      <c r="J19" s="208" t="s">
        <v>242</v>
      </c>
      <c r="K19" s="208" t="s">
        <v>243</v>
      </c>
      <c r="L19" s="208" t="s">
        <v>244</v>
      </c>
      <c r="M19" s="208"/>
      <c r="N19" s="208" t="s">
        <v>245</v>
      </c>
      <c r="O19" s="293"/>
      <c r="P19" s="294"/>
      <c r="Q19" s="295"/>
      <c r="R19" s="295"/>
      <c r="S19" s="295"/>
      <c r="T19" s="295"/>
      <c r="U19" s="295"/>
      <c r="V19" s="295"/>
      <c r="W19" s="295"/>
      <c r="X19" s="295"/>
      <c r="Y19" s="295">
        <v>6</v>
      </c>
      <c r="Z19" s="295"/>
      <c r="AA19" s="295"/>
      <c r="AB19" s="296">
        <f t="shared" si="18"/>
        <v>6</v>
      </c>
      <c r="AC19" s="295"/>
      <c r="AD19" s="295"/>
      <c r="AE19" s="295"/>
      <c r="AF19" s="295"/>
      <c r="AG19" s="295"/>
      <c r="AH19" s="295"/>
      <c r="AI19" s="295"/>
      <c r="AJ19" s="295"/>
      <c r="AK19" s="295"/>
      <c r="AL19" s="295"/>
      <c r="AM19" s="295"/>
      <c r="AN19" s="295">
        <v>6</v>
      </c>
      <c r="AO19" s="295">
        <f t="shared" si="19"/>
        <v>6</v>
      </c>
      <c r="AP19" s="295"/>
      <c r="AQ19" s="295"/>
      <c r="AR19" s="295"/>
      <c r="AS19" s="295"/>
      <c r="AT19" s="295"/>
      <c r="AU19" s="295"/>
      <c r="AV19" s="295"/>
      <c r="AW19" s="295"/>
      <c r="AX19" s="295"/>
      <c r="AY19" s="295"/>
      <c r="AZ19" s="295"/>
      <c r="BA19" s="295">
        <v>6</v>
      </c>
      <c r="BB19" s="295">
        <f t="shared" si="20"/>
        <v>6</v>
      </c>
      <c r="BC19" s="295"/>
      <c r="BD19" s="295"/>
      <c r="BE19" s="295"/>
      <c r="BF19" s="295"/>
      <c r="BG19" s="295"/>
      <c r="BH19" s="295"/>
      <c r="BI19" s="295"/>
      <c r="BJ19" s="295"/>
      <c r="BK19" s="295"/>
      <c r="BL19" s="295"/>
      <c r="BM19" s="295"/>
      <c r="BN19" s="295">
        <v>6</v>
      </c>
      <c r="BO19" s="295">
        <f t="shared" si="21"/>
        <v>6</v>
      </c>
      <c r="BP19" s="295"/>
      <c r="BQ19" s="295"/>
      <c r="BR19" s="295"/>
      <c r="BS19" s="295"/>
      <c r="BT19" s="295"/>
      <c r="BU19" s="295"/>
      <c r="BV19" s="295"/>
      <c r="BW19" s="295"/>
      <c r="BX19" s="295"/>
      <c r="BY19" s="295"/>
      <c r="BZ19" s="295"/>
      <c r="CA19" s="295">
        <v>6</v>
      </c>
      <c r="CB19" s="295">
        <f t="shared" si="22"/>
        <v>6</v>
      </c>
      <c r="CC19" s="348">
        <f t="shared" si="5"/>
        <v>30</v>
      </c>
      <c r="CD19" s="297"/>
      <c r="CE19" s="298"/>
      <c r="CF19" s="299" t="s">
        <v>73</v>
      </c>
      <c r="CG19" s="300"/>
      <c r="CH19" s="300"/>
      <c r="CI19" s="300"/>
      <c r="CJ19" s="300"/>
      <c r="CK19" s="300"/>
      <c r="CL19" s="300"/>
      <c r="CM19" s="300"/>
      <c r="CN19" s="300"/>
      <c r="CO19" s="300"/>
      <c r="CP19" s="300">
        <v>2</v>
      </c>
      <c r="CQ19" s="300"/>
      <c r="CR19" s="300"/>
      <c r="CS19" s="300">
        <f t="shared" si="6"/>
        <v>2</v>
      </c>
      <c r="CT19" s="300"/>
      <c r="CU19" s="300"/>
      <c r="CV19" s="300"/>
      <c r="CW19" s="300"/>
      <c r="CX19" s="300"/>
      <c r="CY19" s="300"/>
      <c r="CZ19" s="300"/>
      <c r="DA19" s="300"/>
      <c r="DB19" s="300"/>
      <c r="DC19" s="300"/>
      <c r="DD19" s="300"/>
      <c r="DE19" s="300">
        <v>2</v>
      </c>
      <c r="DF19" s="300">
        <f t="shared" si="7"/>
        <v>2</v>
      </c>
      <c r="DG19" s="300"/>
      <c r="DH19" s="300"/>
      <c r="DI19" s="300"/>
      <c r="DJ19" s="300"/>
      <c r="DK19" s="300"/>
      <c r="DL19" s="300"/>
      <c r="DM19" s="300"/>
      <c r="DN19" s="300"/>
      <c r="DO19" s="300"/>
      <c r="DP19" s="300"/>
      <c r="DQ19" s="300"/>
      <c r="DR19" s="300">
        <v>2</v>
      </c>
      <c r="DS19" s="300">
        <f t="shared" si="8"/>
        <v>2</v>
      </c>
      <c r="DT19" s="300"/>
      <c r="DU19" s="300"/>
      <c r="DV19" s="300"/>
      <c r="DW19" s="300"/>
      <c r="DX19" s="300"/>
      <c r="DY19" s="300"/>
      <c r="DZ19" s="300"/>
      <c r="EA19" s="300"/>
      <c r="EB19" s="300"/>
      <c r="EC19" s="300"/>
      <c r="ED19" s="300"/>
      <c r="EE19" s="300">
        <v>2</v>
      </c>
      <c r="EF19" s="300">
        <f t="shared" si="9"/>
        <v>2</v>
      </c>
      <c r="EG19" s="300"/>
      <c r="EH19" s="300"/>
      <c r="EI19" s="300"/>
      <c r="EJ19" s="300"/>
      <c r="EK19" s="300"/>
      <c r="EL19" s="300"/>
      <c r="EM19" s="300"/>
      <c r="EN19" s="300"/>
      <c r="EO19" s="300"/>
      <c r="EP19" s="300"/>
      <c r="EQ19" s="300"/>
      <c r="ER19" s="300">
        <v>2</v>
      </c>
      <c r="ES19" s="300">
        <f t="shared" si="10"/>
        <v>2</v>
      </c>
      <c r="ET19" s="301">
        <f t="shared" si="11"/>
        <v>10</v>
      </c>
      <c r="EU19" s="298"/>
      <c r="EV19" s="302"/>
      <c r="EW19" s="295"/>
      <c r="EX19" s="295"/>
      <c r="EY19" s="295"/>
      <c r="EZ19" s="295"/>
      <c r="FA19" s="295"/>
      <c r="FB19" s="295">
        <f t="shared" si="27"/>
        <v>0</v>
      </c>
      <c r="FC19" s="302"/>
      <c r="FD19" s="303"/>
      <c r="FE19" s="295"/>
      <c r="FF19" s="295"/>
      <c r="FG19" s="295"/>
      <c r="FH19" s="295"/>
      <c r="FI19" s="295"/>
      <c r="FJ19" s="295">
        <f t="shared" si="28"/>
        <v>0</v>
      </c>
      <c r="FK19" s="304"/>
      <c r="FL19" s="302"/>
      <c r="FM19" s="305"/>
      <c r="FN19" s="295"/>
      <c r="FO19" s="295"/>
      <c r="FP19" s="295"/>
      <c r="FQ19" s="295"/>
      <c r="FR19" s="295"/>
      <c r="FS19" s="295">
        <f t="shared" si="29"/>
        <v>0</v>
      </c>
      <c r="FT19" s="306"/>
      <c r="FU19" s="307">
        <v>0</v>
      </c>
      <c r="FV19" s="307">
        <v>0</v>
      </c>
      <c r="FW19" s="307">
        <f>IFERROR(VLOOKUP(G19,[2]CEI_032018!$A$1:$U$509,9,FALSE),0)</f>
        <v>0</v>
      </c>
      <c r="FX19" s="307">
        <f>IFERROR(VLOOKUP(G19,[2]CEI_042018!$A$1:$U$493,9,FALSE),0)</f>
        <v>0</v>
      </c>
      <c r="FY19" s="307"/>
      <c r="FZ19" s="307"/>
      <c r="GA19" s="307"/>
      <c r="GB19" s="307"/>
      <c r="GC19" s="307"/>
      <c r="GD19" s="307"/>
      <c r="GE19" s="307"/>
      <c r="GF19" s="307"/>
      <c r="GG19" s="307">
        <f t="shared" si="15"/>
        <v>0</v>
      </c>
      <c r="GH19" s="307">
        <f>IFERROR(VLOOKUP(G19,[2]CEI_042018!$A$1:$U$493,12,FALSE),0)</f>
        <v>0</v>
      </c>
      <c r="GI19" s="307">
        <f t="shared" si="16"/>
        <v>0</v>
      </c>
      <c r="GJ19" s="307">
        <f t="shared" si="17"/>
        <v>6</v>
      </c>
      <c r="GK19" s="307">
        <f>IFERROR(IF('[2]TESTE TESTE'!$Z$3=1,SUM(FU19),IF('[2]TESTE TESTE'!$Z$3=2,SUM(FU19:FV19),IF('[2]TESTE TESTE'!$Z$3=3,SUM(FU19:FW19),IF('[2]TESTE TESTE'!$Z$3=4,SUM(FU19:FX19),IF('[2]TESTE TESTE'!$Z$3=5,SUM(FU19:FY19),IF('[2]TESTE TESTE'!$Z$3=6,SUM(FU19:FZ19),IF('[2]TESTE TESTE'!$Z$3=7,SUM(FU19:GA19),IF('[2]TESTE TESTE'!$Z$3=8,SUM(FU19:GB19),IF('[2]TESTE TESTE'!$Z$3=9,SUM(FU19:GC19),IF('[2]TESTE TESTE'!$Z$3=10,SUM(FU19:GD19),IF('[2]TESTE TESTE'!$Z$3=11,SUM(FU19:GE19),IF('[2]TESTE TESTE'!$Z$3=12,SUM(FU19:GF19,))))))))))))),"")</f>
        <v>0</v>
      </c>
      <c r="GL19" s="307">
        <f>IFERROR(IF('[2]TESTE TESTE'!$Z$3=1,SUM(P19),IF('[2]TESTE TESTE'!$Z$3=2,SUM(P19:Q19),IF('[2]TESTE TESTE'!$Z$3=3,SUM(P19:R19),IF('[2]TESTE TESTE'!$Z$3=4,SUM(P19:S19),IF('[2]TESTE TESTE'!$Z$3=5,SUM(P19:T19),IF('[2]TESTE TESTE'!$Z$3=6,SUM(P19:U19),IF('[2]TESTE TESTE'!$Z$3=7,SUM(P19:V19),IF('[2]TESTE TESTE'!$Z$3=8,SUM(P19:W19),IF('[2]TESTE TESTE'!$Z$3=9,SUM(P19:X19),IF('[2]TESTE TESTE'!$Z$3=10,SUM(P19:Y19),IF('[2]TESTE TESTE'!$Z$3=11,SUM(P19:Z19),IF('[2]TESTE TESTE'!$Z$3=12,SUM(P19:AA19,))))))))))))),"")</f>
        <v>6</v>
      </c>
    </row>
    <row r="20" spans="1:194" s="308" customFormat="1" ht="12.95" customHeight="1" x14ac:dyDescent="0.2">
      <c r="A20" s="547"/>
      <c r="B20" s="208" t="s">
        <v>57</v>
      </c>
      <c r="C20" s="209" t="s">
        <v>41</v>
      </c>
      <c r="D20" s="208" t="s">
        <v>61</v>
      </c>
      <c r="E20" s="208" t="s">
        <v>226</v>
      </c>
      <c r="F20" s="209" t="s">
        <v>232</v>
      </c>
      <c r="G20" s="210" t="s">
        <v>59</v>
      </c>
      <c r="H20" s="210"/>
      <c r="I20" s="208" t="s">
        <v>247</v>
      </c>
      <c r="J20" s="208" t="s">
        <v>248</v>
      </c>
      <c r="K20" s="208" t="s">
        <v>249</v>
      </c>
      <c r="L20" s="208" t="s">
        <v>250</v>
      </c>
      <c r="M20" s="208"/>
      <c r="N20" s="208" t="s">
        <v>251</v>
      </c>
      <c r="O20" s="293"/>
      <c r="P20" s="294"/>
      <c r="Q20" s="295"/>
      <c r="R20" s="295"/>
      <c r="S20" s="295"/>
      <c r="T20" s="295"/>
      <c r="U20" s="295"/>
      <c r="V20" s="295"/>
      <c r="W20" s="295"/>
      <c r="X20" s="295"/>
      <c r="Y20" s="295">
        <v>5</v>
      </c>
      <c r="Z20" s="295"/>
      <c r="AA20" s="295"/>
      <c r="AB20" s="296">
        <f t="shared" si="18"/>
        <v>5</v>
      </c>
      <c r="AC20" s="295"/>
      <c r="AD20" s="295"/>
      <c r="AE20" s="295"/>
      <c r="AF20" s="295"/>
      <c r="AG20" s="295"/>
      <c r="AH20" s="295"/>
      <c r="AI20" s="295"/>
      <c r="AJ20" s="295"/>
      <c r="AK20" s="295"/>
      <c r="AL20" s="295"/>
      <c r="AM20" s="295"/>
      <c r="AN20" s="295"/>
      <c r="AO20" s="295">
        <f t="shared" si="19"/>
        <v>0</v>
      </c>
      <c r="AP20" s="295"/>
      <c r="AQ20" s="295"/>
      <c r="AR20" s="295"/>
      <c r="AS20" s="295"/>
      <c r="AT20" s="295"/>
      <c r="AU20" s="295"/>
      <c r="AV20" s="295"/>
      <c r="AW20" s="295"/>
      <c r="AX20" s="295"/>
      <c r="AY20" s="295"/>
      <c r="AZ20" s="295"/>
      <c r="BA20" s="295"/>
      <c r="BB20" s="295">
        <f t="shared" si="20"/>
        <v>0</v>
      </c>
      <c r="BC20" s="295"/>
      <c r="BD20" s="295"/>
      <c r="BE20" s="295"/>
      <c r="BF20" s="295"/>
      <c r="BG20" s="295"/>
      <c r="BH20" s="295"/>
      <c r="BI20" s="295"/>
      <c r="BJ20" s="295"/>
      <c r="BK20" s="295"/>
      <c r="BL20" s="295"/>
      <c r="BM20" s="295"/>
      <c r="BN20" s="295"/>
      <c r="BO20" s="295">
        <f t="shared" si="21"/>
        <v>0</v>
      </c>
      <c r="BP20" s="295"/>
      <c r="BQ20" s="295"/>
      <c r="BR20" s="295"/>
      <c r="BS20" s="295"/>
      <c r="BT20" s="295"/>
      <c r="BU20" s="295"/>
      <c r="BV20" s="295"/>
      <c r="BW20" s="295"/>
      <c r="BX20" s="295"/>
      <c r="BY20" s="295"/>
      <c r="BZ20" s="295"/>
      <c r="CA20" s="295"/>
      <c r="CB20" s="295">
        <f t="shared" si="22"/>
        <v>0</v>
      </c>
      <c r="CC20" s="348">
        <f t="shared" si="5"/>
        <v>5</v>
      </c>
      <c r="CD20" s="297"/>
      <c r="CE20" s="298"/>
      <c r="CF20" s="299" t="s">
        <v>73</v>
      </c>
      <c r="CG20" s="300"/>
      <c r="CH20" s="300"/>
      <c r="CI20" s="300"/>
      <c r="CJ20" s="300"/>
      <c r="CK20" s="300"/>
      <c r="CL20" s="300"/>
      <c r="CM20" s="300"/>
      <c r="CN20" s="300"/>
      <c r="CO20" s="300"/>
      <c r="CP20" s="300">
        <v>1</v>
      </c>
      <c r="CQ20" s="300"/>
      <c r="CR20" s="300"/>
      <c r="CS20" s="300">
        <f t="shared" si="6"/>
        <v>1</v>
      </c>
      <c r="CT20" s="300"/>
      <c r="CU20" s="300"/>
      <c r="CV20" s="300"/>
      <c r="CW20" s="300"/>
      <c r="CX20" s="300"/>
      <c r="CY20" s="300"/>
      <c r="CZ20" s="300"/>
      <c r="DA20" s="300"/>
      <c r="DB20" s="300"/>
      <c r="DC20" s="300"/>
      <c r="DD20" s="300"/>
      <c r="DE20" s="300"/>
      <c r="DF20" s="300">
        <f t="shared" si="7"/>
        <v>0</v>
      </c>
      <c r="DG20" s="300"/>
      <c r="DH20" s="300"/>
      <c r="DI20" s="300"/>
      <c r="DJ20" s="300"/>
      <c r="DK20" s="300"/>
      <c r="DL20" s="300"/>
      <c r="DM20" s="300"/>
      <c r="DN20" s="300"/>
      <c r="DO20" s="300"/>
      <c r="DP20" s="300"/>
      <c r="DQ20" s="300"/>
      <c r="DR20" s="300"/>
      <c r="DS20" s="300">
        <f t="shared" si="8"/>
        <v>0</v>
      </c>
      <c r="DT20" s="300"/>
      <c r="DU20" s="300"/>
      <c r="DV20" s="300"/>
      <c r="DW20" s="300"/>
      <c r="DX20" s="300"/>
      <c r="DY20" s="300"/>
      <c r="DZ20" s="300"/>
      <c r="EA20" s="300"/>
      <c r="EB20" s="300"/>
      <c r="EC20" s="300"/>
      <c r="ED20" s="300"/>
      <c r="EE20" s="300"/>
      <c r="EF20" s="300">
        <f t="shared" si="9"/>
        <v>0</v>
      </c>
      <c r="EG20" s="300"/>
      <c r="EH20" s="300"/>
      <c r="EI20" s="300"/>
      <c r="EJ20" s="300"/>
      <c r="EK20" s="300"/>
      <c r="EL20" s="300"/>
      <c r="EM20" s="300"/>
      <c r="EN20" s="300"/>
      <c r="EO20" s="300"/>
      <c r="EP20" s="300"/>
      <c r="EQ20" s="300"/>
      <c r="ER20" s="300"/>
      <c r="ES20" s="300">
        <f t="shared" si="10"/>
        <v>0</v>
      </c>
      <c r="ET20" s="301">
        <f t="shared" si="11"/>
        <v>1</v>
      </c>
      <c r="EU20" s="298"/>
      <c r="EV20" s="302"/>
      <c r="EW20" s="295"/>
      <c r="EX20" s="295"/>
      <c r="EY20" s="295"/>
      <c r="EZ20" s="295"/>
      <c r="FA20" s="295"/>
      <c r="FB20" s="295">
        <f t="shared" si="27"/>
        <v>0</v>
      </c>
      <c r="FC20" s="302"/>
      <c r="FD20" s="303"/>
      <c r="FE20" s="295"/>
      <c r="FF20" s="295"/>
      <c r="FG20" s="295"/>
      <c r="FH20" s="295"/>
      <c r="FI20" s="295"/>
      <c r="FJ20" s="295">
        <f t="shared" si="28"/>
        <v>0</v>
      </c>
      <c r="FK20" s="304"/>
      <c r="FL20" s="302"/>
      <c r="FM20" s="305"/>
      <c r="FN20" s="295"/>
      <c r="FO20" s="295"/>
      <c r="FP20" s="295"/>
      <c r="FQ20" s="295"/>
      <c r="FR20" s="295"/>
      <c r="FS20" s="295">
        <f t="shared" si="29"/>
        <v>0</v>
      </c>
      <c r="FT20" s="306"/>
      <c r="FU20" s="307">
        <v>0</v>
      </c>
      <c r="FV20" s="307">
        <v>0</v>
      </c>
      <c r="FW20" s="307">
        <f>IFERROR(VLOOKUP(G20,[2]CEI_032018!$A$1:$U$509,9,FALSE),0)</f>
        <v>0</v>
      </c>
      <c r="FX20" s="307">
        <f>IFERROR(VLOOKUP(G20,[2]CEI_042018!$A$1:$U$493,9,FALSE),0)</f>
        <v>0</v>
      </c>
      <c r="FY20" s="307"/>
      <c r="FZ20" s="307"/>
      <c r="GA20" s="307"/>
      <c r="GB20" s="307"/>
      <c r="GC20" s="307"/>
      <c r="GD20" s="307"/>
      <c r="GE20" s="307"/>
      <c r="GF20" s="307"/>
      <c r="GG20" s="307">
        <f t="shared" si="15"/>
        <v>0</v>
      </c>
      <c r="GH20" s="307">
        <f>IFERROR(VLOOKUP(G20,[2]CEI_042018!$A$1:$U$493,12,FALSE),0)</f>
        <v>0</v>
      </c>
      <c r="GI20" s="307">
        <f t="shared" si="16"/>
        <v>0</v>
      </c>
      <c r="GJ20" s="307">
        <f t="shared" si="17"/>
        <v>5</v>
      </c>
      <c r="GK20" s="307">
        <f>IFERROR(IF('[2]TESTE TESTE'!$Z$3=1,SUM(FU20),IF('[2]TESTE TESTE'!$Z$3=2,SUM(FU20:FV20),IF('[2]TESTE TESTE'!$Z$3=3,SUM(FU20:FW20),IF('[2]TESTE TESTE'!$Z$3=4,SUM(FU20:FX20),IF('[2]TESTE TESTE'!$Z$3=5,SUM(FU20:FY20),IF('[2]TESTE TESTE'!$Z$3=6,SUM(FU20:FZ20),IF('[2]TESTE TESTE'!$Z$3=7,SUM(FU20:GA20),IF('[2]TESTE TESTE'!$Z$3=8,SUM(FU20:GB20),IF('[2]TESTE TESTE'!$Z$3=9,SUM(FU20:GC20),IF('[2]TESTE TESTE'!$Z$3=10,SUM(FU20:GD20),IF('[2]TESTE TESTE'!$Z$3=11,SUM(FU20:GE20),IF('[2]TESTE TESTE'!$Z$3=12,SUM(FU20:GF20,))))))))))))),"")</f>
        <v>0</v>
      </c>
      <c r="GL20" s="307">
        <f>IFERROR(IF('[2]TESTE TESTE'!$Z$3=1,SUM(P20),IF('[2]TESTE TESTE'!$Z$3=2,SUM(P20:Q20),IF('[2]TESTE TESTE'!$Z$3=3,SUM(P20:R20),IF('[2]TESTE TESTE'!$Z$3=4,SUM(P20:S20),IF('[2]TESTE TESTE'!$Z$3=5,SUM(P20:T20),IF('[2]TESTE TESTE'!$Z$3=6,SUM(P20:U20),IF('[2]TESTE TESTE'!$Z$3=7,SUM(P20:V20),IF('[2]TESTE TESTE'!$Z$3=8,SUM(P20:W20),IF('[2]TESTE TESTE'!$Z$3=9,SUM(P20:X20),IF('[2]TESTE TESTE'!$Z$3=10,SUM(P20:Y20),IF('[2]TESTE TESTE'!$Z$3=11,SUM(P20:Z20),IF('[2]TESTE TESTE'!$Z$3=12,SUM(P20:AA20,))))))))))))),"")</f>
        <v>5</v>
      </c>
    </row>
    <row r="21" spans="1:194" s="308" customFormat="1" ht="12.95" customHeight="1" x14ac:dyDescent="0.2">
      <c r="A21" s="547"/>
      <c r="B21" s="208" t="s">
        <v>57</v>
      </c>
      <c r="C21" s="209" t="s">
        <v>41</v>
      </c>
      <c r="D21" s="208" t="s">
        <v>61</v>
      </c>
      <c r="E21" s="208" t="s">
        <v>226</v>
      </c>
      <c r="F21" s="209" t="s">
        <v>267</v>
      </c>
      <c r="G21" s="210" t="s">
        <v>59</v>
      </c>
      <c r="H21" s="210"/>
      <c r="I21" s="208" t="s">
        <v>559</v>
      </c>
      <c r="J21" s="208" t="s">
        <v>268</v>
      </c>
      <c r="K21" s="208" t="s">
        <v>269</v>
      </c>
      <c r="L21" s="208" t="s">
        <v>270</v>
      </c>
      <c r="M21" s="208"/>
      <c r="N21" s="208" t="s">
        <v>266</v>
      </c>
      <c r="O21" s="293"/>
      <c r="P21" s="294"/>
      <c r="Q21" s="295"/>
      <c r="R21" s="295"/>
      <c r="S21" s="295"/>
      <c r="T21" s="295"/>
      <c r="U21" s="295"/>
      <c r="V21" s="295"/>
      <c r="W21" s="295"/>
      <c r="X21" s="295"/>
      <c r="Y21" s="295">
        <v>2</v>
      </c>
      <c r="Z21" s="295"/>
      <c r="AA21" s="295"/>
      <c r="AB21" s="296">
        <f t="shared" si="18"/>
        <v>2</v>
      </c>
      <c r="AC21" s="295"/>
      <c r="AD21" s="295"/>
      <c r="AE21" s="295"/>
      <c r="AF21" s="295"/>
      <c r="AG21" s="295"/>
      <c r="AH21" s="295"/>
      <c r="AI21" s="295"/>
      <c r="AJ21" s="295"/>
      <c r="AK21" s="295"/>
      <c r="AL21" s="295"/>
      <c r="AM21" s="295"/>
      <c r="AN21" s="295">
        <v>2</v>
      </c>
      <c r="AO21" s="295">
        <f t="shared" si="19"/>
        <v>2</v>
      </c>
      <c r="AP21" s="295"/>
      <c r="AQ21" s="295"/>
      <c r="AR21" s="295"/>
      <c r="AS21" s="295"/>
      <c r="AT21" s="295"/>
      <c r="AU21" s="295"/>
      <c r="AV21" s="295"/>
      <c r="AW21" s="295"/>
      <c r="AX21" s="295"/>
      <c r="AY21" s="295"/>
      <c r="AZ21" s="295"/>
      <c r="BA21" s="295">
        <v>2</v>
      </c>
      <c r="BB21" s="295">
        <f t="shared" si="20"/>
        <v>2</v>
      </c>
      <c r="BC21" s="295"/>
      <c r="BD21" s="295"/>
      <c r="BE21" s="295"/>
      <c r="BF21" s="295"/>
      <c r="BG21" s="295"/>
      <c r="BH21" s="295"/>
      <c r="BI21" s="295"/>
      <c r="BJ21" s="295"/>
      <c r="BK21" s="295"/>
      <c r="BL21" s="295"/>
      <c r="BM21" s="295"/>
      <c r="BN21" s="295">
        <v>2</v>
      </c>
      <c r="BO21" s="295">
        <f t="shared" si="21"/>
        <v>2</v>
      </c>
      <c r="BP21" s="295"/>
      <c r="BQ21" s="295"/>
      <c r="BR21" s="295"/>
      <c r="BS21" s="295"/>
      <c r="BT21" s="295"/>
      <c r="BU21" s="295"/>
      <c r="BV21" s="295"/>
      <c r="BW21" s="295"/>
      <c r="BX21" s="295"/>
      <c r="BY21" s="295"/>
      <c r="BZ21" s="295"/>
      <c r="CA21" s="295">
        <v>2</v>
      </c>
      <c r="CB21" s="295">
        <f t="shared" si="22"/>
        <v>2</v>
      </c>
      <c r="CC21" s="348">
        <f t="shared" si="5"/>
        <v>10</v>
      </c>
      <c r="CD21" s="297"/>
      <c r="CE21" s="298"/>
      <c r="CF21" s="299" t="s">
        <v>73</v>
      </c>
      <c r="CG21" s="300"/>
      <c r="CH21" s="300"/>
      <c r="CI21" s="300"/>
      <c r="CJ21" s="300"/>
      <c r="CK21" s="300"/>
      <c r="CL21" s="300"/>
      <c r="CM21" s="300"/>
      <c r="CN21" s="300"/>
      <c r="CO21" s="300"/>
      <c r="CP21" s="300">
        <v>1</v>
      </c>
      <c r="CQ21" s="300"/>
      <c r="CR21" s="300"/>
      <c r="CS21" s="300">
        <f t="shared" si="6"/>
        <v>1</v>
      </c>
      <c r="CT21" s="300"/>
      <c r="CU21" s="300"/>
      <c r="CV21" s="300"/>
      <c r="CW21" s="300"/>
      <c r="CX21" s="300"/>
      <c r="CY21" s="300"/>
      <c r="CZ21" s="300"/>
      <c r="DA21" s="300"/>
      <c r="DB21" s="300"/>
      <c r="DC21" s="300"/>
      <c r="DD21" s="300"/>
      <c r="DE21" s="300">
        <v>1</v>
      </c>
      <c r="DF21" s="300">
        <f t="shared" si="7"/>
        <v>1</v>
      </c>
      <c r="DG21" s="300"/>
      <c r="DH21" s="300"/>
      <c r="DI21" s="300"/>
      <c r="DJ21" s="300"/>
      <c r="DK21" s="300"/>
      <c r="DL21" s="300"/>
      <c r="DM21" s="300"/>
      <c r="DN21" s="300"/>
      <c r="DO21" s="300"/>
      <c r="DP21" s="300"/>
      <c r="DQ21" s="300"/>
      <c r="DR21" s="300">
        <v>1</v>
      </c>
      <c r="DS21" s="300">
        <f t="shared" si="8"/>
        <v>1</v>
      </c>
      <c r="DT21" s="300"/>
      <c r="DU21" s="300"/>
      <c r="DV21" s="300"/>
      <c r="DW21" s="300"/>
      <c r="DX21" s="300"/>
      <c r="DY21" s="300"/>
      <c r="DZ21" s="300"/>
      <c r="EA21" s="300"/>
      <c r="EB21" s="300"/>
      <c r="EC21" s="300"/>
      <c r="ED21" s="300"/>
      <c r="EE21" s="300">
        <v>1</v>
      </c>
      <c r="EF21" s="300">
        <f t="shared" si="9"/>
        <v>1</v>
      </c>
      <c r="EG21" s="300"/>
      <c r="EH21" s="300"/>
      <c r="EI21" s="300"/>
      <c r="EJ21" s="300"/>
      <c r="EK21" s="300"/>
      <c r="EL21" s="300"/>
      <c r="EM21" s="300"/>
      <c r="EN21" s="300"/>
      <c r="EO21" s="300"/>
      <c r="EP21" s="300"/>
      <c r="EQ21" s="300"/>
      <c r="ER21" s="300">
        <v>1</v>
      </c>
      <c r="ES21" s="300">
        <f t="shared" si="10"/>
        <v>1</v>
      </c>
      <c r="ET21" s="301">
        <f t="shared" si="11"/>
        <v>5</v>
      </c>
      <c r="EU21" s="298"/>
      <c r="EV21" s="302"/>
      <c r="EW21" s="295"/>
      <c r="EX21" s="295"/>
      <c r="EY21" s="295"/>
      <c r="EZ21" s="295"/>
      <c r="FA21" s="295"/>
      <c r="FB21" s="295">
        <f t="shared" si="27"/>
        <v>0</v>
      </c>
      <c r="FC21" s="302"/>
      <c r="FD21" s="303"/>
      <c r="FE21" s="295"/>
      <c r="FF21" s="295"/>
      <c r="FG21" s="295"/>
      <c r="FH21" s="295"/>
      <c r="FI21" s="295"/>
      <c r="FJ21" s="295">
        <f t="shared" si="28"/>
        <v>0</v>
      </c>
      <c r="FK21" s="304"/>
      <c r="FL21" s="302"/>
      <c r="FM21" s="305"/>
      <c r="FN21" s="295"/>
      <c r="FO21" s="295"/>
      <c r="FP21" s="295"/>
      <c r="FQ21" s="295"/>
      <c r="FR21" s="295"/>
      <c r="FS21" s="295">
        <f t="shared" si="29"/>
        <v>0</v>
      </c>
      <c r="FT21" s="306"/>
      <c r="FU21" s="307">
        <v>0</v>
      </c>
      <c r="FV21" s="307">
        <v>0</v>
      </c>
      <c r="FW21" s="307">
        <f>IFERROR(VLOOKUP(G21,[2]CEI_032018!$A$1:$U$509,9,FALSE),0)</f>
        <v>0</v>
      </c>
      <c r="FX21" s="307">
        <f>IFERROR(VLOOKUP(G21,[2]CEI_042018!$A$1:$U$493,9,FALSE),0)</f>
        <v>0</v>
      </c>
      <c r="FY21" s="307"/>
      <c r="FZ21" s="307"/>
      <c r="GA21" s="307"/>
      <c r="GB21" s="307"/>
      <c r="GC21" s="307"/>
      <c r="GD21" s="307"/>
      <c r="GE21" s="307"/>
      <c r="GF21" s="307"/>
      <c r="GG21" s="307">
        <f t="shared" si="15"/>
        <v>0</v>
      </c>
      <c r="GH21" s="307">
        <f>IFERROR(VLOOKUP(G21,[2]CEI_042018!$A$1:$U$493,12,FALSE),0)</f>
        <v>0</v>
      </c>
      <c r="GI21" s="307">
        <f t="shared" si="16"/>
        <v>0</v>
      </c>
      <c r="GJ21" s="307">
        <f t="shared" si="17"/>
        <v>2</v>
      </c>
      <c r="GK21" s="307">
        <f>IFERROR(IF('[2]TESTE TESTE'!$Z$3=1,SUM(FU21),IF('[2]TESTE TESTE'!$Z$3=2,SUM(FU21:FV21),IF('[2]TESTE TESTE'!$Z$3=3,SUM(FU21:FW21),IF('[2]TESTE TESTE'!$Z$3=4,SUM(FU21:FX21),IF('[2]TESTE TESTE'!$Z$3=5,SUM(FU21:FY21),IF('[2]TESTE TESTE'!$Z$3=6,SUM(FU21:FZ21),IF('[2]TESTE TESTE'!$Z$3=7,SUM(FU21:GA21),IF('[2]TESTE TESTE'!$Z$3=8,SUM(FU21:GB21),IF('[2]TESTE TESTE'!$Z$3=9,SUM(FU21:GC21),IF('[2]TESTE TESTE'!$Z$3=10,SUM(FU21:GD21),IF('[2]TESTE TESTE'!$Z$3=11,SUM(FU21:GE21),IF('[2]TESTE TESTE'!$Z$3=12,SUM(FU21:GF21,))))))))))))),"")</f>
        <v>0</v>
      </c>
      <c r="GL21" s="307">
        <f>IFERROR(IF('[2]TESTE TESTE'!$Z$3=1,SUM(P21),IF('[2]TESTE TESTE'!$Z$3=2,SUM(P21:Q21),IF('[2]TESTE TESTE'!$Z$3=3,SUM(P21:R21),IF('[2]TESTE TESTE'!$Z$3=4,SUM(P21:S21),IF('[2]TESTE TESTE'!$Z$3=5,SUM(P21:T21),IF('[2]TESTE TESTE'!$Z$3=6,SUM(P21:U21),IF('[2]TESTE TESTE'!$Z$3=7,SUM(P21:V21),IF('[2]TESTE TESTE'!$Z$3=8,SUM(P21:W21),IF('[2]TESTE TESTE'!$Z$3=9,SUM(P21:X21),IF('[2]TESTE TESTE'!$Z$3=10,SUM(P21:Y21),IF('[2]TESTE TESTE'!$Z$3=11,SUM(P21:Z21),IF('[2]TESTE TESTE'!$Z$3=12,SUM(P21:AA21,))))))))))))),"")</f>
        <v>2</v>
      </c>
    </row>
    <row r="22" spans="1:194" s="287" customFormat="1" ht="12.95" customHeight="1" x14ac:dyDescent="0.2">
      <c r="A22" s="542" t="s">
        <v>1426</v>
      </c>
      <c r="B22" s="204" t="s">
        <v>57</v>
      </c>
      <c r="C22" s="205" t="s">
        <v>45</v>
      </c>
      <c r="D22" s="204" t="s">
        <v>58</v>
      </c>
      <c r="E22" s="204" t="s">
        <v>56</v>
      </c>
      <c r="F22" s="205" t="s">
        <v>484</v>
      </c>
      <c r="G22" s="309" t="s">
        <v>1426</v>
      </c>
      <c r="H22" s="309" t="s">
        <v>1485</v>
      </c>
      <c r="I22" s="204" t="s">
        <v>693</v>
      </c>
      <c r="J22" s="204" t="s">
        <v>692</v>
      </c>
      <c r="K22" s="204" t="s">
        <v>687</v>
      </c>
      <c r="L22" s="204" t="s">
        <v>688</v>
      </c>
      <c r="M22" s="204"/>
      <c r="N22" s="204" t="s">
        <v>324</v>
      </c>
      <c r="O22" s="272"/>
      <c r="P22" s="273"/>
      <c r="Q22" s="274"/>
      <c r="R22" s="274"/>
      <c r="S22" s="274"/>
      <c r="T22" s="274"/>
      <c r="U22" s="274"/>
      <c r="V22" s="274"/>
      <c r="W22" s="274"/>
      <c r="X22" s="274"/>
      <c r="Y22" s="274">
        <v>600</v>
      </c>
      <c r="Z22" s="274"/>
      <c r="AA22" s="274"/>
      <c r="AB22" s="275">
        <f t="shared" si="18"/>
        <v>600</v>
      </c>
      <c r="AC22" s="274"/>
      <c r="AD22" s="274"/>
      <c r="AE22" s="274"/>
      <c r="AF22" s="274"/>
      <c r="AG22" s="274"/>
      <c r="AH22" s="274"/>
      <c r="AI22" s="274"/>
      <c r="AJ22" s="274"/>
      <c r="AK22" s="274"/>
      <c r="AL22" s="274"/>
      <c r="AM22" s="274"/>
      <c r="AN22" s="274"/>
      <c r="AO22" s="274">
        <f t="shared" si="19"/>
        <v>0</v>
      </c>
      <c r="AP22" s="274">
        <v>600</v>
      </c>
      <c r="AQ22" s="274"/>
      <c r="AR22" s="274"/>
      <c r="AS22" s="274"/>
      <c r="AT22" s="274"/>
      <c r="AU22" s="274"/>
      <c r="AV22" s="274"/>
      <c r="AW22" s="274"/>
      <c r="AX22" s="274"/>
      <c r="AY22" s="274"/>
      <c r="AZ22" s="274"/>
      <c r="BA22" s="274"/>
      <c r="BB22" s="274">
        <f t="shared" si="20"/>
        <v>600</v>
      </c>
      <c r="BC22" s="274"/>
      <c r="BD22" s="274"/>
      <c r="BE22" s="274"/>
      <c r="BF22" s="274"/>
      <c r="BG22" s="274"/>
      <c r="BH22" s="274"/>
      <c r="BI22" s="274"/>
      <c r="BJ22" s="274"/>
      <c r="BK22" s="274"/>
      <c r="BL22" s="274"/>
      <c r="BM22" s="274"/>
      <c r="BN22" s="274"/>
      <c r="BO22" s="274">
        <f t="shared" si="21"/>
        <v>0</v>
      </c>
      <c r="BP22" s="274"/>
      <c r="BQ22" s="274"/>
      <c r="BR22" s="274"/>
      <c r="BS22" s="274"/>
      <c r="BT22" s="274"/>
      <c r="BU22" s="274"/>
      <c r="BV22" s="274"/>
      <c r="BW22" s="274"/>
      <c r="BX22" s="274"/>
      <c r="BY22" s="274"/>
      <c r="BZ22" s="274"/>
      <c r="CA22" s="274"/>
      <c r="CB22" s="274">
        <f t="shared" si="22"/>
        <v>0</v>
      </c>
      <c r="CC22" s="349">
        <f t="shared" si="5"/>
        <v>1200</v>
      </c>
      <c r="CD22" s="276"/>
      <c r="CE22" s="277"/>
      <c r="CF22" s="278" t="s">
        <v>73</v>
      </c>
      <c r="CG22" s="279"/>
      <c r="CH22" s="279"/>
      <c r="CI22" s="279"/>
      <c r="CJ22" s="279"/>
      <c r="CK22" s="279"/>
      <c r="CL22" s="279"/>
      <c r="CM22" s="279"/>
      <c r="CN22" s="279"/>
      <c r="CO22" s="279"/>
      <c r="CP22" s="279">
        <v>1</v>
      </c>
      <c r="CQ22" s="279"/>
      <c r="CR22" s="279"/>
      <c r="CS22" s="279">
        <f t="shared" si="6"/>
        <v>1</v>
      </c>
      <c r="CT22" s="279"/>
      <c r="CU22" s="279"/>
      <c r="CV22" s="279"/>
      <c r="CW22" s="279"/>
      <c r="CX22" s="279"/>
      <c r="CY22" s="279"/>
      <c r="CZ22" s="279"/>
      <c r="DA22" s="279"/>
      <c r="DB22" s="279"/>
      <c r="DC22" s="279"/>
      <c r="DD22" s="279"/>
      <c r="DE22" s="279"/>
      <c r="DF22" s="279">
        <f t="shared" si="7"/>
        <v>0</v>
      </c>
      <c r="DG22" s="279"/>
      <c r="DH22" s="279">
        <v>1</v>
      </c>
      <c r="DI22" s="279"/>
      <c r="DJ22" s="279"/>
      <c r="DK22" s="279"/>
      <c r="DL22" s="279"/>
      <c r="DM22" s="279"/>
      <c r="DN22" s="279"/>
      <c r="DO22" s="279"/>
      <c r="DP22" s="279"/>
      <c r="DQ22" s="279"/>
      <c r="DR22" s="279"/>
      <c r="DS22" s="279">
        <f t="shared" si="8"/>
        <v>1</v>
      </c>
      <c r="DT22" s="279">
        <v>1</v>
      </c>
      <c r="DU22" s="279"/>
      <c r="DV22" s="279"/>
      <c r="DW22" s="279"/>
      <c r="DX22" s="279"/>
      <c r="DY22" s="279"/>
      <c r="DZ22" s="279"/>
      <c r="EA22" s="279"/>
      <c r="EB22" s="279"/>
      <c r="EC22" s="279"/>
      <c r="ED22" s="279"/>
      <c r="EE22" s="279"/>
      <c r="EF22" s="279">
        <f t="shared" si="9"/>
        <v>1</v>
      </c>
      <c r="EG22" s="279"/>
      <c r="EH22" s="279"/>
      <c r="EI22" s="279"/>
      <c r="EJ22" s="279"/>
      <c r="EK22" s="279"/>
      <c r="EL22" s="279"/>
      <c r="EM22" s="279"/>
      <c r="EN22" s="279"/>
      <c r="EO22" s="279"/>
      <c r="EP22" s="279"/>
      <c r="EQ22" s="279"/>
      <c r="ER22" s="279"/>
      <c r="ES22" s="279">
        <f t="shared" si="10"/>
        <v>0</v>
      </c>
      <c r="ET22" s="280">
        <f t="shared" si="11"/>
        <v>3</v>
      </c>
      <c r="EU22" s="277"/>
      <c r="EV22" s="281"/>
      <c r="EW22" s="274"/>
      <c r="EX22" s="274"/>
      <c r="EY22" s="274"/>
      <c r="EZ22" s="274"/>
      <c r="FA22" s="274"/>
      <c r="FB22" s="274">
        <f t="shared" si="27"/>
        <v>0</v>
      </c>
      <c r="FC22" s="281"/>
      <c r="FD22" s="282"/>
      <c r="FE22" s="274"/>
      <c r="FF22" s="274"/>
      <c r="FG22" s="274"/>
      <c r="FH22" s="274"/>
      <c r="FI22" s="274"/>
      <c r="FJ22" s="274">
        <f t="shared" si="28"/>
        <v>0</v>
      </c>
      <c r="FK22" s="283"/>
      <c r="FL22" s="281"/>
      <c r="FM22" s="284"/>
      <c r="FN22" s="274"/>
      <c r="FO22" s="274"/>
      <c r="FP22" s="274"/>
      <c r="FQ22" s="274"/>
      <c r="FR22" s="274"/>
      <c r="FS22" s="274">
        <f t="shared" ref="FS22:FS23" si="30">SUM(FN22:FR22)</f>
        <v>0</v>
      </c>
      <c r="FT22" s="285"/>
      <c r="FU22" s="286">
        <v>0</v>
      </c>
      <c r="FV22" s="286">
        <v>0</v>
      </c>
      <c r="FW22" s="286">
        <f>IFERROR(VLOOKUP(G22,[2]CEI_032018!$A$1:$U$509,9,FALSE),0)</f>
        <v>0</v>
      </c>
      <c r="FX22" s="286">
        <f>IFERROR(VLOOKUP(G22,[2]CEI_042018!$A$1:$U$493,9,FALSE),0)</f>
        <v>0</v>
      </c>
      <c r="FY22" s="286"/>
      <c r="FZ22" s="286"/>
      <c r="GA22" s="286"/>
      <c r="GB22" s="286"/>
      <c r="GC22" s="286"/>
      <c r="GD22" s="286"/>
      <c r="GE22" s="286"/>
      <c r="GF22" s="286"/>
      <c r="GG22" s="286">
        <f t="shared" si="15"/>
        <v>0</v>
      </c>
      <c r="GH22" s="286">
        <f>IFERROR(VLOOKUP(G22,[2]CEI_042018!$A$1:$U$493,12,FALSE),0)</f>
        <v>0</v>
      </c>
      <c r="GI22" s="286">
        <f t="shared" si="16"/>
        <v>0</v>
      </c>
      <c r="GJ22" s="286">
        <f t="shared" si="17"/>
        <v>600</v>
      </c>
      <c r="GK22" s="286">
        <f>IFERROR(IF('[2]TESTE TESTE'!$Z$3=1,SUM(FU22),IF('[2]TESTE TESTE'!$Z$3=2,SUM(FU22:FV22),IF('[2]TESTE TESTE'!$Z$3=3,SUM(FU22:FW22),IF('[2]TESTE TESTE'!$Z$3=4,SUM(FU22:FX22),IF('[2]TESTE TESTE'!$Z$3=5,SUM(FU22:FY22),IF('[2]TESTE TESTE'!$Z$3=6,SUM(FU22:FZ22),IF('[2]TESTE TESTE'!$Z$3=7,SUM(FU22:GA22),IF('[2]TESTE TESTE'!$Z$3=8,SUM(FU22:GB22),IF('[2]TESTE TESTE'!$Z$3=9,SUM(FU22:GC22),IF('[2]TESTE TESTE'!$Z$3=10,SUM(FU22:GD22),IF('[2]TESTE TESTE'!$Z$3=11,SUM(FU22:GE22),IF('[2]TESTE TESTE'!$Z$3=12,SUM(FU22:GF22,))))))))))))),"")</f>
        <v>0</v>
      </c>
      <c r="GL22" s="286">
        <f>IFERROR(IF('[2]TESTE TESTE'!$Z$3=1,SUM(P22),IF('[2]TESTE TESTE'!$Z$3=2,SUM(P22:Q22),IF('[2]TESTE TESTE'!$Z$3=3,SUM(P22:R22),IF('[2]TESTE TESTE'!$Z$3=4,SUM(P22:S22),IF('[2]TESTE TESTE'!$Z$3=5,SUM(P22:T22),IF('[2]TESTE TESTE'!$Z$3=6,SUM(P22:U22),IF('[2]TESTE TESTE'!$Z$3=7,SUM(P22:V22),IF('[2]TESTE TESTE'!$Z$3=8,SUM(P22:W22),IF('[2]TESTE TESTE'!$Z$3=9,SUM(P22:X22),IF('[2]TESTE TESTE'!$Z$3=10,SUM(P22:Y22),IF('[2]TESTE TESTE'!$Z$3=11,SUM(P22:Z22),IF('[2]TESTE TESTE'!$Z$3=12,SUM(P22:AA22,))))))))))))),"")</f>
        <v>600</v>
      </c>
    </row>
    <row r="23" spans="1:194" s="287" customFormat="1" ht="12.95" customHeight="1" x14ac:dyDescent="0.2">
      <c r="A23" s="542"/>
      <c r="B23" s="205" t="s">
        <v>57</v>
      </c>
      <c r="C23" s="205" t="s">
        <v>45</v>
      </c>
      <c r="D23" s="204" t="s">
        <v>58</v>
      </c>
      <c r="E23" s="204" t="s">
        <v>56</v>
      </c>
      <c r="F23" s="205" t="s">
        <v>484</v>
      </c>
      <c r="G23" s="309" t="s">
        <v>1426</v>
      </c>
      <c r="H23" s="309" t="s">
        <v>1485</v>
      </c>
      <c r="I23" s="204" t="s">
        <v>690</v>
      </c>
      <c r="J23" s="204" t="s">
        <v>691</v>
      </c>
      <c r="K23" s="204" t="s">
        <v>687</v>
      </c>
      <c r="L23" s="204" t="s">
        <v>688</v>
      </c>
      <c r="M23" s="204"/>
      <c r="N23" s="204" t="s">
        <v>324</v>
      </c>
      <c r="O23" s="272"/>
      <c r="P23" s="273"/>
      <c r="Q23" s="274"/>
      <c r="R23" s="274"/>
      <c r="S23" s="274"/>
      <c r="T23" s="274"/>
      <c r="U23" s="274"/>
      <c r="V23" s="274"/>
      <c r="W23" s="274"/>
      <c r="X23" s="274"/>
      <c r="Y23" s="274">
        <v>120</v>
      </c>
      <c r="Z23" s="274"/>
      <c r="AA23" s="274"/>
      <c r="AB23" s="275">
        <f t="shared" si="18"/>
        <v>120</v>
      </c>
      <c r="AC23" s="274"/>
      <c r="AD23" s="274"/>
      <c r="AE23" s="274"/>
      <c r="AF23" s="274"/>
      <c r="AG23" s="274"/>
      <c r="AH23" s="274"/>
      <c r="AI23" s="274"/>
      <c r="AJ23" s="274"/>
      <c r="AK23" s="274"/>
      <c r="AL23" s="274"/>
      <c r="AM23" s="274"/>
      <c r="AN23" s="274"/>
      <c r="AO23" s="274">
        <f t="shared" si="19"/>
        <v>0</v>
      </c>
      <c r="AP23" s="274">
        <v>120</v>
      </c>
      <c r="AQ23" s="274"/>
      <c r="AR23" s="274"/>
      <c r="AS23" s="274"/>
      <c r="AT23" s="274"/>
      <c r="AU23" s="274"/>
      <c r="AV23" s="274"/>
      <c r="AW23" s="274"/>
      <c r="AX23" s="274"/>
      <c r="AY23" s="274"/>
      <c r="AZ23" s="274"/>
      <c r="BA23" s="274"/>
      <c r="BB23" s="274">
        <f t="shared" si="20"/>
        <v>120</v>
      </c>
      <c r="BC23" s="274"/>
      <c r="BD23" s="274"/>
      <c r="BE23" s="274"/>
      <c r="BF23" s="274"/>
      <c r="BG23" s="274"/>
      <c r="BH23" s="274"/>
      <c r="BI23" s="274"/>
      <c r="BJ23" s="274"/>
      <c r="BK23" s="274"/>
      <c r="BL23" s="274"/>
      <c r="BM23" s="274"/>
      <c r="BN23" s="274"/>
      <c r="BO23" s="274">
        <f t="shared" si="21"/>
        <v>0</v>
      </c>
      <c r="BP23" s="274"/>
      <c r="BQ23" s="274"/>
      <c r="BR23" s="274"/>
      <c r="BS23" s="274"/>
      <c r="BT23" s="274"/>
      <c r="BU23" s="274"/>
      <c r="BV23" s="274"/>
      <c r="BW23" s="274"/>
      <c r="BX23" s="274"/>
      <c r="BY23" s="274"/>
      <c r="BZ23" s="274"/>
      <c r="CA23" s="274"/>
      <c r="CB23" s="274">
        <f t="shared" si="22"/>
        <v>0</v>
      </c>
      <c r="CC23" s="349">
        <f t="shared" si="5"/>
        <v>240</v>
      </c>
      <c r="CD23" s="276"/>
      <c r="CE23" s="277"/>
      <c r="CF23" s="278" t="s">
        <v>73</v>
      </c>
      <c r="CG23" s="279"/>
      <c r="CH23" s="279"/>
      <c r="CI23" s="279"/>
      <c r="CJ23" s="279"/>
      <c r="CK23" s="279"/>
      <c r="CL23" s="279"/>
      <c r="CM23" s="279"/>
      <c r="CN23" s="279"/>
      <c r="CO23" s="279"/>
      <c r="CP23" s="279">
        <v>1</v>
      </c>
      <c r="CQ23" s="279"/>
      <c r="CR23" s="279"/>
      <c r="CS23" s="279">
        <f t="shared" si="6"/>
        <v>1</v>
      </c>
      <c r="CT23" s="279"/>
      <c r="CU23" s="279"/>
      <c r="CV23" s="279"/>
      <c r="CW23" s="279"/>
      <c r="CX23" s="279"/>
      <c r="CY23" s="279"/>
      <c r="CZ23" s="279"/>
      <c r="DA23" s="279"/>
      <c r="DB23" s="279"/>
      <c r="DC23" s="279"/>
      <c r="DD23" s="279"/>
      <c r="DE23" s="279"/>
      <c r="DF23" s="279">
        <f t="shared" si="7"/>
        <v>0</v>
      </c>
      <c r="DG23" s="279"/>
      <c r="DH23" s="279">
        <v>1</v>
      </c>
      <c r="DI23" s="279"/>
      <c r="DJ23" s="279"/>
      <c r="DK23" s="279"/>
      <c r="DL23" s="279"/>
      <c r="DM23" s="279"/>
      <c r="DN23" s="279"/>
      <c r="DO23" s="279"/>
      <c r="DP23" s="279"/>
      <c r="DQ23" s="279"/>
      <c r="DR23" s="279"/>
      <c r="DS23" s="279">
        <f t="shared" si="8"/>
        <v>1</v>
      </c>
      <c r="DT23" s="279">
        <v>1</v>
      </c>
      <c r="DU23" s="279"/>
      <c r="DV23" s="279"/>
      <c r="DW23" s="279"/>
      <c r="DX23" s="279"/>
      <c r="DY23" s="279"/>
      <c r="DZ23" s="279"/>
      <c r="EA23" s="279"/>
      <c r="EB23" s="279"/>
      <c r="EC23" s="279"/>
      <c r="ED23" s="279"/>
      <c r="EE23" s="279"/>
      <c r="EF23" s="279">
        <f t="shared" si="9"/>
        <v>1</v>
      </c>
      <c r="EG23" s="279"/>
      <c r="EH23" s="279"/>
      <c r="EI23" s="279"/>
      <c r="EJ23" s="279"/>
      <c r="EK23" s="279"/>
      <c r="EL23" s="279"/>
      <c r="EM23" s="279"/>
      <c r="EN23" s="279"/>
      <c r="EO23" s="279"/>
      <c r="EP23" s="279"/>
      <c r="EQ23" s="279"/>
      <c r="ER23" s="279"/>
      <c r="ES23" s="279">
        <f t="shared" si="10"/>
        <v>0</v>
      </c>
      <c r="ET23" s="280">
        <f t="shared" si="11"/>
        <v>3</v>
      </c>
      <c r="EU23" s="277"/>
      <c r="EV23" s="281"/>
      <c r="EW23" s="274"/>
      <c r="EX23" s="274"/>
      <c r="EY23" s="274"/>
      <c r="EZ23" s="274"/>
      <c r="FA23" s="274"/>
      <c r="FB23" s="274">
        <f t="shared" si="27"/>
        <v>0</v>
      </c>
      <c r="FC23" s="281"/>
      <c r="FD23" s="282"/>
      <c r="FE23" s="274"/>
      <c r="FF23" s="274"/>
      <c r="FG23" s="274"/>
      <c r="FH23" s="274"/>
      <c r="FI23" s="274"/>
      <c r="FJ23" s="274">
        <f t="shared" si="28"/>
        <v>0</v>
      </c>
      <c r="FK23" s="283"/>
      <c r="FL23" s="281"/>
      <c r="FM23" s="284"/>
      <c r="FN23" s="274"/>
      <c r="FO23" s="274"/>
      <c r="FP23" s="274"/>
      <c r="FQ23" s="274"/>
      <c r="FR23" s="274"/>
      <c r="FS23" s="274">
        <f t="shared" si="30"/>
        <v>0</v>
      </c>
      <c r="FT23" s="285"/>
      <c r="FU23" s="286">
        <v>0</v>
      </c>
      <c r="FV23" s="286">
        <v>0</v>
      </c>
      <c r="FW23" s="286">
        <f>IFERROR(VLOOKUP(G23,[2]CEI_032018!$A$1:$U$509,9,FALSE),0)</f>
        <v>0</v>
      </c>
      <c r="FX23" s="286">
        <f>IFERROR(VLOOKUP(G23,[2]CEI_042018!$A$1:$U$493,9,FALSE),0)</f>
        <v>0</v>
      </c>
      <c r="FY23" s="286"/>
      <c r="FZ23" s="286"/>
      <c r="GA23" s="286"/>
      <c r="GB23" s="286"/>
      <c r="GC23" s="286"/>
      <c r="GD23" s="286"/>
      <c r="GE23" s="286"/>
      <c r="GF23" s="286"/>
      <c r="GG23" s="286">
        <f t="shared" si="15"/>
        <v>0</v>
      </c>
      <c r="GH23" s="286">
        <f>IFERROR(VLOOKUP(G23,[2]CEI_042018!$A$1:$U$493,12,FALSE),0)</f>
        <v>0</v>
      </c>
      <c r="GI23" s="286">
        <f t="shared" si="16"/>
        <v>0</v>
      </c>
      <c r="GJ23" s="286">
        <f t="shared" si="17"/>
        <v>120</v>
      </c>
      <c r="GK23" s="286">
        <f>IFERROR(IF('[2]TESTE TESTE'!$Z$3=1,SUM(FU23),IF('[2]TESTE TESTE'!$Z$3=2,SUM(FU23:FV23),IF('[2]TESTE TESTE'!$Z$3=3,SUM(FU23:FW23),IF('[2]TESTE TESTE'!$Z$3=4,SUM(FU23:FX23),IF('[2]TESTE TESTE'!$Z$3=5,SUM(FU23:FY23),IF('[2]TESTE TESTE'!$Z$3=6,SUM(FU23:FZ23),IF('[2]TESTE TESTE'!$Z$3=7,SUM(FU23:GA23),IF('[2]TESTE TESTE'!$Z$3=8,SUM(FU23:GB23),IF('[2]TESTE TESTE'!$Z$3=9,SUM(FU23:GC23),IF('[2]TESTE TESTE'!$Z$3=10,SUM(FU23:GD23),IF('[2]TESTE TESTE'!$Z$3=11,SUM(FU23:GE23),IF('[2]TESTE TESTE'!$Z$3=12,SUM(FU23:GF23,))))))))))))),"")</f>
        <v>0</v>
      </c>
      <c r="GL23" s="286">
        <f>IFERROR(IF('[2]TESTE TESTE'!$Z$3=1,SUM(P23),IF('[2]TESTE TESTE'!$Z$3=2,SUM(P23:Q23),IF('[2]TESTE TESTE'!$Z$3=3,SUM(P23:R23),IF('[2]TESTE TESTE'!$Z$3=4,SUM(P23:S23),IF('[2]TESTE TESTE'!$Z$3=5,SUM(P23:T23),IF('[2]TESTE TESTE'!$Z$3=6,SUM(P23:U23),IF('[2]TESTE TESTE'!$Z$3=7,SUM(P23:V23),IF('[2]TESTE TESTE'!$Z$3=8,SUM(P23:W23),IF('[2]TESTE TESTE'!$Z$3=9,SUM(P23:X23),IF('[2]TESTE TESTE'!$Z$3=10,SUM(P23:Y23),IF('[2]TESTE TESTE'!$Z$3=11,SUM(P23:Z23),IF('[2]TESTE TESTE'!$Z$3=12,SUM(P23:AA23,))))))))))))),"")</f>
        <v>120</v>
      </c>
    </row>
    <row r="24" spans="1:194" s="290" customFormat="1" ht="26.25" thickBot="1" x14ac:dyDescent="0.3">
      <c r="A24" s="543" t="s">
        <v>1233</v>
      </c>
      <c r="B24" s="288" t="s">
        <v>54</v>
      </c>
      <c r="C24" s="288" t="s">
        <v>1492</v>
      </c>
      <c r="D24" s="288" t="s">
        <v>188</v>
      </c>
      <c r="E24" s="288" t="s">
        <v>65</v>
      </c>
      <c r="F24" s="288"/>
      <c r="G24" s="288" t="s">
        <v>1233</v>
      </c>
      <c r="H24" s="288" t="s">
        <v>1235</v>
      </c>
      <c r="I24" s="289" t="s">
        <v>1553</v>
      </c>
      <c r="AA24" s="290">
        <v>54</v>
      </c>
      <c r="AB24" s="291">
        <f t="shared" si="18"/>
        <v>54</v>
      </c>
      <c r="BB24" s="290">
        <f t="shared" si="20"/>
        <v>0</v>
      </c>
      <c r="BO24" s="290">
        <f t="shared" si="21"/>
        <v>0</v>
      </c>
      <c r="CB24" s="290">
        <v>0</v>
      </c>
      <c r="CC24" s="350">
        <f t="shared" si="5"/>
        <v>54</v>
      </c>
    </row>
    <row r="25" spans="1:194" s="290" customFormat="1" ht="15.75" thickBot="1" x14ac:dyDescent="0.3">
      <c r="A25" s="543"/>
      <c r="B25" s="288" t="s">
        <v>54</v>
      </c>
      <c r="C25" s="288" t="s">
        <v>1492</v>
      </c>
      <c r="D25" s="288" t="s">
        <v>188</v>
      </c>
      <c r="E25" s="288" t="s">
        <v>65</v>
      </c>
      <c r="F25" s="288"/>
      <c r="G25" s="288" t="s">
        <v>1233</v>
      </c>
      <c r="H25" s="288" t="s">
        <v>1235</v>
      </c>
      <c r="I25" s="292" t="s">
        <v>1554</v>
      </c>
      <c r="AA25" s="290">
        <v>60</v>
      </c>
      <c r="AB25" s="291">
        <f t="shared" si="18"/>
        <v>60</v>
      </c>
      <c r="BB25" s="290">
        <f t="shared" si="20"/>
        <v>0</v>
      </c>
      <c r="BO25" s="290">
        <f t="shared" si="21"/>
        <v>0</v>
      </c>
      <c r="CB25" s="290">
        <v>0</v>
      </c>
      <c r="CC25" s="350">
        <f t="shared" si="5"/>
        <v>60</v>
      </c>
    </row>
    <row r="26" spans="1:194" s="290" customFormat="1" ht="15.75" thickBot="1" x14ac:dyDescent="0.3">
      <c r="A26" s="543"/>
      <c r="B26" s="288" t="s">
        <v>54</v>
      </c>
      <c r="C26" s="288" t="s">
        <v>1492</v>
      </c>
      <c r="D26" s="288" t="s">
        <v>188</v>
      </c>
      <c r="E26" s="288" t="s">
        <v>65</v>
      </c>
      <c r="F26" s="288"/>
      <c r="G26" s="288" t="s">
        <v>1233</v>
      </c>
      <c r="H26" s="288" t="s">
        <v>1235</v>
      </c>
      <c r="I26" s="292" t="s">
        <v>1564</v>
      </c>
      <c r="AA26" s="290">
        <v>96</v>
      </c>
      <c r="AB26" s="291">
        <f t="shared" si="18"/>
        <v>96</v>
      </c>
      <c r="BB26" s="290">
        <f t="shared" si="20"/>
        <v>0</v>
      </c>
      <c r="BO26" s="290">
        <f t="shared" si="21"/>
        <v>0</v>
      </c>
      <c r="CB26" s="290">
        <v>0</v>
      </c>
      <c r="CC26" s="350">
        <f t="shared" si="5"/>
        <v>96</v>
      </c>
    </row>
    <row r="27" spans="1:194" s="290" customFormat="1" ht="15.75" thickBot="1" x14ac:dyDescent="0.3">
      <c r="A27" s="543"/>
      <c r="B27" s="288" t="s">
        <v>54</v>
      </c>
      <c r="C27" s="288" t="s">
        <v>1492</v>
      </c>
      <c r="D27" s="288" t="s">
        <v>188</v>
      </c>
      <c r="E27" s="288" t="s">
        <v>65</v>
      </c>
      <c r="F27" s="288"/>
      <c r="G27" s="288" t="s">
        <v>1233</v>
      </c>
      <c r="H27" s="288" t="s">
        <v>1235</v>
      </c>
      <c r="I27" s="292" t="s">
        <v>1555</v>
      </c>
      <c r="AA27" s="290">
        <v>19.2</v>
      </c>
      <c r="AB27" s="291">
        <f t="shared" si="18"/>
        <v>19.2</v>
      </c>
      <c r="BB27" s="290">
        <f t="shared" si="20"/>
        <v>0</v>
      </c>
      <c r="BO27" s="290">
        <f t="shared" si="21"/>
        <v>0</v>
      </c>
      <c r="CB27" s="290">
        <v>0</v>
      </c>
      <c r="CC27" s="350">
        <f t="shared" si="5"/>
        <v>19.2</v>
      </c>
    </row>
    <row r="28" spans="1:194" s="290" customFormat="1" ht="15.75" thickBot="1" x14ac:dyDescent="0.3">
      <c r="A28" s="543"/>
      <c r="B28" s="288" t="s">
        <v>54</v>
      </c>
      <c r="C28" s="288" t="s">
        <v>1492</v>
      </c>
      <c r="D28" s="288" t="s">
        <v>188</v>
      </c>
      <c r="E28" s="288" t="s">
        <v>65</v>
      </c>
      <c r="F28" s="288"/>
      <c r="G28" s="288" t="s">
        <v>1233</v>
      </c>
      <c r="H28" s="288" t="s">
        <v>1235</v>
      </c>
      <c r="I28" s="292" t="s">
        <v>1556</v>
      </c>
      <c r="AA28" s="290">
        <v>16</v>
      </c>
      <c r="AB28" s="291">
        <f t="shared" si="18"/>
        <v>16</v>
      </c>
      <c r="BB28" s="290">
        <f t="shared" si="20"/>
        <v>0</v>
      </c>
      <c r="BO28" s="290">
        <f t="shared" si="21"/>
        <v>0</v>
      </c>
      <c r="CB28" s="290">
        <v>0</v>
      </c>
      <c r="CC28" s="350">
        <f t="shared" si="5"/>
        <v>16</v>
      </c>
    </row>
    <row r="29" spans="1:194" s="290" customFormat="1" ht="15.75" thickBot="1" x14ac:dyDescent="0.3">
      <c r="A29" s="543"/>
      <c r="B29" s="288" t="s">
        <v>54</v>
      </c>
      <c r="C29" s="288" t="s">
        <v>1492</v>
      </c>
      <c r="D29" s="288" t="s">
        <v>188</v>
      </c>
      <c r="E29" s="288" t="s">
        <v>65</v>
      </c>
      <c r="F29" s="288"/>
      <c r="G29" s="288" t="s">
        <v>1233</v>
      </c>
      <c r="H29" s="288" t="s">
        <v>1235</v>
      </c>
      <c r="I29" s="292" t="s">
        <v>1557</v>
      </c>
      <c r="AA29" s="290">
        <v>14</v>
      </c>
      <c r="AB29" s="291">
        <f t="shared" si="18"/>
        <v>14</v>
      </c>
      <c r="BB29" s="290">
        <f t="shared" si="20"/>
        <v>0</v>
      </c>
      <c r="BO29" s="290">
        <f t="shared" si="21"/>
        <v>0</v>
      </c>
      <c r="CB29" s="290">
        <v>0</v>
      </c>
      <c r="CC29" s="350">
        <f t="shared" si="5"/>
        <v>14</v>
      </c>
    </row>
    <row r="30" spans="1:194" s="290" customFormat="1" ht="15.75" thickBot="1" x14ac:dyDescent="0.3">
      <c r="A30" s="543"/>
      <c r="B30" s="288" t="s">
        <v>54</v>
      </c>
      <c r="C30" s="288" t="s">
        <v>1492</v>
      </c>
      <c r="D30" s="288" t="s">
        <v>188</v>
      </c>
      <c r="E30" s="288" t="s">
        <v>65</v>
      </c>
      <c r="F30" s="288"/>
      <c r="G30" s="288" t="s">
        <v>1233</v>
      </c>
      <c r="H30" s="288" t="s">
        <v>1235</v>
      </c>
      <c r="I30" s="292" t="s">
        <v>1558</v>
      </c>
      <c r="AA30" s="290">
        <v>10</v>
      </c>
      <c r="AB30" s="291">
        <f t="shared" si="18"/>
        <v>10</v>
      </c>
      <c r="BB30" s="290">
        <f t="shared" si="20"/>
        <v>0</v>
      </c>
      <c r="BO30" s="290">
        <f t="shared" si="21"/>
        <v>0</v>
      </c>
      <c r="CB30" s="290">
        <v>0</v>
      </c>
      <c r="CC30" s="350">
        <f t="shared" si="5"/>
        <v>10</v>
      </c>
    </row>
    <row r="31" spans="1:194" s="215" customFormat="1" ht="51.75" thickBot="1" x14ac:dyDescent="0.3">
      <c r="A31" s="545" t="s">
        <v>1223</v>
      </c>
      <c r="B31" s="213" t="s">
        <v>54</v>
      </c>
      <c r="C31" s="213" t="s">
        <v>1492</v>
      </c>
      <c r="D31" s="213" t="s">
        <v>179</v>
      </c>
      <c r="E31" s="213" t="s">
        <v>65</v>
      </c>
      <c r="F31" s="213"/>
      <c r="G31" s="213"/>
      <c r="H31" s="213" t="s">
        <v>1225</v>
      </c>
      <c r="I31" s="214" t="s">
        <v>1560</v>
      </c>
      <c r="AA31" s="216">
        <v>89.497</v>
      </c>
      <c r="AB31" s="216">
        <f t="shared" si="18"/>
        <v>89.497</v>
      </c>
      <c r="BB31" s="215">
        <f t="shared" si="20"/>
        <v>0</v>
      </c>
      <c r="BO31" s="215">
        <f t="shared" si="21"/>
        <v>0</v>
      </c>
      <c r="CB31" s="215">
        <v>0</v>
      </c>
      <c r="CC31" s="351">
        <f t="shared" si="5"/>
        <v>89.497</v>
      </c>
    </row>
    <row r="32" spans="1:194" s="215" customFormat="1" ht="15.75" thickBot="1" x14ac:dyDescent="0.3">
      <c r="A32" s="545"/>
      <c r="B32" s="213" t="s">
        <v>54</v>
      </c>
      <c r="C32" s="213" t="s">
        <v>1492</v>
      </c>
      <c r="D32" s="213" t="s">
        <v>179</v>
      </c>
      <c r="E32" s="213" t="s">
        <v>65</v>
      </c>
      <c r="F32" s="213"/>
      <c r="G32" s="213"/>
      <c r="H32" s="213" t="s">
        <v>1225</v>
      </c>
      <c r="I32" s="214" t="s">
        <v>1561</v>
      </c>
      <c r="AA32" s="216">
        <v>70</v>
      </c>
      <c r="AB32" s="216">
        <f t="shared" si="18"/>
        <v>70</v>
      </c>
      <c r="BB32" s="215">
        <f t="shared" si="20"/>
        <v>0</v>
      </c>
      <c r="BO32" s="215">
        <f t="shared" si="21"/>
        <v>0</v>
      </c>
      <c r="CB32" s="215">
        <v>0</v>
      </c>
      <c r="CC32" s="351">
        <f t="shared" si="5"/>
        <v>70</v>
      </c>
    </row>
    <row r="33" spans="1:171" s="215" customFormat="1" ht="15.75" thickBot="1" x14ac:dyDescent="0.3">
      <c r="A33" s="545"/>
      <c r="B33" s="213" t="s">
        <v>54</v>
      </c>
      <c r="C33" s="213" t="s">
        <v>1492</v>
      </c>
      <c r="D33" s="213" t="s">
        <v>179</v>
      </c>
      <c r="E33" s="213" t="s">
        <v>65</v>
      </c>
      <c r="F33" s="213"/>
      <c r="G33" s="213"/>
      <c r="H33" s="213" t="s">
        <v>1225</v>
      </c>
      <c r="I33" s="214" t="s">
        <v>1562</v>
      </c>
      <c r="AA33" s="216">
        <v>4.5030000000000001</v>
      </c>
      <c r="AB33" s="216">
        <f t="shared" si="18"/>
        <v>4.5030000000000001</v>
      </c>
      <c r="BB33" s="215">
        <f t="shared" si="20"/>
        <v>0</v>
      </c>
      <c r="BO33" s="215">
        <f t="shared" si="21"/>
        <v>0</v>
      </c>
      <c r="CB33" s="215">
        <v>0</v>
      </c>
      <c r="CC33" s="351">
        <f t="shared" si="5"/>
        <v>4.5030000000000001</v>
      </c>
    </row>
    <row r="34" spans="1:171" s="215" customFormat="1" ht="15.75" thickBot="1" x14ac:dyDescent="0.3">
      <c r="A34" s="545"/>
      <c r="B34" s="213" t="s">
        <v>54</v>
      </c>
      <c r="C34" s="213" t="s">
        <v>1492</v>
      </c>
      <c r="D34" s="213" t="s">
        <v>179</v>
      </c>
      <c r="E34" s="213" t="s">
        <v>65</v>
      </c>
      <c r="F34" s="213"/>
      <c r="G34" s="213"/>
      <c r="H34" s="213" t="s">
        <v>1225</v>
      </c>
      <c r="I34" s="214" t="s">
        <v>1563</v>
      </c>
      <c r="AA34" s="216">
        <v>7</v>
      </c>
      <c r="AB34" s="216">
        <f t="shared" si="18"/>
        <v>7</v>
      </c>
      <c r="BB34" s="215">
        <f t="shared" si="20"/>
        <v>0</v>
      </c>
      <c r="BO34" s="215">
        <f t="shared" si="21"/>
        <v>0</v>
      </c>
      <c r="CB34" s="215">
        <v>0</v>
      </c>
      <c r="CC34" s="351">
        <f t="shared" si="5"/>
        <v>7</v>
      </c>
    </row>
    <row r="35" spans="1:171" s="343" customFormat="1" x14ac:dyDescent="0.25">
      <c r="A35" s="544" t="s">
        <v>1636</v>
      </c>
      <c r="B35" s="343" t="s">
        <v>54</v>
      </c>
      <c r="C35" s="343" t="s">
        <v>29</v>
      </c>
      <c r="D35" s="343" t="s">
        <v>110</v>
      </c>
      <c r="E35" s="343" t="s">
        <v>65</v>
      </c>
      <c r="F35" s="343" t="s">
        <v>111</v>
      </c>
      <c r="G35" s="343" t="s">
        <v>59</v>
      </c>
      <c r="I35" s="344" t="s">
        <v>1084</v>
      </c>
      <c r="J35" s="343" t="s">
        <v>112</v>
      </c>
      <c r="K35" s="343" t="s">
        <v>59</v>
      </c>
      <c r="L35" s="343" t="s">
        <v>113</v>
      </c>
      <c r="M35" s="343" t="s">
        <v>59</v>
      </c>
      <c r="S35" s="343">
        <v>0</v>
      </c>
      <c r="T35" s="343">
        <v>0</v>
      </c>
      <c r="U35" s="343">
        <v>0</v>
      </c>
      <c r="V35" s="343">
        <v>0</v>
      </c>
      <c r="W35" s="343">
        <v>0</v>
      </c>
      <c r="X35" s="343">
        <v>0</v>
      </c>
      <c r="Z35" s="343">
        <v>0</v>
      </c>
      <c r="AA35" s="343">
        <v>15</v>
      </c>
      <c r="AB35" s="343">
        <f t="shared" si="18"/>
        <v>15</v>
      </c>
      <c r="AC35" s="343">
        <v>0</v>
      </c>
      <c r="AD35" s="343">
        <v>0</v>
      </c>
      <c r="AE35" s="343">
        <v>0</v>
      </c>
      <c r="AF35" s="343">
        <v>0</v>
      </c>
      <c r="AG35" s="343">
        <v>0</v>
      </c>
      <c r="AH35" s="343">
        <v>0</v>
      </c>
      <c r="AI35" s="343">
        <v>0</v>
      </c>
      <c r="AK35" s="343">
        <v>0</v>
      </c>
      <c r="AL35" s="343">
        <v>0</v>
      </c>
      <c r="AM35" s="343">
        <v>0</v>
      </c>
      <c r="AN35" s="343">
        <v>0</v>
      </c>
      <c r="AO35" s="343">
        <v>0</v>
      </c>
      <c r="AP35" s="343">
        <v>0</v>
      </c>
      <c r="AQ35" s="343">
        <v>0</v>
      </c>
      <c r="AR35" s="343">
        <v>0</v>
      </c>
      <c r="AS35" s="343">
        <v>0</v>
      </c>
      <c r="AT35" s="343">
        <v>0</v>
      </c>
      <c r="AU35" s="343">
        <v>0</v>
      </c>
      <c r="AV35" s="343">
        <v>0</v>
      </c>
      <c r="AW35" s="343">
        <v>0</v>
      </c>
      <c r="AX35" s="343">
        <v>0</v>
      </c>
      <c r="AY35" s="343">
        <v>0</v>
      </c>
      <c r="AZ35" s="343">
        <v>0</v>
      </c>
      <c r="BA35" s="343">
        <v>0</v>
      </c>
      <c r="BB35" s="343">
        <f t="shared" si="20"/>
        <v>0</v>
      </c>
      <c r="BC35" s="343">
        <v>0</v>
      </c>
      <c r="BD35" s="343">
        <v>0</v>
      </c>
      <c r="BE35" s="343">
        <v>0</v>
      </c>
      <c r="BF35" s="343">
        <v>0</v>
      </c>
      <c r="BG35" s="343">
        <v>0</v>
      </c>
      <c r="BH35" s="343">
        <v>0</v>
      </c>
      <c r="BI35" s="343">
        <v>0</v>
      </c>
      <c r="BJ35" s="343">
        <v>0</v>
      </c>
      <c r="BK35" s="343">
        <v>0</v>
      </c>
      <c r="BL35" s="343">
        <v>0</v>
      </c>
      <c r="BM35" s="343">
        <v>0</v>
      </c>
      <c r="BN35" s="343">
        <v>0</v>
      </c>
      <c r="BO35" s="343">
        <f t="shared" si="21"/>
        <v>0</v>
      </c>
      <c r="BP35" s="343">
        <v>0</v>
      </c>
      <c r="BQ35" s="343">
        <v>0</v>
      </c>
      <c r="BR35" s="343">
        <v>0</v>
      </c>
      <c r="BS35" s="343">
        <v>0</v>
      </c>
      <c r="BT35" s="343">
        <v>0</v>
      </c>
      <c r="BU35" s="343">
        <v>0</v>
      </c>
      <c r="BV35" s="343">
        <v>0</v>
      </c>
      <c r="BW35" s="343">
        <v>0</v>
      </c>
      <c r="BX35" s="343">
        <v>0</v>
      </c>
      <c r="BY35" s="343">
        <v>0</v>
      </c>
      <c r="BZ35" s="343">
        <v>0</v>
      </c>
      <c r="CA35" s="343">
        <v>0</v>
      </c>
      <c r="CB35" s="343">
        <v>0</v>
      </c>
      <c r="CC35" s="352">
        <f t="shared" si="5"/>
        <v>15</v>
      </c>
      <c r="CD35" s="343" t="s">
        <v>73</v>
      </c>
      <c r="CP35" s="343">
        <v>3</v>
      </c>
      <c r="CQ35" s="343">
        <v>3</v>
      </c>
      <c r="CY35" s="343">
        <v>3</v>
      </c>
      <c r="DD35" s="343">
        <v>3</v>
      </c>
      <c r="DQ35" s="343">
        <v>0</v>
      </c>
      <c r="ED35" s="343">
        <v>0</v>
      </c>
      <c r="EQ35" s="343">
        <v>0</v>
      </c>
      <c r="ER35" s="343">
        <v>6</v>
      </c>
      <c r="ES35" s="343">
        <v>0</v>
      </c>
      <c r="ET35" s="343">
        <v>0</v>
      </c>
      <c r="EU35" s="343">
        <v>0</v>
      </c>
      <c r="EV35" s="343">
        <v>0</v>
      </c>
      <c r="EW35" s="343">
        <v>0</v>
      </c>
      <c r="FE35" s="343">
        <v>0</v>
      </c>
      <c r="FF35" s="343">
        <v>0</v>
      </c>
      <c r="FG35" s="343">
        <v>15</v>
      </c>
      <c r="FH35" s="343">
        <v>0</v>
      </c>
      <c r="FI35" s="343">
        <v>15</v>
      </c>
      <c r="FJ35" s="343">
        <v>15</v>
      </c>
      <c r="FK35" s="343">
        <v>0</v>
      </c>
      <c r="FL35" s="343">
        <v>0</v>
      </c>
      <c r="FM35" s="343">
        <v>0</v>
      </c>
      <c r="FN35" s="343">
        <v>0</v>
      </c>
      <c r="FO35" s="343">
        <v>15</v>
      </c>
    </row>
    <row r="36" spans="1:171" s="343" customFormat="1" x14ac:dyDescent="0.25">
      <c r="A36" s="544"/>
      <c r="B36" s="343" t="s">
        <v>54</v>
      </c>
      <c r="C36" s="343" t="s">
        <v>29</v>
      </c>
      <c r="D36" s="343" t="s">
        <v>110</v>
      </c>
      <c r="E36" s="343" t="s">
        <v>65</v>
      </c>
      <c r="F36" s="343" t="s">
        <v>111</v>
      </c>
      <c r="G36" s="343" t="s">
        <v>59</v>
      </c>
      <c r="I36" s="343" t="s">
        <v>1085</v>
      </c>
      <c r="J36" s="343" t="s">
        <v>116</v>
      </c>
      <c r="K36" s="343" t="s">
        <v>59</v>
      </c>
      <c r="L36" s="343" t="s">
        <v>117</v>
      </c>
      <c r="M36" s="343" t="s">
        <v>59</v>
      </c>
      <c r="S36" s="343">
        <v>0</v>
      </c>
      <c r="T36" s="343">
        <v>0</v>
      </c>
      <c r="U36" s="343">
        <v>0</v>
      </c>
      <c r="V36" s="343">
        <v>0</v>
      </c>
      <c r="X36" s="343">
        <v>0</v>
      </c>
      <c r="Y36" s="343">
        <v>0</v>
      </c>
      <c r="Z36" s="343">
        <v>0</v>
      </c>
      <c r="AA36" s="343">
        <v>7</v>
      </c>
      <c r="AB36" s="343">
        <f t="shared" si="18"/>
        <v>7</v>
      </c>
      <c r="AC36" s="343">
        <v>0</v>
      </c>
      <c r="AD36" s="343">
        <v>0</v>
      </c>
      <c r="AE36" s="343">
        <v>0</v>
      </c>
      <c r="AF36" s="343">
        <v>0</v>
      </c>
      <c r="AG36" s="343">
        <v>0</v>
      </c>
      <c r="AH36" s="343">
        <v>0</v>
      </c>
      <c r="AI36" s="343">
        <v>0</v>
      </c>
      <c r="AJ36" s="343">
        <v>0</v>
      </c>
      <c r="AK36" s="343">
        <v>0</v>
      </c>
      <c r="AL36" s="343">
        <v>0</v>
      </c>
      <c r="AM36" s="343">
        <v>0</v>
      </c>
      <c r="AN36" s="343">
        <v>0</v>
      </c>
      <c r="AO36" s="343">
        <v>0</v>
      </c>
      <c r="AP36" s="343">
        <v>0</v>
      </c>
      <c r="AQ36" s="343">
        <v>0</v>
      </c>
      <c r="AR36" s="343">
        <v>0</v>
      </c>
      <c r="AS36" s="343">
        <v>0</v>
      </c>
      <c r="AT36" s="343">
        <v>0</v>
      </c>
      <c r="AU36" s="343">
        <v>0</v>
      </c>
      <c r="AV36" s="343">
        <v>0</v>
      </c>
      <c r="AW36" s="343">
        <v>0</v>
      </c>
      <c r="AX36" s="343">
        <v>0</v>
      </c>
      <c r="AY36" s="343">
        <v>0</v>
      </c>
      <c r="AZ36" s="343">
        <v>0</v>
      </c>
      <c r="BA36" s="343">
        <v>0</v>
      </c>
      <c r="BB36" s="343">
        <f t="shared" si="20"/>
        <v>0</v>
      </c>
      <c r="BC36" s="343">
        <v>0</v>
      </c>
      <c r="BD36" s="343">
        <v>0</v>
      </c>
      <c r="BE36" s="343">
        <v>0</v>
      </c>
      <c r="BF36" s="343">
        <v>0</v>
      </c>
      <c r="BG36" s="343">
        <v>0</v>
      </c>
      <c r="BH36" s="343">
        <v>0</v>
      </c>
      <c r="BI36" s="343">
        <v>0</v>
      </c>
      <c r="BJ36" s="343">
        <v>0</v>
      </c>
      <c r="BK36" s="343">
        <v>0</v>
      </c>
      <c r="BL36" s="343">
        <v>0</v>
      </c>
      <c r="BM36" s="343">
        <v>0</v>
      </c>
      <c r="BN36" s="343">
        <v>0</v>
      </c>
      <c r="BO36" s="343">
        <f t="shared" si="21"/>
        <v>0</v>
      </c>
      <c r="BP36" s="343">
        <v>0</v>
      </c>
      <c r="BQ36" s="343">
        <v>0</v>
      </c>
      <c r="BR36" s="343">
        <v>0</v>
      </c>
      <c r="BS36" s="343">
        <v>0</v>
      </c>
      <c r="BT36" s="343">
        <v>0</v>
      </c>
      <c r="BU36" s="343">
        <v>0</v>
      </c>
      <c r="BV36" s="343">
        <v>0</v>
      </c>
      <c r="BW36" s="343">
        <v>0</v>
      </c>
      <c r="BX36" s="343">
        <v>0</v>
      </c>
      <c r="BY36" s="343">
        <v>0</v>
      </c>
      <c r="BZ36" s="343">
        <v>0</v>
      </c>
      <c r="CA36" s="343">
        <v>0</v>
      </c>
      <c r="CB36" s="343">
        <v>0</v>
      </c>
      <c r="CC36" s="352">
        <f t="shared" si="5"/>
        <v>7</v>
      </c>
      <c r="CD36" s="343" t="s">
        <v>73</v>
      </c>
      <c r="CP36" s="343">
        <v>1</v>
      </c>
      <c r="CQ36" s="343">
        <v>1</v>
      </c>
      <c r="DD36" s="343">
        <v>0</v>
      </c>
      <c r="DQ36" s="343">
        <v>0</v>
      </c>
      <c r="ED36" s="343">
        <v>0</v>
      </c>
      <c r="EQ36" s="343">
        <v>0</v>
      </c>
      <c r="ER36" s="343">
        <v>1</v>
      </c>
      <c r="ES36" s="343">
        <v>0</v>
      </c>
      <c r="ET36" s="343">
        <v>0</v>
      </c>
      <c r="EU36" s="343">
        <v>0</v>
      </c>
      <c r="EV36" s="343">
        <v>0</v>
      </c>
      <c r="EW36" s="343">
        <v>0</v>
      </c>
      <c r="FE36" s="343">
        <v>0</v>
      </c>
      <c r="FF36" s="343">
        <v>0</v>
      </c>
      <c r="FG36" s="343">
        <v>7</v>
      </c>
      <c r="FH36" s="343">
        <v>0</v>
      </c>
      <c r="FI36" s="343">
        <v>7</v>
      </c>
      <c r="FJ36" s="343">
        <v>7</v>
      </c>
      <c r="FK36" s="343">
        <v>0</v>
      </c>
      <c r="FL36" s="343">
        <v>0</v>
      </c>
      <c r="FM36" s="343">
        <v>0</v>
      </c>
      <c r="FN36" s="343">
        <v>0</v>
      </c>
      <c r="FO36" s="343">
        <v>7</v>
      </c>
    </row>
    <row r="37" spans="1:171" s="343" customFormat="1" x14ac:dyDescent="0.25">
      <c r="A37" s="544"/>
      <c r="B37" s="343" t="s">
        <v>54</v>
      </c>
      <c r="C37" s="343" t="s">
        <v>29</v>
      </c>
      <c r="D37" s="343" t="s">
        <v>169</v>
      </c>
      <c r="E37" s="343" t="s">
        <v>65</v>
      </c>
      <c r="F37" s="343" t="s">
        <v>170</v>
      </c>
      <c r="G37" s="343" t="s">
        <v>59</v>
      </c>
      <c r="I37" s="343" t="s">
        <v>676</v>
      </c>
      <c r="J37" s="343" t="s">
        <v>173</v>
      </c>
      <c r="K37" s="343" t="s">
        <v>59</v>
      </c>
      <c r="L37" s="343" t="s">
        <v>174</v>
      </c>
      <c r="M37" s="343" t="s">
        <v>59</v>
      </c>
      <c r="S37" s="343">
        <v>0</v>
      </c>
      <c r="T37" s="343">
        <v>0</v>
      </c>
      <c r="U37" s="343">
        <v>0</v>
      </c>
      <c r="V37" s="343">
        <v>0</v>
      </c>
      <c r="W37" s="343">
        <v>0</v>
      </c>
      <c r="X37" s="343">
        <v>0</v>
      </c>
      <c r="Y37" s="343">
        <v>7</v>
      </c>
      <c r="Z37" s="343">
        <v>0</v>
      </c>
      <c r="AA37" s="343">
        <v>0</v>
      </c>
      <c r="AB37" s="343">
        <f t="shared" si="18"/>
        <v>7</v>
      </c>
      <c r="AC37" s="343">
        <v>0</v>
      </c>
      <c r="AD37" s="343">
        <v>0</v>
      </c>
      <c r="AE37" s="343">
        <v>0</v>
      </c>
      <c r="AF37" s="343">
        <v>0</v>
      </c>
      <c r="AG37" s="343">
        <v>0</v>
      </c>
      <c r="AH37" s="343">
        <v>0</v>
      </c>
      <c r="AJ37" s="343">
        <v>0</v>
      </c>
      <c r="AK37" s="343">
        <v>0</v>
      </c>
      <c r="AL37" s="343">
        <v>0</v>
      </c>
      <c r="AM37" s="343">
        <v>0</v>
      </c>
      <c r="AN37" s="343">
        <v>0</v>
      </c>
      <c r="AO37" s="343">
        <v>0</v>
      </c>
      <c r="AP37" s="343">
        <v>0</v>
      </c>
      <c r="AQ37" s="343">
        <v>0</v>
      </c>
      <c r="AR37" s="343">
        <v>0</v>
      </c>
      <c r="AS37" s="343">
        <v>0</v>
      </c>
      <c r="AT37" s="343">
        <v>0</v>
      </c>
      <c r="AU37" s="343">
        <v>0</v>
      </c>
      <c r="AV37" s="343">
        <v>0</v>
      </c>
      <c r="AW37" s="343">
        <v>0</v>
      </c>
      <c r="AX37" s="343">
        <v>0</v>
      </c>
      <c r="AZ37" s="343">
        <v>0</v>
      </c>
      <c r="BA37" s="343">
        <v>0</v>
      </c>
      <c r="BB37" s="343">
        <f t="shared" si="20"/>
        <v>0</v>
      </c>
      <c r="BC37" s="343">
        <v>0</v>
      </c>
      <c r="BD37" s="343">
        <v>0</v>
      </c>
      <c r="BE37" s="343">
        <v>0</v>
      </c>
      <c r="BF37" s="343">
        <v>0</v>
      </c>
      <c r="BG37" s="343">
        <v>0</v>
      </c>
      <c r="BH37" s="343">
        <v>0</v>
      </c>
      <c r="BI37" s="343">
        <v>0</v>
      </c>
      <c r="BJ37" s="343">
        <v>0</v>
      </c>
      <c r="BK37" s="343">
        <v>0</v>
      </c>
      <c r="BM37" s="343">
        <v>0</v>
      </c>
      <c r="BN37" s="343">
        <v>0</v>
      </c>
      <c r="BO37" s="343">
        <f t="shared" si="21"/>
        <v>0</v>
      </c>
      <c r="BP37" s="343">
        <v>0</v>
      </c>
      <c r="BQ37" s="343">
        <v>0</v>
      </c>
      <c r="BR37" s="343">
        <v>0</v>
      </c>
      <c r="BS37" s="343">
        <v>0</v>
      </c>
      <c r="BT37" s="343">
        <v>0</v>
      </c>
      <c r="BU37" s="343">
        <v>0</v>
      </c>
      <c r="BV37" s="343">
        <v>0</v>
      </c>
      <c r="BW37" s="343">
        <v>0</v>
      </c>
      <c r="BX37" s="343">
        <v>0</v>
      </c>
      <c r="BY37" s="343">
        <v>0</v>
      </c>
      <c r="BZ37" s="343">
        <v>0</v>
      </c>
      <c r="CA37" s="343">
        <v>0</v>
      </c>
      <c r="CB37" s="343">
        <v>0</v>
      </c>
      <c r="CC37" s="352">
        <f t="shared" si="5"/>
        <v>7</v>
      </c>
      <c r="CD37" s="343" t="s">
        <v>73</v>
      </c>
      <c r="CN37" s="343">
        <v>1</v>
      </c>
      <c r="CQ37" s="343">
        <v>1</v>
      </c>
      <c r="DC37" s="343">
        <v>2</v>
      </c>
      <c r="DD37" s="343">
        <v>2</v>
      </c>
      <c r="DQ37" s="343">
        <v>0</v>
      </c>
      <c r="ED37" s="343">
        <v>0</v>
      </c>
      <c r="EQ37" s="343">
        <v>0</v>
      </c>
      <c r="ER37" s="343">
        <v>3</v>
      </c>
      <c r="ES37" s="343">
        <v>0</v>
      </c>
      <c r="ET37" s="343">
        <v>0</v>
      </c>
      <c r="EU37" s="343">
        <v>0</v>
      </c>
      <c r="EV37" s="343">
        <v>0</v>
      </c>
      <c r="EW37" s="343">
        <v>0</v>
      </c>
      <c r="FE37" s="343">
        <v>0</v>
      </c>
      <c r="FF37" s="343">
        <v>0</v>
      </c>
      <c r="FG37" s="343">
        <v>7</v>
      </c>
      <c r="FH37" s="343">
        <v>0</v>
      </c>
      <c r="FI37" s="343">
        <v>7</v>
      </c>
      <c r="FJ37" s="343">
        <v>7</v>
      </c>
      <c r="FK37" s="343">
        <v>0</v>
      </c>
      <c r="FL37" s="343">
        <v>0</v>
      </c>
      <c r="FM37" s="343">
        <v>0</v>
      </c>
      <c r="FN37" s="343">
        <v>0</v>
      </c>
      <c r="FO37" s="343">
        <v>7</v>
      </c>
    </row>
    <row r="38" spans="1:171" s="343" customFormat="1" x14ac:dyDescent="0.25">
      <c r="A38" s="544"/>
      <c r="B38" s="343" t="s">
        <v>54</v>
      </c>
      <c r="C38" s="343" t="s">
        <v>29</v>
      </c>
      <c r="D38" s="343" t="s">
        <v>110</v>
      </c>
      <c r="E38" s="343" t="s">
        <v>65</v>
      </c>
      <c r="F38" s="343" t="s">
        <v>111</v>
      </c>
      <c r="G38" s="343" t="s">
        <v>59</v>
      </c>
      <c r="I38" s="357" t="s">
        <v>675</v>
      </c>
      <c r="J38" s="343" t="s">
        <v>151</v>
      </c>
      <c r="K38" s="343" t="s">
        <v>59</v>
      </c>
      <c r="L38" s="343" t="s">
        <v>152</v>
      </c>
      <c r="M38" s="343" t="s">
        <v>59</v>
      </c>
      <c r="S38" s="343">
        <v>0</v>
      </c>
      <c r="T38" s="343">
        <v>0</v>
      </c>
      <c r="U38" s="343">
        <v>0</v>
      </c>
      <c r="V38" s="343">
        <v>0</v>
      </c>
      <c r="W38" s="343">
        <v>0</v>
      </c>
      <c r="X38" s="343">
        <v>0</v>
      </c>
      <c r="Y38" s="343">
        <v>0</v>
      </c>
      <c r="Z38" s="343">
        <v>0</v>
      </c>
      <c r="AA38" s="343">
        <v>4</v>
      </c>
      <c r="AB38" s="343">
        <f t="shared" si="18"/>
        <v>4</v>
      </c>
      <c r="AC38" s="343">
        <v>0</v>
      </c>
      <c r="AD38" s="343">
        <v>0</v>
      </c>
      <c r="AE38" s="343">
        <v>0</v>
      </c>
      <c r="AF38" s="343">
        <v>0</v>
      </c>
      <c r="AG38" s="343">
        <v>0</v>
      </c>
      <c r="AH38" s="343">
        <v>0</v>
      </c>
      <c r="AI38" s="343">
        <v>0</v>
      </c>
      <c r="AJ38" s="343">
        <v>0</v>
      </c>
      <c r="AK38" s="343">
        <v>0</v>
      </c>
      <c r="AL38" s="343">
        <v>0</v>
      </c>
      <c r="AM38" s="343">
        <v>0</v>
      </c>
      <c r="AN38" s="343">
        <v>0</v>
      </c>
      <c r="AO38" s="343">
        <v>0</v>
      </c>
      <c r="AP38" s="343">
        <v>0</v>
      </c>
      <c r="AQ38" s="343">
        <v>0</v>
      </c>
      <c r="AR38" s="343">
        <v>0</v>
      </c>
      <c r="AS38" s="343">
        <v>0</v>
      </c>
      <c r="AT38" s="343">
        <v>0</v>
      </c>
      <c r="AU38" s="343">
        <v>0</v>
      </c>
      <c r="AV38" s="343">
        <v>0</v>
      </c>
      <c r="AW38" s="343">
        <v>0</v>
      </c>
      <c r="AX38" s="343">
        <v>0</v>
      </c>
      <c r="AY38" s="343">
        <v>0</v>
      </c>
      <c r="AZ38" s="343">
        <v>0</v>
      </c>
      <c r="BA38" s="343">
        <v>0</v>
      </c>
      <c r="BB38" s="343">
        <f t="shared" si="20"/>
        <v>0</v>
      </c>
      <c r="BC38" s="343">
        <v>0</v>
      </c>
      <c r="BD38" s="343">
        <v>0</v>
      </c>
      <c r="BE38" s="343">
        <v>0</v>
      </c>
      <c r="BF38" s="343">
        <v>0</v>
      </c>
      <c r="BG38" s="343">
        <v>0</v>
      </c>
      <c r="BH38" s="343">
        <v>0</v>
      </c>
      <c r="BI38" s="343">
        <v>0</v>
      </c>
      <c r="BJ38" s="343">
        <v>0</v>
      </c>
      <c r="BK38" s="343">
        <v>0</v>
      </c>
      <c r="BL38" s="343">
        <v>0</v>
      </c>
      <c r="BM38" s="343">
        <v>0</v>
      </c>
      <c r="BN38" s="343">
        <v>0</v>
      </c>
      <c r="BO38" s="343">
        <f t="shared" si="21"/>
        <v>0</v>
      </c>
      <c r="BP38" s="343">
        <v>0</v>
      </c>
      <c r="BQ38" s="343">
        <v>0</v>
      </c>
      <c r="BR38" s="343">
        <v>0</v>
      </c>
      <c r="BS38" s="343">
        <v>0</v>
      </c>
      <c r="BT38" s="343">
        <v>0</v>
      </c>
      <c r="BU38" s="343">
        <v>0</v>
      </c>
      <c r="BV38" s="343">
        <v>0</v>
      </c>
      <c r="BW38" s="343">
        <v>0</v>
      </c>
      <c r="BX38" s="343">
        <v>0</v>
      </c>
      <c r="BY38" s="343">
        <v>0</v>
      </c>
      <c r="BZ38" s="343">
        <v>0</v>
      </c>
      <c r="CA38" s="343">
        <v>0</v>
      </c>
      <c r="CB38" s="343">
        <v>0</v>
      </c>
      <c r="CC38" s="352">
        <f t="shared" si="5"/>
        <v>4</v>
      </c>
      <c r="CD38" s="343" t="s">
        <v>73</v>
      </c>
      <c r="CP38" s="343">
        <v>1</v>
      </c>
      <c r="CQ38" s="343">
        <v>1</v>
      </c>
      <c r="DD38" s="343">
        <v>0</v>
      </c>
      <c r="DQ38" s="343">
        <v>0</v>
      </c>
      <c r="ED38" s="343">
        <v>0</v>
      </c>
      <c r="EQ38" s="343">
        <v>0</v>
      </c>
      <c r="ER38" s="343">
        <v>1</v>
      </c>
      <c r="ES38" s="343">
        <v>0</v>
      </c>
      <c r="ET38" s="343">
        <v>0</v>
      </c>
      <c r="EU38" s="343">
        <v>0</v>
      </c>
      <c r="EV38" s="343">
        <v>0</v>
      </c>
      <c r="EW38" s="343">
        <v>0</v>
      </c>
      <c r="FE38" s="343">
        <v>0</v>
      </c>
      <c r="FF38" s="343">
        <v>0</v>
      </c>
      <c r="FG38" s="343">
        <v>4</v>
      </c>
      <c r="FH38" s="343">
        <v>0</v>
      </c>
      <c r="FI38" s="343">
        <v>4</v>
      </c>
      <c r="FJ38" s="343">
        <v>4</v>
      </c>
      <c r="FK38" s="343">
        <v>0</v>
      </c>
      <c r="FL38" s="343">
        <v>0</v>
      </c>
      <c r="FM38" s="343">
        <v>0</v>
      </c>
      <c r="FN38" s="343">
        <v>0</v>
      </c>
      <c r="FO38" s="343">
        <v>4</v>
      </c>
    </row>
    <row r="39" spans="1:171" s="343" customFormat="1" x14ac:dyDescent="0.25">
      <c r="A39" s="544"/>
      <c r="B39" s="343" t="s">
        <v>54</v>
      </c>
      <c r="C39" s="343" t="s">
        <v>29</v>
      </c>
      <c r="D39" s="343" t="s">
        <v>103</v>
      </c>
      <c r="E39" s="343" t="s">
        <v>65</v>
      </c>
      <c r="F39" s="343" t="s">
        <v>104</v>
      </c>
      <c r="G39" s="343" t="s">
        <v>59</v>
      </c>
      <c r="I39" s="343" t="s">
        <v>1068</v>
      </c>
      <c r="J39" s="343" t="s">
        <v>672</v>
      </c>
      <c r="K39" s="343" t="s">
        <v>59</v>
      </c>
      <c r="L39" s="343" t="s">
        <v>108</v>
      </c>
      <c r="M39" s="343" t="s">
        <v>59</v>
      </c>
      <c r="S39" s="343">
        <v>0</v>
      </c>
      <c r="Y39" s="343">
        <f>4+9</f>
        <v>13</v>
      </c>
      <c r="AB39" s="343">
        <f t="shared" si="18"/>
        <v>13</v>
      </c>
      <c r="AO39" s="343">
        <v>0</v>
      </c>
      <c r="BB39" s="343">
        <f t="shared" si="20"/>
        <v>0</v>
      </c>
      <c r="BO39" s="343">
        <f t="shared" si="21"/>
        <v>0</v>
      </c>
      <c r="CB39" s="343">
        <v>0</v>
      </c>
      <c r="CC39" s="352">
        <f t="shared" si="5"/>
        <v>13</v>
      </c>
      <c r="CD39" s="343" t="s">
        <v>73</v>
      </c>
      <c r="CN39" s="343">
        <v>1</v>
      </c>
      <c r="CQ39" s="343">
        <v>1</v>
      </c>
      <c r="DD39" s="343">
        <v>0</v>
      </c>
      <c r="DQ39" s="343">
        <v>0</v>
      </c>
      <c r="ED39" s="343">
        <v>0</v>
      </c>
      <c r="EQ39" s="343">
        <v>0</v>
      </c>
      <c r="ER39" s="343">
        <v>1</v>
      </c>
      <c r="ES39" s="343">
        <v>0</v>
      </c>
      <c r="ET39" s="343">
        <v>0</v>
      </c>
      <c r="EU39" s="343">
        <v>0</v>
      </c>
      <c r="EV39" s="343">
        <v>0</v>
      </c>
      <c r="EW39" s="343">
        <v>0</v>
      </c>
      <c r="FE39" s="343">
        <v>0</v>
      </c>
      <c r="FF39" s="343">
        <v>0</v>
      </c>
      <c r="FG39" s="343">
        <v>4</v>
      </c>
      <c r="FH39" s="343">
        <v>0</v>
      </c>
      <c r="FI39" s="343">
        <v>4</v>
      </c>
      <c r="FJ39" s="343">
        <v>4</v>
      </c>
      <c r="FK39" s="343">
        <v>0</v>
      </c>
      <c r="FL39" s="343">
        <v>0</v>
      </c>
      <c r="FM39" s="343">
        <v>0</v>
      </c>
      <c r="FN39" s="343">
        <v>0</v>
      </c>
      <c r="FO39" s="343">
        <v>4</v>
      </c>
    </row>
    <row r="40" spans="1:171" s="353" customFormat="1" x14ac:dyDescent="0.25">
      <c r="A40" s="544"/>
      <c r="B40" s="353" t="s">
        <v>54</v>
      </c>
      <c r="C40" s="353" t="s">
        <v>29</v>
      </c>
      <c r="D40" s="353" t="s">
        <v>426</v>
      </c>
      <c r="E40" s="353" t="s">
        <v>65</v>
      </c>
      <c r="F40" s="353" t="s">
        <v>427</v>
      </c>
      <c r="G40" s="353" t="s">
        <v>59</v>
      </c>
      <c r="I40" s="353" t="s">
        <v>428</v>
      </c>
      <c r="J40" s="353" t="s">
        <v>429</v>
      </c>
      <c r="K40" s="354" t="s">
        <v>1633</v>
      </c>
      <c r="L40" s="353" t="s">
        <v>430</v>
      </c>
      <c r="M40" s="353" t="s">
        <v>59</v>
      </c>
      <c r="S40" s="353">
        <v>0</v>
      </c>
      <c r="Y40" s="353">
        <v>0</v>
      </c>
      <c r="AB40" s="353">
        <f t="shared" si="18"/>
        <v>0</v>
      </c>
      <c r="AO40" s="353">
        <v>0</v>
      </c>
      <c r="BB40" s="353">
        <f t="shared" si="20"/>
        <v>0</v>
      </c>
      <c r="BO40" s="353">
        <f t="shared" si="21"/>
        <v>0</v>
      </c>
      <c r="CB40" s="353">
        <v>0</v>
      </c>
      <c r="CC40" s="355">
        <f t="shared" si="5"/>
        <v>0</v>
      </c>
      <c r="CD40" s="353" t="s">
        <v>73</v>
      </c>
      <c r="CN40" s="353">
        <v>1</v>
      </c>
      <c r="CQ40" s="353">
        <v>1</v>
      </c>
      <c r="DD40" s="353">
        <v>0</v>
      </c>
      <c r="DK40" s="353">
        <v>1</v>
      </c>
      <c r="DQ40" s="353">
        <v>1</v>
      </c>
      <c r="ED40" s="353">
        <v>0</v>
      </c>
      <c r="EQ40" s="353">
        <v>0</v>
      </c>
      <c r="ER40" s="353">
        <v>2</v>
      </c>
      <c r="ES40" s="353">
        <v>0</v>
      </c>
      <c r="ET40" s="353">
        <v>0</v>
      </c>
      <c r="EU40" s="353">
        <v>0</v>
      </c>
      <c r="EV40" s="353">
        <v>0</v>
      </c>
      <c r="EW40" s="353">
        <v>0</v>
      </c>
      <c r="FE40" s="353">
        <v>0</v>
      </c>
      <c r="FF40" s="353">
        <v>0</v>
      </c>
      <c r="FG40" s="353">
        <v>3</v>
      </c>
      <c r="FH40" s="353">
        <v>0</v>
      </c>
      <c r="FI40" s="353">
        <v>3</v>
      </c>
      <c r="FJ40" s="353">
        <v>3</v>
      </c>
      <c r="FK40" s="353">
        <v>0</v>
      </c>
      <c r="FL40" s="353">
        <v>0</v>
      </c>
      <c r="FM40" s="353">
        <v>0</v>
      </c>
      <c r="FN40" s="353">
        <v>0</v>
      </c>
      <c r="FO40" s="353">
        <v>3</v>
      </c>
    </row>
    <row r="41" spans="1:171" s="353" customFormat="1" x14ac:dyDescent="0.25">
      <c r="A41" s="544"/>
      <c r="B41" s="353" t="s">
        <v>54</v>
      </c>
      <c r="C41" s="353" t="s">
        <v>29</v>
      </c>
      <c r="D41" s="353" t="s">
        <v>426</v>
      </c>
      <c r="E41" s="353" t="s">
        <v>65</v>
      </c>
      <c r="F41" s="353" t="s">
        <v>427</v>
      </c>
      <c r="G41" s="353" t="s">
        <v>59</v>
      </c>
      <c r="I41" s="353" t="s">
        <v>1069</v>
      </c>
      <c r="J41" s="353" t="s">
        <v>431</v>
      </c>
      <c r="K41" s="353" t="s">
        <v>59</v>
      </c>
      <c r="L41" s="353" t="s">
        <v>432</v>
      </c>
      <c r="M41" s="353" t="s">
        <v>59</v>
      </c>
      <c r="S41" s="353">
        <v>0</v>
      </c>
      <c r="Y41" s="353">
        <v>0</v>
      </c>
      <c r="AB41" s="353">
        <f t="shared" si="18"/>
        <v>0</v>
      </c>
      <c r="AO41" s="353">
        <v>0</v>
      </c>
      <c r="BB41" s="353">
        <f t="shared" si="20"/>
        <v>0</v>
      </c>
      <c r="BO41" s="353">
        <f t="shared" si="21"/>
        <v>0</v>
      </c>
      <c r="CB41" s="353">
        <v>0</v>
      </c>
      <c r="CC41" s="355">
        <f t="shared" si="5"/>
        <v>0</v>
      </c>
      <c r="CD41" s="353" t="s">
        <v>73</v>
      </c>
      <c r="CN41" s="353">
        <v>1</v>
      </c>
      <c r="CQ41" s="353">
        <v>1</v>
      </c>
      <c r="DD41" s="353">
        <v>0</v>
      </c>
      <c r="DK41" s="353">
        <v>1</v>
      </c>
      <c r="DQ41" s="353">
        <v>1</v>
      </c>
      <c r="ED41" s="353">
        <v>0</v>
      </c>
      <c r="EQ41" s="353">
        <v>0</v>
      </c>
      <c r="ER41" s="353">
        <v>2</v>
      </c>
      <c r="ES41" s="353">
        <v>0</v>
      </c>
      <c r="ET41" s="353">
        <v>0</v>
      </c>
      <c r="EU41" s="353">
        <v>0</v>
      </c>
      <c r="EV41" s="353">
        <v>0</v>
      </c>
      <c r="EW41" s="353">
        <v>0</v>
      </c>
      <c r="FE41" s="353">
        <v>0</v>
      </c>
      <c r="FF41" s="353">
        <v>0</v>
      </c>
      <c r="FG41" s="353">
        <v>3</v>
      </c>
      <c r="FH41" s="353">
        <v>0</v>
      </c>
      <c r="FI41" s="353">
        <v>3</v>
      </c>
      <c r="FJ41" s="353">
        <v>3</v>
      </c>
      <c r="FK41" s="353">
        <v>0</v>
      </c>
      <c r="FL41" s="353">
        <v>0</v>
      </c>
      <c r="FM41" s="353">
        <v>0</v>
      </c>
      <c r="FN41" s="353">
        <v>0</v>
      </c>
      <c r="FO41" s="353">
        <v>3</v>
      </c>
    </row>
    <row r="42" spans="1:171" s="353" customFormat="1" x14ac:dyDescent="0.25">
      <c r="A42" s="544"/>
      <c r="B42" s="353" t="s">
        <v>54</v>
      </c>
      <c r="C42" s="353" t="s">
        <v>29</v>
      </c>
      <c r="D42" s="353" t="s">
        <v>426</v>
      </c>
      <c r="E42" s="353" t="s">
        <v>65</v>
      </c>
      <c r="F42" s="353" t="s">
        <v>427</v>
      </c>
      <c r="G42" s="353" t="s">
        <v>59</v>
      </c>
      <c r="I42" s="353" t="s">
        <v>1070</v>
      </c>
      <c r="J42" s="353" t="s">
        <v>431</v>
      </c>
      <c r="K42" s="353" t="s">
        <v>59</v>
      </c>
      <c r="L42" s="353" t="s">
        <v>432</v>
      </c>
      <c r="M42" s="353" t="s">
        <v>59</v>
      </c>
      <c r="S42" s="353">
        <v>0</v>
      </c>
      <c r="Y42" s="353">
        <v>0</v>
      </c>
      <c r="AB42" s="353">
        <f t="shared" si="18"/>
        <v>0</v>
      </c>
      <c r="AO42" s="353">
        <v>0</v>
      </c>
      <c r="AW42" s="353">
        <v>0</v>
      </c>
      <c r="BB42" s="353">
        <f t="shared" si="20"/>
        <v>0</v>
      </c>
      <c r="BO42" s="353">
        <f t="shared" si="21"/>
        <v>0</v>
      </c>
      <c r="CB42" s="353">
        <v>0</v>
      </c>
      <c r="CC42" s="355">
        <f t="shared" si="5"/>
        <v>0</v>
      </c>
      <c r="CD42" s="353" t="s">
        <v>73</v>
      </c>
      <c r="CN42" s="353">
        <v>1</v>
      </c>
      <c r="CQ42" s="353">
        <v>1</v>
      </c>
      <c r="DC42" s="353">
        <v>1</v>
      </c>
      <c r="DD42" s="353">
        <v>1</v>
      </c>
      <c r="DQ42" s="353">
        <v>0</v>
      </c>
      <c r="ED42" s="353">
        <v>0</v>
      </c>
      <c r="EQ42" s="353">
        <v>0</v>
      </c>
      <c r="ER42" s="353">
        <v>2</v>
      </c>
      <c r="ES42" s="353">
        <v>0</v>
      </c>
      <c r="ET42" s="353">
        <v>0</v>
      </c>
      <c r="EU42" s="353">
        <v>0</v>
      </c>
      <c r="EV42" s="353">
        <v>0</v>
      </c>
      <c r="EW42" s="353">
        <v>0</v>
      </c>
      <c r="FE42" s="353">
        <v>0</v>
      </c>
      <c r="FF42" s="353">
        <v>0</v>
      </c>
      <c r="FG42" s="353">
        <v>3</v>
      </c>
      <c r="FH42" s="353">
        <v>0</v>
      </c>
      <c r="FI42" s="353">
        <v>3</v>
      </c>
      <c r="FJ42" s="353">
        <v>3</v>
      </c>
      <c r="FK42" s="353">
        <v>0</v>
      </c>
      <c r="FL42" s="353">
        <v>0</v>
      </c>
      <c r="FM42" s="353">
        <v>0</v>
      </c>
      <c r="FN42" s="353">
        <v>0</v>
      </c>
      <c r="FO42" s="353">
        <v>3</v>
      </c>
    </row>
    <row r="43" spans="1:171" s="343" customFormat="1" x14ac:dyDescent="0.25">
      <c r="A43" s="544"/>
      <c r="B43" s="343" t="s">
        <v>54</v>
      </c>
      <c r="C43" s="343" t="s">
        <v>29</v>
      </c>
      <c r="D43" s="343" t="s">
        <v>110</v>
      </c>
      <c r="E43" s="343" t="s">
        <v>65</v>
      </c>
      <c r="F43" s="343" t="s">
        <v>111</v>
      </c>
      <c r="G43" s="343" t="s">
        <v>59</v>
      </c>
      <c r="I43" s="343" t="s">
        <v>1086</v>
      </c>
      <c r="J43" s="343" t="s">
        <v>114</v>
      </c>
      <c r="K43" s="343" t="s">
        <v>59</v>
      </c>
      <c r="L43" s="343" t="s">
        <v>115</v>
      </c>
      <c r="M43" s="343" t="s">
        <v>59</v>
      </c>
      <c r="S43" s="343">
        <v>0</v>
      </c>
      <c r="T43" s="343">
        <v>0</v>
      </c>
      <c r="U43" s="343">
        <v>0</v>
      </c>
      <c r="V43" s="343">
        <v>0</v>
      </c>
      <c r="X43" s="343">
        <v>0</v>
      </c>
      <c r="Y43" s="343">
        <v>0</v>
      </c>
      <c r="Z43" s="343">
        <v>0</v>
      </c>
      <c r="AA43" s="343">
        <v>2.6</v>
      </c>
      <c r="AB43" s="343">
        <f t="shared" si="18"/>
        <v>2.6</v>
      </c>
      <c r="AC43" s="343">
        <v>0</v>
      </c>
      <c r="AD43" s="343">
        <v>0</v>
      </c>
      <c r="AE43" s="343">
        <v>0</v>
      </c>
      <c r="AF43" s="343">
        <v>0</v>
      </c>
      <c r="AG43" s="343">
        <v>0</v>
      </c>
      <c r="AH43" s="343">
        <v>0</v>
      </c>
      <c r="AI43" s="343">
        <v>0</v>
      </c>
      <c r="AJ43" s="343">
        <v>0</v>
      </c>
      <c r="AK43" s="343">
        <v>0</v>
      </c>
      <c r="AL43" s="343">
        <v>0</v>
      </c>
      <c r="AM43" s="343">
        <v>0</v>
      </c>
      <c r="AN43" s="343">
        <v>0</v>
      </c>
      <c r="AO43" s="343">
        <v>0</v>
      </c>
      <c r="AP43" s="343">
        <v>0</v>
      </c>
      <c r="AQ43" s="343">
        <v>0</v>
      </c>
      <c r="AR43" s="343">
        <v>0</v>
      </c>
      <c r="AS43" s="343">
        <v>0</v>
      </c>
      <c r="AT43" s="343">
        <v>0</v>
      </c>
      <c r="AU43" s="343">
        <v>0</v>
      </c>
      <c r="AV43" s="343">
        <v>0</v>
      </c>
      <c r="AW43" s="343">
        <v>0</v>
      </c>
      <c r="AX43" s="343">
        <v>0</v>
      </c>
      <c r="AY43" s="343">
        <v>0</v>
      </c>
      <c r="AZ43" s="343">
        <v>0</v>
      </c>
      <c r="BA43" s="343">
        <v>0</v>
      </c>
      <c r="BB43" s="343">
        <f t="shared" si="20"/>
        <v>0</v>
      </c>
      <c r="BC43" s="343">
        <v>0</v>
      </c>
      <c r="BD43" s="343">
        <v>0</v>
      </c>
      <c r="BE43" s="343">
        <v>0</v>
      </c>
      <c r="BF43" s="343">
        <v>0</v>
      </c>
      <c r="BG43" s="343">
        <v>0</v>
      </c>
      <c r="BH43" s="343">
        <v>0</v>
      </c>
      <c r="BI43" s="343">
        <v>0</v>
      </c>
      <c r="BJ43" s="343">
        <v>0</v>
      </c>
      <c r="BK43" s="343">
        <v>0</v>
      </c>
      <c r="BL43" s="343">
        <v>0</v>
      </c>
      <c r="BM43" s="343">
        <v>0</v>
      </c>
      <c r="BN43" s="343">
        <v>0</v>
      </c>
      <c r="BO43" s="343">
        <f t="shared" si="21"/>
        <v>0</v>
      </c>
      <c r="BP43" s="343">
        <v>0</v>
      </c>
      <c r="BQ43" s="343">
        <v>0</v>
      </c>
      <c r="BR43" s="343">
        <v>0</v>
      </c>
      <c r="BS43" s="343">
        <v>0</v>
      </c>
      <c r="BT43" s="343">
        <v>0</v>
      </c>
      <c r="BU43" s="343">
        <v>0</v>
      </c>
      <c r="BV43" s="343">
        <v>0</v>
      </c>
      <c r="BW43" s="343">
        <v>0</v>
      </c>
      <c r="BX43" s="343">
        <v>0</v>
      </c>
      <c r="BY43" s="343">
        <v>0</v>
      </c>
      <c r="BZ43" s="343">
        <v>0</v>
      </c>
      <c r="CA43" s="343">
        <v>0</v>
      </c>
      <c r="CB43" s="343">
        <v>0</v>
      </c>
      <c r="CC43" s="352">
        <f t="shared" si="5"/>
        <v>2.6</v>
      </c>
      <c r="CD43" s="343" t="s">
        <v>73</v>
      </c>
      <c r="CP43" s="343">
        <v>2</v>
      </c>
      <c r="CQ43" s="343">
        <v>2</v>
      </c>
      <c r="DD43" s="343">
        <v>0</v>
      </c>
      <c r="DQ43" s="343">
        <v>0</v>
      </c>
      <c r="ED43" s="343">
        <v>0</v>
      </c>
      <c r="EQ43" s="343">
        <v>0</v>
      </c>
      <c r="ER43" s="343">
        <v>2</v>
      </c>
      <c r="ES43" s="343">
        <v>0</v>
      </c>
      <c r="ET43" s="343">
        <v>0</v>
      </c>
      <c r="EU43" s="343">
        <v>0</v>
      </c>
      <c r="EV43" s="343">
        <v>0</v>
      </c>
      <c r="EW43" s="343">
        <v>0</v>
      </c>
      <c r="FE43" s="343">
        <v>0</v>
      </c>
      <c r="FF43" s="343">
        <v>0</v>
      </c>
      <c r="FG43" s="343">
        <v>2.6</v>
      </c>
      <c r="FH43" s="343">
        <v>0</v>
      </c>
      <c r="FI43" s="343">
        <v>2.6</v>
      </c>
      <c r="FJ43" s="343">
        <v>2.6</v>
      </c>
      <c r="FK43" s="343">
        <v>0</v>
      </c>
      <c r="FL43" s="343">
        <v>0</v>
      </c>
      <c r="FM43" s="343">
        <v>0</v>
      </c>
      <c r="FN43" s="343">
        <v>0</v>
      </c>
      <c r="FO43" s="343">
        <v>2.6</v>
      </c>
    </row>
    <row r="44" spans="1:171" s="343" customFormat="1" x14ac:dyDescent="0.25">
      <c r="A44" s="544"/>
      <c r="B44" s="343" t="s">
        <v>54</v>
      </c>
      <c r="C44" s="343" t="s">
        <v>29</v>
      </c>
      <c r="D44" s="343" t="s">
        <v>110</v>
      </c>
      <c r="E44" s="343" t="s">
        <v>65</v>
      </c>
      <c r="F44" s="343" t="s">
        <v>111</v>
      </c>
      <c r="G44" s="343" t="s">
        <v>59</v>
      </c>
      <c r="I44" s="343" t="s">
        <v>673</v>
      </c>
      <c r="J44" s="343" t="s">
        <v>119</v>
      </c>
      <c r="K44" s="343" t="s">
        <v>59</v>
      </c>
      <c r="L44" s="343" t="s">
        <v>120</v>
      </c>
      <c r="M44" s="343" t="s">
        <v>59</v>
      </c>
      <c r="S44" s="343">
        <v>0</v>
      </c>
      <c r="T44" s="343">
        <v>0</v>
      </c>
      <c r="U44" s="343">
        <v>0</v>
      </c>
      <c r="V44" s="343">
        <v>0</v>
      </c>
      <c r="W44" s="343">
        <v>0</v>
      </c>
      <c r="X44" s="343">
        <v>0</v>
      </c>
      <c r="Y44" s="343">
        <v>0</v>
      </c>
      <c r="Z44" s="343">
        <v>0</v>
      </c>
      <c r="AA44" s="343">
        <v>1.5</v>
      </c>
      <c r="AB44" s="343">
        <f t="shared" si="18"/>
        <v>1.5</v>
      </c>
      <c r="AC44" s="343">
        <v>0</v>
      </c>
      <c r="AD44" s="343">
        <v>0</v>
      </c>
      <c r="AE44" s="343">
        <v>0</v>
      </c>
      <c r="AF44" s="343">
        <v>0</v>
      </c>
      <c r="AG44" s="343">
        <v>0</v>
      </c>
      <c r="AH44" s="343">
        <v>0</v>
      </c>
      <c r="AI44" s="343">
        <v>0</v>
      </c>
      <c r="AJ44" s="343">
        <v>0</v>
      </c>
      <c r="AK44" s="343">
        <v>0</v>
      </c>
      <c r="AL44" s="343">
        <v>0</v>
      </c>
      <c r="AM44" s="343">
        <v>0</v>
      </c>
      <c r="AN44" s="343">
        <v>0</v>
      </c>
      <c r="AO44" s="343">
        <v>0</v>
      </c>
      <c r="AP44" s="343">
        <v>0</v>
      </c>
      <c r="AQ44" s="343">
        <v>0</v>
      </c>
      <c r="AR44" s="343">
        <v>0</v>
      </c>
      <c r="AS44" s="343">
        <v>0</v>
      </c>
      <c r="AT44" s="343">
        <v>0</v>
      </c>
      <c r="AU44" s="343">
        <v>0</v>
      </c>
      <c r="AV44" s="343">
        <v>0</v>
      </c>
      <c r="AW44" s="343">
        <v>0</v>
      </c>
      <c r="AX44" s="343">
        <v>0</v>
      </c>
      <c r="AY44" s="343">
        <v>0</v>
      </c>
      <c r="AZ44" s="343">
        <v>0</v>
      </c>
      <c r="BA44" s="343">
        <v>0</v>
      </c>
      <c r="BB44" s="343">
        <f t="shared" si="20"/>
        <v>0</v>
      </c>
      <c r="BC44" s="343">
        <v>0</v>
      </c>
      <c r="BD44" s="343">
        <v>0</v>
      </c>
      <c r="BE44" s="343">
        <v>0</v>
      </c>
      <c r="BF44" s="343">
        <v>0</v>
      </c>
      <c r="BG44" s="343">
        <v>0</v>
      </c>
      <c r="BH44" s="343">
        <v>0</v>
      </c>
      <c r="BI44" s="343">
        <v>0</v>
      </c>
      <c r="BJ44" s="343">
        <v>0</v>
      </c>
      <c r="BK44" s="343">
        <v>0</v>
      </c>
      <c r="BL44" s="343">
        <v>0</v>
      </c>
      <c r="BM44" s="343">
        <v>0</v>
      </c>
      <c r="BN44" s="343">
        <v>0</v>
      </c>
      <c r="BO44" s="343">
        <f t="shared" si="21"/>
        <v>0</v>
      </c>
      <c r="BP44" s="343">
        <v>0</v>
      </c>
      <c r="BQ44" s="343">
        <v>0</v>
      </c>
      <c r="BR44" s="343">
        <v>0</v>
      </c>
      <c r="BS44" s="343">
        <v>0</v>
      </c>
      <c r="BT44" s="343">
        <v>0</v>
      </c>
      <c r="BU44" s="343">
        <v>0</v>
      </c>
      <c r="BV44" s="343">
        <v>0</v>
      </c>
      <c r="BW44" s="343">
        <v>0</v>
      </c>
      <c r="BX44" s="343">
        <v>0</v>
      </c>
      <c r="BY44" s="343">
        <v>0</v>
      </c>
      <c r="BZ44" s="343">
        <v>0</v>
      </c>
      <c r="CA44" s="343">
        <v>0</v>
      </c>
      <c r="CB44" s="343">
        <v>0</v>
      </c>
      <c r="CC44" s="352">
        <f t="shared" si="5"/>
        <v>1.5</v>
      </c>
      <c r="CD44" s="343" t="s">
        <v>73</v>
      </c>
      <c r="CP44" s="343">
        <v>1</v>
      </c>
      <c r="CQ44" s="343">
        <v>1</v>
      </c>
      <c r="DD44" s="343">
        <v>0</v>
      </c>
      <c r="DQ44" s="343">
        <v>0</v>
      </c>
      <c r="ED44" s="343">
        <v>0</v>
      </c>
      <c r="EQ44" s="343">
        <v>0</v>
      </c>
      <c r="ER44" s="343">
        <v>1</v>
      </c>
      <c r="ES44" s="343">
        <v>0</v>
      </c>
      <c r="ET44" s="343">
        <v>0</v>
      </c>
      <c r="EU44" s="343">
        <v>0</v>
      </c>
      <c r="EV44" s="343">
        <v>0</v>
      </c>
      <c r="EW44" s="343">
        <v>0</v>
      </c>
      <c r="FE44" s="343">
        <v>0</v>
      </c>
      <c r="FF44" s="343">
        <v>0</v>
      </c>
      <c r="FG44" s="343">
        <v>1.5</v>
      </c>
      <c r="FH44" s="343">
        <v>0</v>
      </c>
      <c r="FI44" s="343">
        <v>1.5</v>
      </c>
      <c r="FJ44" s="343">
        <v>1.5</v>
      </c>
      <c r="FK44" s="343">
        <v>0</v>
      </c>
      <c r="FL44" s="343">
        <v>0</v>
      </c>
      <c r="FM44" s="343">
        <v>0</v>
      </c>
      <c r="FN44" s="343">
        <v>0</v>
      </c>
      <c r="FO44" s="343">
        <v>1.5</v>
      </c>
    </row>
    <row r="45" spans="1:171" s="343" customFormat="1" x14ac:dyDescent="0.25">
      <c r="A45" s="544"/>
      <c r="B45" s="343" t="s">
        <v>54</v>
      </c>
      <c r="C45" s="343" t="s">
        <v>29</v>
      </c>
      <c r="D45" s="343" t="s">
        <v>110</v>
      </c>
      <c r="E45" s="343" t="s">
        <v>65</v>
      </c>
      <c r="F45" s="343" t="s">
        <v>111</v>
      </c>
      <c r="G45" s="343" t="s">
        <v>59</v>
      </c>
      <c r="I45" s="343" t="s">
        <v>674</v>
      </c>
      <c r="J45" s="343" t="s">
        <v>118</v>
      </c>
      <c r="K45" s="343" t="s">
        <v>59</v>
      </c>
      <c r="L45" s="343" t="s">
        <v>117</v>
      </c>
      <c r="M45" s="343" t="s">
        <v>59</v>
      </c>
      <c r="S45" s="343">
        <v>0</v>
      </c>
      <c r="T45" s="343">
        <v>0</v>
      </c>
      <c r="U45" s="343">
        <v>0</v>
      </c>
      <c r="V45" s="343">
        <v>0</v>
      </c>
      <c r="X45" s="343">
        <v>0</v>
      </c>
      <c r="Y45" s="343">
        <v>0</v>
      </c>
      <c r="Z45" s="343">
        <v>0</v>
      </c>
      <c r="AA45" s="343">
        <v>1.3</v>
      </c>
      <c r="AB45" s="343">
        <f t="shared" si="18"/>
        <v>1.3</v>
      </c>
      <c r="AC45" s="343">
        <v>0</v>
      </c>
      <c r="AD45" s="343">
        <v>0</v>
      </c>
      <c r="AE45" s="343">
        <v>0</v>
      </c>
      <c r="AF45" s="343">
        <v>0</v>
      </c>
      <c r="AG45" s="343">
        <v>0</v>
      </c>
      <c r="AH45" s="343">
        <v>0</v>
      </c>
      <c r="AI45" s="343">
        <v>0</v>
      </c>
      <c r="AJ45" s="343">
        <v>0</v>
      </c>
      <c r="AK45" s="343">
        <v>0</v>
      </c>
      <c r="AL45" s="343">
        <v>0</v>
      </c>
      <c r="AM45" s="343">
        <v>0</v>
      </c>
      <c r="AN45" s="343">
        <v>0</v>
      </c>
      <c r="AO45" s="343">
        <v>0</v>
      </c>
      <c r="AP45" s="343">
        <v>0</v>
      </c>
      <c r="AQ45" s="343">
        <v>0</v>
      </c>
      <c r="AR45" s="343">
        <v>0</v>
      </c>
      <c r="AS45" s="343">
        <v>0</v>
      </c>
      <c r="AT45" s="343">
        <v>0</v>
      </c>
      <c r="AU45" s="343">
        <v>0</v>
      </c>
      <c r="AV45" s="343">
        <v>0</v>
      </c>
      <c r="AW45" s="343">
        <v>0</v>
      </c>
      <c r="AX45" s="343">
        <v>0</v>
      </c>
      <c r="AY45" s="343">
        <v>0</v>
      </c>
      <c r="AZ45" s="343">
        <v>0</v>
      </c>
      <c r="BA45" s="343">
        <v>0</v>
      </c>
      <c r="BB45" s="343">
        <f t="shared" si="20"/>
        <v>0</v>
      </c>
      <c r="BC45" s="343">
        <v>0</v>
      </c>
      <c r="BD45" s="343">
        <v>0</v>
      </c>
      <c r="BE45" s="343">
        <v>0</v>
      </c>
      <c r="BF45" s="343">
        <v>0</v>
      </c>
      <c r="BG45" s="343">
        <v>0</v>
      </c>
      <c r="BH45" s="343">
        <v>0</v>
      </c>
      <c r="BI45" s="343">
        <v>0</v>
      </c>
      <c r="BJ45" s="343">
        <v>0</v>
      </c>
      <c r="BK45" s="343">
        <v>0</v>
      </c>
      <c r="BL45" s="343">
        <v>0</v>
      </c>
      <c r="BM45" s="343">
        <v>0</v>
      </c>
      <c r="BN45" s="343">
        <v>0</v>
      </c>
      <c r="BO45" s="343">
        <f t="shared" si="21"/>
        <v>0</v>
      </c>
      <c r="BP45" s="343">
        <v>0</v>
      </c>
      <c r="BQ45" s="343">
        <v>0</v>
      </c>
      <c r="BR45" s="343">
        <v>0</v>
      </c>
      <c r="BS45" s="343">
        <v>0</v>
      </c>
      <c r="BT45" s="343">
        <v>0</v>
      </c>
      <c r="BU45" s="343">
        <v>0</v>
      </c>
      <c r="BV45" s="343">
        <v>0</v>
      </c>
      <c r="BW45" s="343">
        <v>0</v>
      </c>
      <c r="BX45" s="343">
        <v>0</v>
      </c>
      <c r="BY45" s="343">
        <v>0</v>
      </c>
      <c r="BZ45" s="343">
        <v>0</v>
      </c>
      <c r="CA45" s="343">
        <v>0</v>
      </c>
      <c r="CB45" s="343">
        <v>0</v>
      </c>
      <c r="CC45" s="352">
        <f t="shared" si="5"/>
        <v>1.3</v>
      </c>
      <c r="CD45" s="343" t="s">
        <v>73</v>
      </c>
      <c r="CP45" s="343">
        <v>1</v>
      </c>
      <c r="CQ45" s="343">
        <v>1</v>
      </c>
      <c r="DD45" s="343">
        <v>0</v>
      </c>
      <c r="DQ45" s="343">
        <v>0</v>
      </c>
      <c r="ED45" s="343">
        <v>0</v>
      </c>
      <c r="EQ45" s="343">
        <v>0</v>
      </c>
      <c r="ER45" s="343">
        <v>1</v>
      </c>
      <c r="ES45" s="343">
        <v>0</v>
      </c>
      <c r="ET45" s="343">
        <v>0</v>
      </c>
      <c r="EU45" s="343">
        <v>0</v>
      </c>
      <c r="EV45" s="343">
        <v>0</v>
      </c>
      <c r="EW45" s="343">
        <v>0</v>
      </c>
      <c r="FE45" s="343">
        <v>0</v>
      </c>
      <c r="FF45" s="343">
        <v>0</v>
      </c>
      <c r="FG45" s="343">
        <v>1.3</v>
      </c>
      <c r="FH45" s="343">
        <v>0</v>
      </c>
      <c r="FI45" s="343">
        <v>1.3</v>
      </c>
      <c r="FJ45" s="343">
        <v>1.3</v>
      </c>
      <c r="FK45" s="343">
        <v>0</v>
      </c>
      <c r="FL45" s="343">
        <v>0</v>
      </c>
      <c r="FM45" s="343">
        <v>0</v>
      </c>
      <c r="FN45" s="343">
        <v>0</v>
      </c>
      <c r="FO45" s="343">
        <v>1.3</v>
      </c>
    </row>
    <row r="46" spans="1:171" s="420" customFormat="1" ht="15.75" customHeight="1" x14ac:dyDescent="0.25">
      <c r="A46" s="539" t="s">
        <v>1898</v>
      </c>
      <c r="B46" s="420" t="s">
        <v>57</v>
      </c>
      <c r="C46" s="420" t="s">
        <v>40</v>
      </c>
      <c r="D46" s="420" t="s">
        <v>488</v>
      </c>
      <c r="E46" s="420" t="s">
        <v>62</v>
      </c>
      <c r="F46" s="420" t="s">
        <v>489</v>
      </c>
      <c r="G46" s="420" t="s">
        <v>59</v>
      </c>
      <c r="H46" s="420" t="s">
        <v>1897</v>
      </c>
      <c r="I46" s="420" t="s">
        <v>493</v>
      </c>
      <c r="S46" s="420">
        <v>0</v>
      </c>
      <c r="T46" s="420">
        <v>0</v>
      </c>
      <c r="U46" s="420">
        <v>0</v>
      </c>
      <c r="V46" s="420">
        <v>0</v>
      </c>
      <c r="W46" s="420">
        <v>0</v>
      </c>
      <c r="X46" s="420">
        <v>0</v>
      </c>
      <c r="Y46" s="420">
        <v>0</v>
      </c>
      <c r="Z46" s="420">
        <v>50</v>
      </c>
      <c r="AA46" s="420">
        <v>0</v>
      </c>
      <c r="AB46" s="420">
        <f t="shared" si="18"/>
        <v>50</v>
      </c>
      <c r="AC46" s="420">
        <v>0</v>
      </c>
      <c r="AD46" s="420">
        <v>0</v>
      </c>
      <c r="AE46" s="420">
        <v>0</v>
      </c>
      <c r="AF46" s="420">
        <v>0</v>
      </c>
      <c r="AG46" s="420">
        <v>0</v>
      </c>
      <c r="AH46" s="420">
        <v>0</v>
      </c>
      <c r="AI46" s="420">
        <v>0</v>
      </c>
      <c r="AJ46" s="420">
        <v>0</v>
      </c>
      <c r="AK46" s="420">
        <v>0</v>
      </c>
      <c r="AL46" s="420">
        <v>0</v>
      </c>
      <c r="AM46" s="420">
        <v>0</v>
      </c>
      <c r="AN46" s="420">
        <v>0</v>
      </c>
      <c r="AO46" s="420">
        <f>SUM(AC46:AN46)</f>
        <v>0</v>
      </c>
      <c r="BB46" s="420">
        <f t="shared" ref="BB46:BB53" si="31">SUM(AP46:BA46)</f>
        <v>0</v>
      </c>
      <c r="BC46" s="420">
        <v>0</v>
      </c>
      <c r="BD46" s="420">
        <v>0</v>
      </c>
      <c r="BE46" s="420">
        <v>0</v>
      </c>
      <c r="BF46" s="420">
        <v>0</v>
      </c>
      <c r="BG46" s="420">
        <v>0</v>
      </c>
      <c r="BH46" s="420">
        <v>0</v>
      </c>
      <c r="BI46" s="420">
        <v>0</v>
      </c>
      <c r="BJ46" s="420">
        <v>0</v>
      </c>
      <c r="BK46" s="420">
        <v>0</v>
      </c>
      <c r="BL46" s="420">
        <v>0</v>
      </c>
      <c r="BM46" s="420">
        <v>0</v>
      </c>
      <c r="BN46" s="420">
        <v>0</v>
      </c>
      <c r="BO46" s="420">
        <f t="shared" ref="BO46:BO53" si="32">SUM(BC46:BN46)</f>
        <v>0</v>
      </c>
      <c r="BP46" s="420">
        <v>0</v>
      </c>
      <c r="BQ46" s="420">
        <v>0</v>
      </c>
      <c r="BR46" s="420">
        <v>0</v>
      </c>
      <c r="BS46" s="420">
        <v>0</v>
      </c>
      <c r="BT46" s="420">
        <v>0</v>
      </c>
      <c r="BU46" s="420">
        <v>0</v>
      </c>
      <c r="BV46" s="420">
        <v>0</v>
      </c>
      <c r="BW46" s="420">
        <v>0</v>
      </c>
      <c r="BX46" s="420">
        <v>0</v>
      </c>
      <c r="BY46" s="420">
        <v>0</v>
      </c>
      <c r="BZ46" s="420">
        <v>0</v>
      </c>
      <c r="CA46" s="420">
        <v>0</v>
      </c>
      <c r="CB46" s="420">
        <v>0</v>
      </c>
      <c r="CC46" s="421">
        <f t="shared" si="5"/>
        <v>50</v>
      </c>
      <c r="CD46" s="420" t="s">
        <v>109</v>
      </c>
      <c r="CS46" s="420">
        <f t="shared" ref="CS46:CS53" si="33">SUM(CG46:CR46)</f>
        <v>0</v>
      </c>
    </row>
    <row r="47" spans="1:171" s="420" customFormat="1" x14ac:dyDescent="0.25">
      <c r="A47" s="539"/>
      <c r="B47" s="420" t="s">
        <v>57</v>
      </c>
      <c r="C47" s="420" t="s">
        <v>40</v>
      </c>
      <c r="D47" s="420" t="s">
        <v>488</v>
      </c>
      <c r="E47" s="420" t="s">
        <v>62</v>
      </c>
      <c r="F47" s="420" t="s">
        <v>489</v>
      </c>
      <c r="G47" s="420" t="s">
        <v>59</v>
      </c>
      <c r="H47" s="420" t="s">
        <v>1897</v>
      </c>
      <c r="I47" s="420" t="s">
        <v>490</v>
      </c>
      <c r="S47" s="420">
        <v>0</v>
      </c>
      <c r="T47" s="420">
        <v>0</v>
      </c>
      <c r="U47" s="420">
        <v>0</v>
      </c>
      <c r="V47" s="420">
        <v>0</v>
      </c>
      <c r="W47" s="420">
        <v>0</v>
      </c>
      <c r="X47" s="420">
        <v>0</v>
      </c>
      <c r="Y47" s="420">
        <v>0</v>
      </c>
      <c r="Z47" s="420">
        <v>15</v>
      </c>
      <c r="AA47" s="420">
        <v>0</v>
      </c>
      <c r="AB47" s="420">
        <f t="shared" si="18"/>
        <v>15</v>
      </c>
      <c r="AC47" s="420">
        <v>0</v>
      </c>
      <c r="AD47" s="420">
        <v>0</v>
      </c>
      <c r="AE47" s="420">
        <v>0</v>
      </c>
      <c r="AF47" s="420">
        <v>0</v>
      </c>
      <c r="AG47" s="420">
        <v>0</v>
      </c>
      <c r="AH47" s="420">
        <v>0</v>
      </c>
      <c r="AI47" s="420">
        <v>0</v>
      </c>
      <c r="AJ47" s="420">
        <v>0</v>
      </c>
      <c r="AK47" s="420">
        <v>0</v>
      </c>
      <c r="AL47" s="420">
        <v>0</v>
      </c>
      <c r="AM47" s="420">
        <v>0</v>
      </c>
      <c r="AN47" s="420">
        <v>0</v>
      </c>
      <c r="AO47" s="420">
        <f t="shared" ref="AO47:AO69" si="34">SUM(AC47:AN47)</f>
        <v>0</v>
      </c>
      <c r="BB47" s="420">
        <f t="shared" si="31"/>
        <v>0</v>
      </c>
      <c r="BC47" s="420">
        <v>0</v>
      </c>
      <c r="BD47" s="420">
        <v>0</v>
      </c>
      <c r="BE47" s="420">
        <v>0</v>
      </c>
      <c r="BF47" s="420">
        <v>0</v>
      </c>
      <c r="BG47" s="420">
        <v>0</v>
      </c>
      <c r="BH47" s="420">
        <v>0</v>
      </c>
      <c r="BI47" s="420">
        <v>0</v>
      </c>
      <c r="BJ47" s="420">
        <v>0</v>
      </c>
      <c r="BK47" s="420">
        <v>0</v>
      </c>
      <c r="BL47" s="420">
        <v>0</v>
      </c>
      <c r="BM47" s="420">
        <v>0</v>
      </c>
      <c r="BN47" s="420">
        <v>0</v>
      </c>
      <c r="BO47" s="420">
        <f t="shared" si="32"/>
        <v>0</v>
      </c>
      <c r="BP47" s="420">
        <v>0</v>
      </c>
      <c r="BQ47" s="420">
        <v>0</v>
      </c>
      <c r="BR47" s="420">
        <v>0</v>
      </c>
      <c r="BS47" s="420">
        <v>0</v>
      </c>
      <c r="BT47" s="420">
        <v>0</v>
      </c>
      <c r="BU47" s="420">
        <v>0</v>
      </c>
      <c r="BV47" s="420">
        <v>0</v>
      </c>
      <c r="BW47" s="420">
        <v>0</v>
      </c>
      <c r="BX47" s="420">
        <v>0</v>
      </c>
      <c r="BY47" s="420">
        <v>0</v>
      </c>
      <c r="BZ47" s="420">
        <v>0</v>
      </c>
      <c r="CA47" s="420">
        <v>0</v>
      </c>
      <c r="CB47" s="420">
        <v>0</v>
      </c>
      <c r="CC47" s="421">
        <f t="shared" si="5"/>
        <v>15</v>
      </c>
      <c r="CD47" s="420" t="s">
        <v>109</v>
      </c>
      <c r="CS47" s="420">
        <f t="shared" si="33"/>
        <v>0</v>
      </c>
    </row>
    <row r="48" spans="1:171" s="420" customFormat="1" x14ac:dyDescent="0.25">
      <c r="A48" s="539"/>
      <c r="B48" s="420" t="s">
        <v>57</v>
      </c>
      <c r="C48" s="420" t="s">
        <v>40</v>
      </c>
      <c r="D48" s="420" t="s">
        <v>498</v>
      </c>
      <c r="E48" s="420" t="s">
        <v>62</v>
      </c>
      <c r="F48" s="420" t="s">
        <v>499</v>
      </c>
      <c r="G48" s="420" t="s">
        <v>59</v>
      </c>
      <c r="H48" s="420" t="s">
        <v>1897</v>
      </c>
      <c r="I48" s="420" t="s">
        <v>530</v>
      </c>
      <c r="S48" s="420">
        <v>0</v>
      </c>
      <c r="T48" s="420">
        <v>0</v>
      </c>
      <c r="U48" s="420">
        <v>0</v>
      </c>
      <c r="V48" s="420">
        <v>0</v>
      </c>
      <c r="W48" s="420">
        <v>0</v>
      </c>
      <c r="X48" s="420">
        <v>0</v>
      </c>
      <c r="Y48" s="420">
        <v>10</v>
      </c>
      <c r="Z48" s="420">
        <v>0</v>
      </c>
      <c r="AA48" s="420">
        <v>0</v>
      </c>
      <c r="AB48" s="420">
        <f t="shared" si="18"/>
        <v>10</v>
      </c>
      <c r="AC48" s="420">
        <v>0</v>
      </c>
      <c r="AD48" s="420">
        <v>0</v>
      </c>
      <c r="AE48" s="420">
        <v>0</v>
      </c>
      <c r="AF48" s="420">
        <v>0</v>
      </c>
      <c r="AG48" s="420">
        <v>0</v>
      </c>
      <c r="AH48" s="420">
        <v>0</v>
      </c>
      <c r="AI48" s="420">
        <v>0</v>
      </c>
      <c r="AJ48" s="420">
        <v>0</v>
      </c>
      <c r="AK48" s="420">
        <v>0</v>
      </c>
      <c r="AL48" s="420">
        <v>0</v>
      </c>
      <c r="AM48" s="420">
        <v>0</v>
      </c>
      <c r="AN48" s="420">
        <v>0</v>
      </c>
      <c r="AO48" s="420">
        <f t="shared" si="34"/>
        <v>0</v>
      </c>
      <c r="BB48" s="420">
        <f t="shared" si="31"/>
        <v>0</v>
      </c>
      <c r="BC48" s="420">
        <v>0</v>
      </c>
      <c r="BD48" s="420">
        <v>0</v>
      </c>
      <c r="BE48" s="420">
        <v>0</v>
      </c>
      <c r="BF48" s="420">
        <v>0</v>
      </c>
      <c r="BG48" s="420">
        <v>0</v>
      </c>
      <c r="BH48" s="420">
        <v>0</v>
      </c>
      <c r="BI48" s="420">
        <v>0</v>
      </c>
      <c r="BJ48" s="420">
        <v>0</v>
      </c>
      <c r="BK48" s="420">
        <v>0</v>
      </c>
      <c r="BL48" s="420">
        <v>0</v>
      </c>
      <c r="BM48" s="420">
        <v>0</v>
      </c>
      <c r="BN48" s="420">
        <v>0</v>
      </c>
      <c r="BO48" s="420">
        <f t="shared" si="32"/>
        <v>0</v>
      </c>
      <c r="BP48" s="420">
        <v>0</v>
      </c>
      <c r="BQ48" s="420">
        <v>0</v>
      </c>
      <c r="BR48" s="420">
        <v>0</v>
      </c>
      <c r="BS48" s="420">
        <v>0</v>
      </c>
      <c r="BT48" s="420">
        <v>0</v>
      </c>
      <c r="BU48" s="420">
        <v>0</v>
      </c>
      <c r="BV48" s="420">
        <v>0</v>
      </c>
      <c r="BW48" s="420">
        <v>0</v>
      </c>
      <c r="BX48" s="420">
        <v>0</v>
      </c>
      <c r="BY48" s="420">
        <v>0</v>
      </c>
      <c r="BZ48" s="420">
        <v>0</v>
      </c>
      <c r="CA48" s="420">
        <v>0</v>
      </c>
      <c r="CB48" s="420">
        <v>0</v>
      </c>
      <c r="CC48" s="421">
        <f t="shared" si="5"/>
        <v>10</v>
      </c>
      <c r="CD48" s="420" t="s">
        <v>109</v>
      </c>
      <c r="CS48" s="420">
        <f t="shared" si="33"/>
        <v>0</v>
      </c>
    </row>
    <row r="49" spans="1:97" s="420" customFormat="1" x14ac:dyDescent="0.25">
      <c r="A49" s="539"/>
      <c r="B49" s="420" t="s">
        <v>57</v>
      </c>
      <c r="C49" s="420" t="s">
        <v>40</v>
      </c>
      <c r="D49" s="420" t="s">
        <v>495</v>
      </c>
      <c r="E49" s="420" t="s">
        <v>62</v>
      </c>
      <c r="F49" s="420" t="s">
        <v>496</v>
      </c>
      <c r="G49" s="420" t="s">
        <v>59</v>
      </c>
      <c r="H49" s="420" t="s">
        <v>1897</v>
      </c>
      <c r="I49" s="420" t="s">
        <v>1052</v>
      </c>
      <c r="S49" s="420">
        <v>0</v>
      </c>
      <c r="T49" s="420">
        <v>0</v>
      </c>
      <c r="U49" s="420">
        <v>0</v>
      </c>
      <c r="V49" s="420">
        <v>0</v>
      </c>
      <c r="W49" s="420">
        <v>0</v>
      </c>
      <c r="X49" s="420">
        <v>0</v>
      </c>
      <c r="Y49" s="420">
        <v>4.8</v>
      </c>
      <c r="Z49" s="420">
        <v>0</v>
      </c>
      <c r="AA49" s="420">
        <v>2.4</v>
      </c>
      <c r="AB49" s="420">
        <f t="shared" si="18"/>
        <v>7.1999999999999993</v>
      </c>
      <c r="AC49" s="420">
        <v>0</v>
      </c>
      <c r="AD49" s="420">
        <v>0</v>
      </c>
      <c r="AE49" s="420">
        <v>0</v>
      </c>
      <c r="AF49" s="420">
        <v>0</v>
      </c>
      <c r="AG49" s="420">
        <v>0</v>
      </c>
      <c r="AH49" s="420">
        <v>0</v>
      </c>
      <c r="AI49" s="420">
        <v>0</v>
      </c>
      <c r="AJ49" s="420">
        <v>0</v>
      </c>
      <c r="AK49" s="420">
        <v>0</v>
      </c>
      <c r="AL49" s="420">
        <v>0</v>
      </c>
      <c r="AM49" s="420">
        <v>0</v>
      </c>
      <c r="AN49" s="420">
        <v>0</v>
      </c>
      <c r="AO49" s="420">
        <f t="shared" si="34"/>
        <v>0</v>
      </c>
      <c r="BB49" s="420">
        <f t="shared" si="31"/>
        <v>0</v>
      </c>
      <c r="BC49" s="420">
        <v>0</v>
      </c>
      <c r="BD49" s="420">
        <v>0</v>
      </c>
      <c r="BE49" s="420">
        <v>0</v>
      </c>
      <c r="BF49" s="420">
        <v>0</v>
      </c>
      <c r="BG49" s="420">
        <v>0</v>
      </c>
      <c r="BH49" s="420">
        <v>0</v>
      </c>
      <c r="BI49" s="420">
        <v>0</v>
      </c>
      <c r="BJ49" s="420">
        <v>0</v>
      </c>
      <c r="BK49" s="420">
        <v>0</v>
      </c>
      <c r="BL49" s="420">
        <v>0</v>
      </c>
      <c r="BM49" s="420">
        <v>0</v>
      </c>
      <c r="BN49" s="420">
        <v>0</v>
      </c>
      <c r="BO49" s="420">
        <f t="shared" si="32"/>
        <v>0</v>
      </c>
      <c r="BP49" s="420">
        <v>0</v>
      </c>
      <c r="BQ49" s="420">
        <v>0</v>
      </c>
      <c r="BR49" s="420">
        <v>0</v>
      </c>
      <c r="BS49" s="420">
        <v>0</v>
      </c>
      <c r="BT49" s="420">
        <v>0</v>
      </c>
      <c r="BU49" s="420">
        <v>0</v>
      </c>
      <c r="BV49" s="420">
        <v>0</v>
      </c>
      <c r="BW49" s="420">
        <v>0</v>
      </c>
      <c r="BX49" s="420">
        <v>0</v>
      </c>
      <c r="BY49" s="420">
        <v>0</v>
      </c>
      <c r="BZ49" s="420">
        <v>0</v>
      </c>
      <c r="CA49" s="420">
        <v>0</v>
      </c>
      <c r="CB49" s="420">
        <v>0</v>
      </c>
      <c r="CC49" s="421">
        <f t="shared" si="5"/>
        <v>7.1999999999999993</v>
      </c>
      <c r="CD49" s="420" t="s">
        <v>109</v>
      </c>
      <c r="CS49" s="420">
        <f t="shared" si="33"/>
        <v>0</v>
      </c>
    </row>
    <row r="50" spans="1:97" s="420" customFormat="1" x14ac:dyDescent="0.25">
      <c r="A50" s="539"/>
      <c r="B50" s="420" t="s">
        <v>57</v>
      </c>
      <c r="C50" s="420" t="s">
        <v>40</v>
      </c>
      <c r="D50" s="420" t="s">
        <v>498</v>
      </c>
      <c r="E50" s="420" t="s">
        <v>62</v>
      </c>
      <c r="F50" s="420" t="s">
        <v>499</v>
      </c>
      <c r="G50" s="420" t="s">
        <v>59</v>
      </c>
      <c r="H50" s="420" t="s">
        <v>1897</v>
      </c>
      <c r="I50" s="420" t="s">
        <v>525</v>
      </c>
      <c r="S50" s="420">
        <v>0</v>
      </c>
      <c r="T50" s="420">
        <v>0</v>
      </c>
      <c r="U50" s="420">
        <v>0</v>
      </c>
      <c r="V50" s="420">
        <v>0</v>
      </c>
      <c r="W50" s="420">
        <v>0</v>
      </c>
      <c r="X50" s="420">
        <v>0</v>
      </c>
      <c r="Y50" s="420">
        <v>6.8</v>
      </c>
      <c r="Z50" s="420">
        <v>0</v>
      </c>
      <c r="AA50" s="420">
        <v>0</v>
      </c>
      <c r="AB50" s="420">
        <f t="shared" si="18"/>
        <v>6.8</v>
      </c>
      <c r="AC50" s="420">
        <v>0</v>
      </c>
      <c r="AD50" s="420">
        <v>0</v>
      </c>
      <c r="AE50" s="420">
        <v>0</v>
      </c>
      <c r="AF50" s="420">
        <v>0</v>
      </c>
      <c r="AG50" s="420">
        <v>0</v>
      </c>
      <c r="AH50" s="420">
        <v>0</v>
      </c>
      <c r="AI50" s="420">
        <v>0</v>
      </c>
      <c r="AJ50" s="420">
        <v>0</v>
      </c>
      <c r="AK50" s="420">
        <v>0</v>
      </c>
      <c r="AL50" s="420">
        <v>0</v>
      </c>
      <c r="AM50" s="420">
        <v>0</v>
      </c>
      <c r="AN50" s="420">
        <v>0</v>
      </c>
      <c r="AO50" s="420">
        <f t="shared" si="34"/>
        <v>0</v>
      </c>
      <c r="BB50" s="420">
        <f t="shared" si="31"/>
        <v>0</v>
      </c>
      <c r="BC50" s="420">
        <v>0</v>
      </c>
      <c r="BD50" s="420">
        <v>0</v>
      </c>
      <c r="BE50" s="420">
        <v>0</v>
      </c>
      <c r="BF50" s="420">
        <v>0</v>
      </c>
      <c r="BG50" s="420">
        <v>0</v>
      </c>
      <c r="BH50" s="420">
        <v>0</v>
      </c>
      <c r="BI50" s="420">
        <v>0</v>
      </c>
      <c r="BJ50" s="420">
        <v>0</v>
      </c>
      <c r="BK50" s="420">
        <v>0</v>
      </c>
      <c r="BL50" s="420">
        <v>0</v>
      </c>
      <c r="BM50" s="420">
        <v>0</v>
      </c>
      <c r="BN50" s="420">
        <v>0</v>
      </c>
      <c r="BO50" s="420">
        <f t="shared" si="32"/>
        <v>0</v>
      </c>
      <c r="BP50" s="420">
        <v>0</v>
      </c>
      <c r="BQ50" s="420">
        <v>0</v>
      </c>
      <c r="BR50" s="420">
        <v>0</v>
      </c>
      <c r="BS50" s="420">
        <v>0</v>
      </c>
      <c r="BT50" s="420">
        <v>0</v>
      </c>
      <c r="BU50" s="420">
        <v>0</v>
      </c>
      <c r="BV50" s="420">
        <v>0</v>
      </c>
      <c r="BW50" s="420">
        <v>0</v>
      </c>
      <c r="BX50" s="420">
        <v>0</v>
      </c>
      <c r="BY50" s="420">
        <v>0</v>
      </c>
      <c r="BZ50" s="420">
        <v>0</v>
      </c>
      <c r="CA50" s="420">
        <v>0</v>
      </c>
      <c r="CB50" s="420">
        <v>0</v>
      </c>
      <c r="CC50" s="421">
        <f t="shared" si="5"/>
        <v>6.8</v>
      </c>
      <c r="CD50" s="420" t="s">
        <v>109</v>
      </c>
      <c r="CS50" s="420">
        <f t="shared" si="33"/>
        <v>0</v>
      </c>
    </row>
    <row r="51" spans="1:97" s="420" customFormat="1" x14ac:dyDescent="0.25">
      <c r="A51" s="539"/>
      <c r="B51" s="420" t="s">
        <v>57</v>
      </c>
      <c r="C51" s="420" t="s">
        <v>40</v>
      </c>
      <c r="D51" s="420" t="s">
        <v>498</v>
      </c>
      <c r="E51" s="420" t="s">
        <v>62</v>
      </c>
      <c r="F51" s="420" t="s">
        <v>499</v>
      </c>
      <c r="G51" s="420" t="s">
        <v>59</v>
      </c>
      <c r="H51" s="420" t="s">
        <v>1897</v>
      </c>
      <c r="I51" s="420" t="s">
        <v>703</v>
      </c>
      <c r="S51" s="420">
        <v>0</v>
      </c>
      <c r="T51" s="420">
        <v>0</v>
      </c>
      <c r="U51" s="420">
        <v>0</v>
      </c>
      <c r="V51" s="420">
        <v>0</v>
      </c>
      <c r="W51" s="420">
        <v>0</v>
      </c>
      <c r="X51" s="420">
        <v>0</v>
      </c>
      <c r="Y51" s="420">
        <v>5</v>
      </c>
      <c r="Z51" s="420">
        <v>0</v>
      </c>
      <c r="AA51" s="420">
        <v>0</v>
      </c>
      <c r="AB51" s="420">
        <f t="shared" si="18"/>
        <v>5</v>
      </c>
      <c r="AC51" s="420">
        <v>0</v>
      </c>
      <c r="AD51" s="420">
        <v>0</v>
      </c>
      <c r="AE51" s="420">
        <v>0</v>
      </c>
      <c r="AF51" s="420">
        <v>0</v>
      </c>
      <c r="AG51" s="420">
        <v>0</v>
      </c>
      <c r="AH51" s="420">
        <v>0</v>
      </c>
      <c r="AI51" s="420">
        <v>0</v>
      </c>
      <c r="AJ51" s="420">
        <v>0</v>
      </c>
      <c r="AK51" s="420">
        <v>0</v>
      </c>
      <c r="AL51" s="420">
        <v>0</v>
      </c>
      <c r="AM51" s="420">
        <v>0</v>
      </c>
      <c r="AN51" s="420">
        <v>0</v>
      </c>
      <c r="AO51" s="420">
        <f t="shared" si="34"/>
        <v>0</v>
      </c>
      <c r="BB51" s="420">
        <f t="shared" si="31"/>
        <v>0</v>
      </c>
      <c r="BC51" s="420">
        <v>0</v>
      </c>
      <c r="BD51" s="420">
        <v>0</v>
      </c>
      <c r="BE51" s="420">
        <v>0</v>
      </c>
      <c r="BF51" s="420">
        <v>0</v>
      </c>
      <c r="BG51" s="420">
        <v>0</v>
      </c>
      <c r="BH51" s="420">
        <v>0</v>
      </c>
      <c r="BI51" s="420">
        <v>0</v>
      </c>
      <c r="BJ51" s="420">
        <v>0</v>
      </c>
      <c r="BK51" s="420">
        <v>0</v>
      </c>
      <c r="BL51" s="420">
        <v>0</v>
      </c>
      <c r="BM51" s="420">
        <v>0</v>
      </c>
      <c r="BN51" s="420">
        <v>0</v>
      </c>
      <c r="BO51" s="420">
        <f t="shared" si="32"/>
        <v>0</v>
      </c>
      <c r="BP51" s="420">
        <v>0</v>
      </c>
      <c r="BQ51" s="420">
        <v>0</v>
      </c>
      <c r="BR51" s="420">
        <v>0</v>
      </c>
      <c r="BS51" s="420">
        <v>0</v>
      </c>
      <c r="BT51" s="420">
        <v>0</v>
      </c>
      <c r="BU51" s="420">
        <v>0</v>
      </c>
      <c r="BV51" s="420">
        <v>0</v>
      </c>
      <c r="BW51" s="420">
        <v>0</v>
      </c>
      <c r="BX51" s="420">
        <v>0</v>
      </c>
      <c r="BY51" s="420">
        <v>0</v>
      </c>
      <c r="BZ51" s="420">
        <v>0</v>
      </c>
      <c r="CA51" s="420">
        <v>0</v>
      </c>
      <c r="CB51" s="420">
        <v>0</v>
      </c>
      <c r="CC51" s="421">
        <f t="shared" si="5"/>
        <v>5</v>
      </c>
      <c r="CD51" s="420" t="s">
        <v>109</v>
      </c>
      <c r="CS51" s="420">
        <f t="shared" si="33"/>
        <v>0</v>
      </c>
    </row>
    <row r="52" spans="1:97" s="215" customFormat="1" x14ac:dyDescent="0.25">
      <c r="A52" s="424" t="s">
        <v>1905</v>
      </c>
      <c r="B52" s="215" t="s">
        <v>57</v>
      </c>
      <c r="C52" s="215" t="s">
        <v>40</v>
      </c>
      <c r="D52" s="215" t="s">
        <v>1661</v>
      </c>
      <c r="E52" s="215" t="s">
        <v>62</v>
      </c>
      <c r="F52" s="215" t="s">
        <v>503</v>
      </c>
      <c r="G52" s="215" t="s">
        <v>59</v>
      </c>
      <c r="H52" s="215" t="s">
        <v>1904</v>
      </c>
      <c r="I52" s="215" t="s">
        <v>504</v>
      </c>
      <c r="Y52" s="215">
        <v>125</v>
      </c>
      <c r="AB52" s="215">
        <f t="shared" si="18"/>
        <v>125</v>
      </c>
      <c r="AO52" s="215">
        <f>AO54</f>
        <v>183.80963500000001</v>
      </c>
      <c r="BB52" s="215">
        <f t="shared" si="31"/>
        <v>0</v>
      </c>
      <c r="BO52" s="215">
        <f t="shared" si="32"/>
        <v>0</v>
      </c>
      <c r="CB52" s="215">
        <f>SUM(BP52:CA52)</f>
        <v>0</v>
      </c>
      <c r="CC52" s="425">
        <f t="shared" si="5"/>
        <v>308.80963500000001</v>
      </c>
      <c r="CD52" s="215" t="s">
        <v>109</v>
      </c>
      <c r="CP52" s="215">
        <v>25</v>
      </c>
      <c r="CS52" s="215">
        <f t="shared" si="33"/>
        <v>25</v>
      </c>
    </row>
    <row r="53" spans="1:97" s="215" customFormat="1" x14ac:dyDescent="0.25">
      <c r="A53" s="424"/>
      <c r="B53" s="215" t="s">
        <v>57</v>
      </c>
      <c r="C53" s="215" t="s">
        <v>40</v>
      </c>
      <c r="D53" s="215" t="s">
        <v>1660</v>
      </c>
      <c r="E53" s="215" t="s">
        <v>62</v>
      </c>
      <c r="F53" s="215" t="s">
        <v>503</v>
      </c>
      <c r="G53" s="215" t="s">
        <v>59</v>
      </c>
      <c r="H53" s="215" t="s">
        <v>1904</v>
      </c>
      <c r="I53" s="215" t="s">
        <v>507</v>
      </c>
      <c r="Z53" s="215">
        <v>48</v>
      </c>
      <c r="AB53" s="215">
        <f t="shared" si="18"/>
        <v>48</v>
      </c>
      <c r="AO53" s="215">
        <f t="shared" si="34"/>
        <v>0</v>
      </c>
      <c r="BB53" s="215">
        <f t="shared" si="31"/>
        <v>0</v>
      </c>
      <c r="BO53" s="215">
        <f t="shared" si="32"/>
        <v>0</v>
      </c>
      <c r="CB53" s="215">
        <f>SUM(BP53:CA53)</f>
        <v>0</v>
      </c>
      <c r="CC53" s="425">
        <f t="shared" si="5"/>
        <v>48</v>
      </c>
      <c r="CD53" s="215" t="s">
        <v>109</v>
      </c>
      <c r="CO53" s="215">
        <v>1</v>
      </c>
      <c r="CS53" s="215">
        <f t="shared" si="33"/>
        <v>1</v>
      </c>
    </row>
    <row r="54" spans="1:97" s="420" customFormat="1" x14ac:dyDescent="0.25">
      <c r="A54" s="539" t="s">
        <v>2022</v>
      </c>
      <c r="B54" s="420" t="s">
        <v>54</v>
      </c>
      <c r="C54" s="420" t="s">
        <v>1492</v>
      </c>
      <c r="D54" s="420" t="s">
        <v>110</v>
      </c>
      <c r="E54" s="420" t="s">
        <v>65</v>
      </c>
      <c r="F54" s="420" t="s">
        <v>1835</v>
      </c>
      <c r="G54" s="420" t="s">
        <v>59</v>
      </c>
      <c r="H54" s="484" t="s">
        <v>2023</v>
      </c>
      <c r="I54" s="420" t="s">
        <v>122</v>
      </c>
      <c r="J54" s="420" t="s">
        <v>123</v>
      </c>
      <c r="K54" s="420" t="s">
        <v>59</v>
      </c>
      <c r="L54" s="420" t="s">
        <v>121</v>
      </c>
      <c r="M54" s="420" t="s">
        <v>59</v>
      </c>
      <c r="AE54" s="485">
        <v>183.80963500000001</v>
      </c>
      <c r="AO54" s="485">
        <f t="shared" si="34"/>
        <v>183.80963500000001</v>
      </c>
      <c r="CC54" s="421">
        <f t="shared" si="5"/>
        <v>183.80963500000001</v>
      </c>
    </row>
    <row r="55" spans="1:97" s="420" customFormat="1" x14ac:dyDescent="0.25">
      <c r="A55" s="539"/>
      <c r="B55" s="420" t="s">
        <v>54</v>
      </c>
      <c r="C55" s="420" t="s">
        <v>1492</v>
      </c>
      <c r="D55" s="420" t="s">
        <v>1677</v>
      </c>
      <c r="E55" s="420" t="s">
        <v>65</v>
      </c>
      <c r="F55" s="420" t="s">
        <v>1835</v>
      </c>
      <c r="G55" s="420" t="s">
        <v>59</v>
      </c>
      <c r="H55" s="484" t="s">
        <v>2023</v>
      </c>
      <c r="I55" s="420" t="s">
        <v>664</v>
      </c>
      <c r="J55" s="420" t="s">
        <v>159</v>
      </c>
      <c r="K55" s="420" t="s">
        <v>59</v>
      </c>
      <c r="L55" s="420" t="s">
        <v>160</v>
      </c>
      <c r="M55" s="420" t="s">
        <v>59</v>
      </c>
      <c r="AE55" s="485">
        <v>44.39452</v>
      </c>
      <c r="AO55" s="485">
        <f t="shared" si="34"/>
        <v>44.39452</v>
      </c>
      <c r="CC55" s="421">
        <f t="shared" si="5"/>
        <v>44.39452</v>
      </c>
    </row>
    <row r="56" spans="1:97" s="420" customFormat="1" x14ac:dyDescent="0.25">
      <c r="A56" s="539"/>
      <c r="B56" s="420" t="s">
        <v>54</v>
      </c>
      <c r="C56" s="420" t="s">
        <v>1492</v>
      </c>
      <c r="D56" s="420" t="s">
        <v>1677</v>
      </c>
      <c r="E56" s="420" t="s">
        <v>65</v>
      </c>
      <c r="F56" s="420" t="s">
        <v>1835</v>
      </c>
      <c r="G56" s="420" t="s">
        <v>59</v>
      </c>
      <c r="H56" s="484" t="s">
        <v>2023</v>
      </c>
      <c r="I56" s="420" t="s">
        <v>870</v>
      </c>
      <c r="J56" s="420" t="s">
        <v>870</v>
      </c>
      <c r="K56" s="420" t="s">
        <v>59</v>
      </c>
      <c r="L56" s="420" t="s">
        <v>871</v>
      </c>
      <c r="M56" s="420" t="s">
        <v>59</v>
      </c>
      <c r="AE56" s="485">
        <v>32.434899999999999</v>
      </c>
      <c r="AO56" s="485">
        <f t="shared" si="34"/>
        <v>32.434899999999999</v>
      </c>
      <c r="CC56" s="421">
        <f t="shared" si="5"/>
        <v>32.434899999999999</v>
      </c>
    </row>
    <row r="57" spans="1:97" s="420" customFormat="1" x14ac:dyDescent="0.25">
      <c r="A57" s="539"/>
      <c r="B57" s="420" t="s">
        <v>54</v>
      </c>
      <c r="C57" s="420" t="s">
        <v>1492</v>
      </c>
      <c r="D57" s="420" t="s">
        <v>110</v>
      </c>
      <c r="E57" s="420" t="s">
        <v>65</v>
      </c>
      <c r="F57" s="420" t="s">
        <v>1835</v>
      </c>
      <c r="G57" s="420" t="s">
        <v>59</v>
      </c>
      <c r="H57" s="484" t="s">
        <v>2023</v>
      </c>
      <c r="I57" s="420" t="s">
        <v>663</v>
      </c>
      <c r="J57" s="420" t="s">
        <v>157</v>
      </c>
      <c r="K57" s="420" t="s">
        <v>59</v>
      </c>
      <c r="L57" s="420" t="s">
        <v>142</v>
      </c>
      <c r="M57" s="420" t="s">
        <v>59</v>
      </c>
      <c r="AE57" s="485">
        <v>31.924571428571397</v>
      </c>
      <c r="AO57" s="485">
        <f t="shared" si="34"/>
        <v>31.924571428571397</v>
      </c>
      <c r="CC57" s="421">
        <f t="shared" si="5"/>
        <v>31.924571428571397</v>
      </c>
    </row>
    <row r="58" spans="1:97" s="420" customFormat="1" x14ac:dyDescent="0.25">
      <c r="A58" s="539"/>
      <c r="B58" s="420" t="s">
        <v>54</v>
      </c>
      <c r="C58" s="420" t="s">
        <v>1492</v>
      </c>
      <c r="D58" s="420" t="s">
        <v>110</v>
      </c>
      <c r="E58" s="420" t="s">
        <v>65</v>
      </c>
      <c r="F58" s="420" t="s">
        <v>1835</v>
      </c>
      <c r="G58" s="420" t="s">
        <v>59</v>
      </c>
      <c r="H58" s="484" t="s">
        <v>2023</v>
      </c>
      <c r="I58" s="420" t="s">
        <v>662</v>
      </c>
      <c r="J58" s="420" t="s">
        <v>156</v>
      </c>
      <c r="K58" s="420" t="s">
        <v>59</v>
      </c>
      <c r="L58" s="420" t="s">
        <v>142</v>
      </c>
      <c r="M58" s="420" t="s">
        <v>59</v>
      </c>
      <c r="AE58" s="485">
        <v>31.766669999999998</v>
      </c>
      <c r="AO58" s="485">
        <f t="shared" si="34"/>
        <v>31.766669999999998</v>
      </c>
      <c r="CC58" s="421">
        <f t="shared" si="5"/>
        <v>31.766669999999998</v>
      </c>
    </row>
    <row r="59" spans="1:97" s="420" customFormat="1" x14ac:dyDescent="0.25">
      <c r="A59" s="539"/>
      <c r="B59" s="420" t="s">
        <v>54</v>
      </c>
      <c r="C59" s="420" t="s">
        <v>1492</v>
      </c>
      <c r="D59" s="420" t="s">
        <v>110</v>
      </c>
      <c r="E59" s="420" t="s">
        <v>65</v>
      </c>
      <c r="F59" s="420" t="s">
        <v>1835</v>
      </c>
      <c r="G59" s="420" t="s">
        <v>59</v>
      </c>
      <c r="H59" s="484" t="s">
        <v>2023</v>
      </c>
      <c r="I59" s="420" t="s">
        <v>868</v>
      </c>
      <c r="J59" s="420" t="s">
        <v>869</v>
      </c>
      <c r="K59" s="420" t="s">
        <v>59</v>
      </c>
      <c r="L59" s="420" t="s">
        <v>142</v>
      </c>
      <c r="M59" s="420" t="s">
        <v>59</v>
      </c>
      <c r="AE59" s="485">
        <v>28.64</v>
      </c>
      <c r="AO59" s="485">
        <f t="shared" si="34"/>
        <v>28.64</v>
      </c>
      <c r="CC59" s="421">
        <f t="shared" si="5"/>
        <v>28.64</v>
      </c>
    </row>
    <row r="60" spans="1:97" s="420" customFormat="1" x14ac:dyDescent="0.25">
      <c r="A60" s="539"/>
      <c r="B60" s="420" t="s">
        <v>54</v>
      </c>
      <c r="C60" s="420" t="s">
        <v>1492</v>
      </c>
      <c r="D60" s="420" t="s">
        <v>169</v>
      </c>
      <c r="E60" s="420" t="s">
        <v>65</v>
      </c>
      <c r="F60" s="420" t="s">
        <v>1835</v>
      </c>
      <c r="G60" s="420" t="s">
        <v>59</v>
      </c>
      <c r="H60" s="484" t="s">
        <v>2023</v>
      </c>
      <c r="I60" s="420" t="s">
        <v>671</v>
      </c>
      <c r="J60" s="420" t="s">
        <v>171</v>
      </c>
      <c r="K60" s="420" t="s">
        <v>59</v>
      </c>
      <c r="L60" s="420" t="s">
        <v>172</v>
      </c>
      <c r="M60" s="420" t="s">
        <v>59</v>
      </c>
      <c r="AE60" s="485">
        <v>12</v>
      </c>
      <c r="AO60" s="485">
        <f t="shared" si="34"/>
        <v>12</v>
      </c>
      <c r="CC60" s="421">
        <f t="shared" si="5"/>
        <v>12</v>
      </c>
    </row>
    <row r="61" spans="1:97" s="420" customFormat="1" x14ac:dyDescent="0.25">
      <c r="A61" s="539"/>
      <c r="B61" s="420" t="s">
        <v>54</v>
      </c>
      <c r="C61" s="420" t="s">
        <v>1492</v>
      </c>
      <c r="D61" s="420" t="s">
        <v>1677</v>
      </c>
      <c r="E61" s="420" t="s">
        <v>65</v>
      </c>
      <c r="F61" s="420" t="s">
        <v>1835</v>
      </c>
      <c r="G61" s="420" t="s">
        <v>59</v>
      </c>
      <c r="H61" s="484" t="s">
        <v>2023</v>
      </c>
      <c r="I61" s="420" t="s">
        <v>1960</v>
      </c>
      <c r="J61" s="420" t="s">
        <v>1962</v>
      </c>
      <c r="K61" s="420" t="s">
        <v>59</v>
      </c>
      <c r="M61" s="420" t="s">
        <v>59</v>
      </c>
      <c r="AE61" s="485">
        <v>10.908915</v>
      </c>
      <c r="AO61" s="485">
        <f t="shared" si="34"/>
        <v>10.908915</v>
      </c>
      <c r="CC61" s="421">
        <f t="shared" si="5"/>
        <v>10.908915</v>
      </c>
    </row>
    <row r="62" spans="1:97" s="420" customFormat="1" x14ac:dyDescent="0.25">
      <c r="A62" s="539"/>
      <c r="B62" s="420" t="s">
        <v>54</v>
      </c>
      <c r="C62" s="420" t="s">
        <v>1492</v>
      </c>
      <c r="D62" s="420" t="s">
        <v>179</v>
      </c>
      <c r="E62" s="420" t="s">
        <v>65</v>
      </c>
      <c r="F62" s="420" t="s">
        <v>1835</v>
      </c>
      <c r="G62" s="420" t="s">
        <v>59</v>
      </c>
      <c r="H62" s="484" t="s">
        <v>2023</v>
      </c>
      <c r="I62" s="420" t="s">
        <v>666</v>
      </c>
      <c r="J62" s="420" t="s">
        <v>667</v>
      </c>
      <c r="K62" s="420" t="s">
        <v>59</v>
      </c>
      <c r="L62" s="420" t="s">
        <v>182</v>
      </c>
      <c r="M62" s="420" t="s">
        <v>59</v>
      </c>
      <c r="AE62" s="485">
        <v>10</v>
      </c>
      <c r="AO62" s="485">
        <f t="shared" si="34"/>
        <v>10</v>
      </c>
      <c r="CC62" s="421">
        <f t="shared" si="5"/>
        <v>10</v>
      </c>
    </row>
    <row r="63" spans="1:97" s="420" customFormat="1" x14ac:dyDescent="0.25">
      <c r="A63" s="539"/>
      <c r="B63" s="420" t="s">
        <v>54</v>
      </c>
      <c r="C63" s="420" t="s">
        <v>1492</v>
      </c>
      <c r="D63" s="420" t="s">
        <v>110</v>
      </c>
      <c r="E63" s="420" t="s">
        <v>65</v>
      </c>
      <c r="F63" s="420" t="s">
        <v>1835</v>
      </c>
      <c r="G63" s="420" t="s">
        <v>59</v>
      </c>
      <c r="H63" s="484" t="s">
        <v>2023</v>
      </c>
      <c r="I63" s="420" t="s">
        <v>137</v>
      </c>
      <c r="J63" s="420" t="s">
        <v>138</v>
      </c>
      <c r="K63" s="420" t="s">
        <v>59</v>
      </c>
      <c r="L63" s="420" t="s">
        <v>139</v>
      </c>
      <c r="M63" s="420" t="s">
        <v>59</v>
      </c>
      <c r="AE63" s="485">
        <v>8.4492000000000012</v>
      </c>
      <c r="AO63" s="485">
        <f t="shared" si="34"/>
        <v>8.4492000000000012</v>
      </c>
      <c r="CC63" s="421">
        <f t="shared" si="5"/>
        <v>8.4492000000000012</v>
      </c>
    </row>
    <row r="64" spans="1:97" s="420" customFormat="1" x14ac:dyDescent="0.25">
      <c r="A64" s="539"/>
      <c r="B64" s="420" t="s">
        <v>54</v>
      </c>
      <c r="C64" s="420" t="s">
        <v>1492</v>
      </c>
      <c r="D64" s="420" t="s">
        <v>110</v>
      </c>
      <c r="E64" s="420" t="s">
        <v>65</v>
      </c>
      <c r="F64" s="420" t="s">
        <v>1835</v>
      </c>
      <c r="G64" s="420" t="s">
        <v>59</v>
      </c>
      <c r="H64" s="484" t="s">
        <v>2023</v>
      </c>
      <c r="I64" s="420" t="s">
        <v>659</v>
      </c>
      <c r="J64" s="420" t="s">
        <v>150</v>
      </c>
      <c r="K64" s="420" t="s">
        <v>59</v>
      </c>
      <c r="L64" s="420" t="s">
        <v>146</v>
      </c>
      <c r="M64" s="420" t="s">
        <v>59</v>
      </c>
      <c r="AE64" s="485">
        <v>5.6</v>
      </c>
      <c r="AO64" s="485">
        <f t="shared" si="34"/>
        <v>5.6</v>
      </c>
      <c r="CC64" s="421">
        <f t="shared" si="5"/>
        <v>5.6</v>
      </c>
    </row>
    <row r="65" spans="1:81" s="420" customFormat="1" x14ac:dyDescent="0.25">
      <c r="A65" s="539"/>
      <c r="B65" s="420" t="s">
        <v>54</v>
      </c>
      <c r="C65" s="420" t="s">
        <v>1492</v>
      </c>
      <c r="D65" s="420" t="s">
        <v>110</v>
      </c>
      <c r="E65" s="420" t="s">
        <v>65</v>
      </c>
      <c r="F65" s="420" t="s">
        <v>1835</v>
      </c>
      <c r="G65" s="420" t="s">
        <v>59</v>
      </c>
      <c r="H65" s="484" t="s">
        <v>2023</v>
      </c>
      <c r="I65" s="420" t="s">
        <v>656</v>
      </c>
      <c r="J65" s="420" t="s">
        <v>147</v>
      </c>
      <c r="K65" s="420" t="s">
        <v>59</v>
      </c>
      <c r="L65" s="420" t="s">
        <v>146</v>
      </c>
      <c r="M65" s="420" t="s">
        <v>59</v>
      </c>
      <c r="AE65" s="485">
        <v>4.8520000000000003</v>
      </c>
      <c r="AO65" s="485">
        <f t="shared" si="34"/>
        <v>4.8520000000000003</v>
      </c>
      <c r="CC65" s="421">
        <f t="shared" si="5"/>
        <v>4.8520000000000003</v>
      </c>
    </row>
    <row r="66" spans="1:81" s="420" customFormat="1" x14ac:dyDescent="0.25">
      <c r="A66" s="539"/>
      <c r="B66" s="420" t="s">
        <v>54</v>
      </c>
      <c r="C66" s="420" t="s">
        <v>1492</v>
      </c>
      <c r="D66" s="420" t="s">
        <v>110</v>
      </c>
      <c r="E66" s="420" t="s">
        <v>65</v>
      </c>
      <c r="F66" s="420" t="s">
        <v>1835</v>
      </c>
      <c r="G66" s="420" t="s">
        <v>59</v>
      </c>
      <c r="H66" s="484" t="s">
        <v>2023</v>
      </c>
      <c r="I66" s="420" t="s">
        <v>658</v>
      </c>
      <c r="J66" s="420" t="s">
        <v>149</v>
      </c>
      <c r="K66" s="420" t="s">
        <v>59</v>
      </c>
      <c r="L66" s="420" t="s">
        <v>146</v>
      </c>
      <c r="M66" s="420" t="s">
        <v>59</v>
      </c>
      <c r="AE66" s="485">
        <v>2.4</v>
      </c>
      <c r="AO66" s="485">
        <f t="shared" si="34"/>
        <v>2.4</v>
      </c>
      <c r="CC66" s="421">
        <f t="shared" si="5"/>
        <v>2.4</v>
      </c>
    </row>
    <row r="67" spans="1:81" s="420" customFormat="1" x14ac:dyDescent="0.25">
      <c r="A67" s="539"/>
      <c r="B67" s="420" t="s">
        <v>54</v>
      </c>
      <c r="C67" s="420" t="s">
        <v>1492</v>
      </c>
      <c r="D67" s="420" t="s">
        <v>1677</v>
      </c>
      <c r="E67" s="420" t="s">
        <v>65</v>
      </c>
      <c r="F67" s="420" t="s">
        <v>1835</v>
      </c>
      <c r="G67" s="420" t="s">
        <v>59</v>
      </c>
      <c r="H67" s="484" t="s">
        <v>2023</v>
      </c>
      <c r="I67" s="420" t="s">
        <v>1959</v>
      </c>
      <c r="J67" s="420" t="s">
        <v>1961</v>
      </c>
      <c r="K67" s="420" t="s">
        <v>59</v>
      </c>
      <c r="M67" s="420" t="s">
        <v>59</v>
      </c>
      <c r="AE67" s="485">
        <v>2</v>
      </c>
      <c r="AO67" s="485">
        <f t="shared" si="34"/>
        <v>2</v>
      </c>
      <c r="CC67" s="421">
        <f t="shared" si="5"/>
        <v>2</v>
      </c>
    </row>
    <row r="68" spans="1:81" s="420" customFormat="1" x14ac:dyDescent="0.25">
      <c r="A68" s="539"/>
      <c r="B68" s="420" t="s">
        <v>54</v>
      </c>
      <c r="C68" s="420" t="s">
        <v>1492</v>
      </c>
      <c r="D68" s="420" t="s">
        <v>103</v>
      </c>
      <c r="E68" s="420" t="s">
        <v>65</v>
      </c>
      <c r="F68" s="420" t="s">
        <v>1835</v>
      </c>
      <c r="G68" s="420" t="s">
        <v>59</v>
      </c>
      <c r="H68" s="484" t="s">
        <v>2023</v>
      </c>
      <c r="I68" s="420" t="s">
        <v>653</v>
      </c>
      <c r="J68" s="420" t="s">
        <v>105</v>
      </c>
      <c r="K68" s="420" t="s">
        <v>59</v>
      </c>
      <c r="L68" s="420" t="s">
        <v>106</v>
      </c>
      <c r="M68" s="420" t="s">
        <v>59</v>
      </c>
      <c r="AE68" s="485">
        <v>2</v>
      </c>
      <c r="AO68" s="485">
        <f t="shared" si="34"/>
        <v>2</v>
      </c>
      <c r="CC68" s="421">
        <f t="shared" ref="CC68:CC69" si="35">SUM(CB68,BO68,BB68,AO68,AB68)</f>
        <v>2</v>
      </c>
    </row>
    <row r="69" spans="1:81" s="420" customFormat="1" x14ac:dyDescent="0.25">
      <c r="A69" s="539"/>
      <c r="B69" s="420" t="s">
        <v>54</v>
      </c>
      <c r="C69" s="420" t="s">
        <v>1492</v>
      </c>
      <c r="D69" s="420" t="s">
        <v>179</v>
      </c>
      <c r="E69" s="420" t="s">
        <v>65</v>
      </c>
      <c r="F69" s="420" t="s">
        <v>1835</v>
      </c>
      <c r="G69" s="420" t="s">
        <v>59</v>
      </c>
      <c r="H69" s="484" t="s">
        <v>2023</v>
      </c>
      <c r="I69" s="420" t="s">
        <v>872</v>
      </c>
      <c r="J69" s="420" t="s">
        <v>873</v>
      </c>
      <c r="K69" s="420" t="s">
        <v>59</v>
      </c>
      <c r="L69" s="420" t="s">
        <v>181</v>
      </c>
      <c r="M69" s="420" t="s">
        <v>59</v>
      </c>
      <c r="AE69" s="485">
        <v>1.736</v>
      </c>
      <c r="AO69" s="485">
        <f t="shared" si="34"/>
        <v>1.736</v>
      </c>
      <c r="CC69" s="421">
        <f t="shared" si="35"/>
        <v>1.736</v>
      </c>
    </row>
  </sheetData>
  <autoFilter ref="A3:XAQ3"/>
  <mergeCells count="10">
    <mergeCell ref="A54:A69"/>
    <mergeCell ref="A4:A5"/>
    <mergeCell ref="A6:A8"/>
    <mergeCell ref="A22:A23"/>
    <mergeCell ref="A24:A30"/>
    <mergeCell ref="A46:A51"/>
    <mergeCell ref="A35:A45"/>
    <mergeCell ref="A31:A34"/>
    <mergeCell ref="A9:A16"/>
    <mergeCell ref="A17:A21"/>
  </mergeCells>
  <dataValidations count="4">
    <dataValidation type="list" allowBlank="1" showInputMessage="1" showErrorMessage="1" sqref="FT4:FT5 FK4:FK5 FT8 FT17:FT18">
      <formula1>#REF!</formula1>
    </dataValidation>
    <dataValidation type="list" allowBlank="1" showInputMessage="1" showErrorMessage="1" sqref="B4:B23 B46:B69">
      <formula1>"Geração,Transmissão,Distribuição,Holding"</formula1>
    </dataValidation>
    <dataValidation type="list" allowBlank="1" showInputMessage="1" showErrorMessage="1" sqref="FM4:FM5 FM9:FM10 FM16">
      <formula1>"Recorrente,Não Recorrente"</formula1>
    </dataValidation>
    <dataValidation type="list" allowBlank="1" showInputMessage="1" showErrorMessage="1" sqref="FC4:FD5 EV4:EV5 FL4:FL5 FD6:FD18 FC9:FC11 EV9:EV11 FL9:FL11 EV22:EV23 FC22:FC23">
      <formula1>"Aplicável,Não aplicável"</formula1>
    </dataValidation>
  </dataValidations>
  <pageMargins left="0.511811024" right="0.511811024" top="0.78740157499999996" bottom="0.78740157499999996" header="0.31496062000000002" footer="0.31496062000000002"/>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[3]Processos!#REF!</xm:f>
          </x14:formula1>
          <xm:sqref>FT9:FT10 FK9:FK10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G34"/>
  <sheetViews>
    <sheetView showGridLines="0" topLeftCell="A16" workbookViewId="0">
      <selection activeCell="F28" sqref="F28"/>
    </sheetView>
  </sheetViews>
  <sheetFormatPr defaultRowHeight="15" x14ac:dyDescent="0.25"/>
  <cols>
    <col min="1" max="1" width="53.140625" customWidth="1"/>
    <col min="2" max="6" width="18.140625" bestFit="1" customWidth="1"/>
    <col min="7" max="7" width="21.85546875" bestFit="1" customWidth="1"/>
  </cols>
  <sheetData>
    <row r="11" spans="1:7" x14ac:dyDescent="0.25">
      <c r="A11" s="341" t="s">
        <v>1626</v>
      </c>
      <c r="B11" t="s">
        <v>1628</v>
      </c>
      <c r="C11" t="s">
        <v>1627</v>
      </c>
      <c r="D11" t="s">
        <v>1629</v>
      </c>
      <c r="E11" t="s">
        <v>1630</v>
      </c>
      <c r="F11" t="s">
        <v>1631</v>
      </c>
      <c r="G11" t="s">
        <v>1632</v>
      </c>
    </row>
    <row r="12" spans="1:7" x14ac:dyDescent="0.25">
      <c r="A12" s="342" t="s">
        <v>54</v>
      </c>
      <c r="B12" s="119">
        <v>2256.5879623186884</v>
      </c>
      <c r="C12" s="119">
        <v>2385.3743325702662</v>
      </c>
      <c r="D12" s="119">
        <v>2628.3198399761573</v>
      </c>
      <c r="E12" s="119">
        <v>2700.5</v>
      </c>
      <c r="F12" s="119">
        <v>2311.8755151348901</v>
      </c>
      <c r="G12" s="119">
        <v>12282.657650000001</v>
      </c>
    </row>
    <row r="13" spans="1:7" x14ac:dyDescent="0.25">
      <c r="A13" s="80" t="s">
        <v>29</v>
      </c>
      <c r="B13" s="119">
        <v>585.97096002384296</v>
      </c>
      <c r="C13" s="119">
        <v>283.39999999999986</v>
      </c>
      <c r="D13" s="119">
        <v>659.3998399761573</v>
      </c>
      <c r="E13" s="119">
        <v>461.5</v>
      </c>
      <c r="F13" s="119">
        <v>645.87551513489007</v>
      </c>
      <c r="G13" s="119">
        <v>2636.1463151348903</v>
      </c>
    </row>
    <row r="14" spans="1:7" x14ac:dyDescent="0.25">
      <c r="A14" s="80" t="s">
        <v>30</v>
      </c>
      <c r="B14" s="119">
        <v>157</v>
      </c>
      <c r="C14" s="119">
        <v>10.000000000000002</v>
      </c>
      <c r="D14" s="119">
        <v>0</v>
      </c>
      <c r="E14" s="119">
        <v>0</v>
      </c>
      <c r="F14" s="119">
        <v>0</v>
      </c>
      <c r="G14" s="119">
        <v>167</v>
      </c>
    </row>
    <row r="15" spans="1:7" x14ac:dyDescent="0.25">
      <c r="A15" s="80" t="s">
        <v>31</v>
      </c>
      <c r="B15" s="119">
        <v>351.9</v>
      </c>
      <c r="C15" s="119">
        <v>58.6</v>
      </c>
      <c r="D15" s="119">
        <v>214.7</v>
      </c>
      <c r="E15" s="119">
        <v>51.5</v>
      </c>
      <c r="F15" s="119">
        <v>278.5</v>
      </c>
      <c r="G15" s="119">
        <v>955.2</v>
      </c>
    </row>
    <row r="16" spans="1:7" x14ac:dyDescent="0.25">
      <c r="A16" s="80" t="s">
        <v>32</v>
      </c>
      <c r="B16" s="119">
        <v>476</v>
      </c>
      <c r="C16" s="119">
        <v>1613.0843323699953</v>
      </c>
      <c r="D16" s="119">
        <v>1152</v>
      </c>
      <c r="E16" s="119">
        <v>1689.5</v>
      </c>
      <c r="F16" s="119">
        <v>1190.5</v>
      </c>
      <c r="G16" s="119">
        <v>6121.0843323699946</v>
      </c>
    </row>
    <row r="17" spans="1:7" x14ac:dyDescent="0.25">
      <c r="A17" s="80" t="s">
        <v>33</v>
      </c>
      <c r="B17" s="119">
        <v>102.5</v>
      </c>
      <c r="C17" s="119">
        <v>0</v>
      </c>
      <c r="D17" s="119">
        <v>0</v>
      </c>
      <c r="E17" s="119">
        <v>0</v>
      </c>
      <c r="F17" s="119">
        <v>0</v>
      </c>
      <c r="G17" s="119">
        <v>102.5</v>
      </c>
    </row>
    <row r="18" spans="1:7" x14ac:dyDescent="0.25">
      <c r="A18" s="80" t="s">
        <v>1492</v>
      </c>
      <c r="B18" s="119">
        <v>583.21700229484532</v>
      </c>
      <c r="C18" s="119">
        <v>420.29000020027132</v>
      </c>
      <c r="D18" s="119">
        <v>602.22</v>
      </c>
      <c r="E18" s="119">
        <v>498</v>
      </c>
      <c r="F18" s="119">
        <v>197</v>
      </c>
      <c r="G18" s="119">
        <v>2300.7270024951167</v>
      </c>
    </row>
    <row r="19" spans="1:7" x14ac:dyDescent="0.25">
      <c r="A19" s="342" t="s">
        <v>63</v>
      </c>
      <c r="B19" s="119">
        <v>4494.0944475144588</v>
      </c>
      <c r="C19" s="119">
        <v>2441.6929174855413</v>
      </c>
      <c r="D19" s="119">
        <v>2338.4936449999996</v>
      </c>
      <c r="E19" s="119">
        <v>4641.2189899999994</v>
      </c>
      <c r="F19" s="119">
        <v>333.5</v>
      </c>
      <c r="G19" s="119">
        <v>14249</v>
      </c>
    </row>
    <row r="20" spans="1:7" x14ac:dyDescent="0.25">
      <c r="A20" s="80" t="s">
        <v>35</v>
      </c>
      <c r="B20" s="119">
        <v>749.53983000000017</v>
      </c>
      <c r="C20" s="119">
        <v>0</v>
      </c>
      <c r="D20" s="119">
        <v>204.46016999999981</v>
      </c>
      <c r="E20" s="119">
        <v>930.5</v>
      </c>
      <c r="F20" s="119">
        <v>26</v>
      </c>
      <c r="G20" s="119">
        <v>1910.5</v>
      </c>
    </row>
    <row r="21" spans="1:7" x14ac:dyDescent="0.25">
      <c r="A21" s="80" t="s">
        <v>36</v>
      </c>
      <c r="B21" s="119">
        <v>448.83333249511816</v>
      </c>
      <c r="C21" s="119">
        <v>142.21934999999999</v>
      </c>
      <c r="D21" s="119">
        <v>0</v>
      </c>
      <c r="E21" s="119">
        <v>0</v>
      </c>
      <c r="F21" s="119">
        <v>0</v>
      </c>
      <c r="G21" s="119">
        <v>591.05268249511812</v>
      </c>
    </row>
    <row r="22" spans="1:7" x14ac:dyDescent="0.25">
      <c r="A22" s="80" t="s">
        <v>37</v>
      </c>
      <c r="B22" s="119">
        <v>55</v>
      </c>
      <c r="C22" s="119">
        <v>415</v>
      </c>
      <c r="D22" s="119">
        <v>209</v>
      </c>
      <c r="E22" s="119">
        <v>55</v>
      </c>
      <c r="F22" s="119">
        <v>209.5</v>
      </c>
      <c r="G22" s="119">
        <v>943.5</v>
      </c>
    </row>
    <row r="23" spans="1:7" x14ac:dyDescent="0.25">
      <c r="A23" s="80" t="s">
        <v>38</v>
      </c>
      <c r="B23" s="119">
        <v>298</v>
      </c>
      <c r="C23" s="119">
        <v>97.797317504882813</v>
      </c>
      <c r="D23" s="119">
        <v>98</v>
      </c>
      <c r="E23" s="119">
        <v>98</v>
      </c>
      <c r="F23" s="119">
        <v>98</v>
      </c>
      <c r="G23" s="119">
        <v>689.79731750488281</v>
      </c>
    </row>
    <row r="24" spans="1:7" x14ac:dyDescent="0.25">
      <c r="A24" s="80" t="s">
        <v>39</v>
      </c>
      <c r="B24" s="119">
        <v>1618.44</v>
      </c>
      <c r="C24" s="119">
        <v>0</v>
      </c>
      <c r="D24" s="119">
        <v>1050</v>
      </c>
      <c r="E24" s="119">
        <v>1008</v>
      </c>
      <c r="F24" s="119">
        <v>0</v>
      </c>
      <c r="G24" s="119">
        <v>3676.44</v>
      </c>
    </row>
    <row r="25" spans="1:7" x14ac:dyDescent="0.25">
      <c r="A25" s="80" t="s">
        <v>1493</v>
      </c>
      <c r="B25" s="119">
        <v>1324.2812850193402</v>
      </c>
      <c r="C25" s="119">
        <v>1786.6762499806587</v>
      </c>
      <c r="D25" s="119">
        <v>777.03347499999984</v>
      </c>
      <c r="E25" s="119">
        <v>2549.7189899999998</v>
      </c>
      <c r="F25" s="119">
        <v>0</v>
      </c>
      <c r="G25" s="119">
        <v>6437.7099999999991</v>
      </c>
    </row>
    <row r="26" spans="1:7" x14ac:dyDescent="0.25">
      <c r="A26" s="342" t="s">
        <v>57</v>
      </c>
      <c r="B26" s="119">
        <v>89451.144437086536</v>
      </c>
      <c r="C26" s="119">
        <v>69957.157313967866</v>
      </c>
      <c r="D26" s="119">
        <v>65279.377571619341</v>
      </c>
      <c r="E26" s="119">
        <v>52102.574358179481</v>
      </c>
      <c r="F26" s="119">
        <v>50814.725319137768</v>
      </c>
      <c r="G26" s="119">
        <v>327604.97899999097</v>
      </c>
    </row>
    <row r="27" spans="1:7" x14ac:dyDescent="0.25">
      <c r="A27" s="80" t="s">
        <v>40</v>
      </c>
      <c r="B27" s="119">
        <v>2667.9163800000001</v>
      </c>
      <c r="C27" s="119">
        <v>1565.483619976158</v>
      </c>
      <c r="D27" s="119">
        <v>3243</v>
      </c>
      <c r="E27" s="119">
        <v>3733</v>
      </c>
      <c r="F27" s="119">
        <v>2471</v>
      </c>
      <c r="G27" s="119">
        <v>13680.399999976158</v>
      </c>
    </row>
    <row r="28" spans="1:7" x14ac:dyDescent="0.25">
      <c r="A28" s="80" t="s">
        <v>41</v>
      </c>
      <c r="B28" s="119">
        <v>9677.8479970865246</v>
      </c>
      <c r="C28" s="119">
        <v>3206.8986121711728</v>
      </c>
      <c r="D28" s="119">
        <v>9962.7250716193466</v>
      </c>
      <c r="E28" s="119">
        <v>5683.8053581794766</v>
      </c>
      <c r="F28" s="119">
        <v>2684.54031913777</v>
      </c>
      <c r="G28" s="119">
        <v>31215.81735819429</v>
      </c>
    </row>
    <row r="29" spans="1:7" x14ac:dyDescent="0.25">
      <c r="A29" s="80" t="s">
        <v>42</v>
      </c>
      <c r="B29" s="119">
        <v>3511.3220000000001</v>
      </c>
      <c r="C29" s="119">
        <v>3934.0860000000002</v>
      </c>
      <c r="D29" s="119">
        <v>5997.875</v>
      </c>
      <c r="E29" s="119">
        <v>6466.2689999999993</v>
      </c>
      <c r="F29" s="119">
        <v>8767.784999999998</v>
      </c>
      <c r="G29" s="119">
        <v>28677.337000000003</v>
      </c>
    </row>
    <row r="30" spans="1:7" x14ac:dyDescent="0.25">
      <c r="A30" s="80" t="s">
        <v>43</v>
      </c>
      <c r="B30" s="119">
        <v>15480</v>
      </c>
      <c r="C30" s="119">
        <v>4684</v>
      </c>
      <c r="D30" s="119">
        <v>2220</v>
      </c>
      <c r="E30" s="119">
        <v>340</v>
      </c>
      <c r="F30" s="119">
        <v>2736</v>
      </c>
      <c r="G30" s="119">
        <v>25460</v>
      </c>
    </row>
    <row r="31" spans="1:7" x14ac:dyDescent="0.25">
      <c r="A31" s="80" t="s">
        <v>44</v>
      </c>
      <c r="B31" s="119">
        <v>53157.658060000009</v>
      </c>
      <c r="C31" s="119">
        <v>56476.689081820536</v>
      </c>
      <c r="D31" s="119">
        <v>40873.777499999997</v>
      </c>
      <c r="E31" s="119">
        <v>35529.5</v>
      </c>
      <c r="F31" s="119">
        <v>33985.4</v>
      </c>
      <c r="G31" s="119">
        <v>220023.02464182052</v>
      </c>
    </row>
    <row r="32" spans="1:7" x14ac:dyDescent="0.25">
      <c r="A32" s="80" t="s">
        <v>45</v>
      </c>
      <c r="B32" s="119">
        <v>4956.3999999999996</v>
      </c>
      <c r="C32" s="119">
        <v>90</v>
      </c>
      <c r="D32" s="119">
        <v>2982</v>
      </c>
      <c r="E32" s="119">
        <v>350</v>
      </c>
      <c r="F32" s="119">
        <v>170</v>
      </c>
      <c r="G32" s="119">
        <v>8548.4</v>
      </c>
    </row>
    <row r="33" spans="1:7" x14ac:dyDescent="0.25">
      <c r="A33" s="342" t="s">
        <v>406</v>
      </c>
      <c r="B33" s="119">
        <v>90</v>
      </c>
      <c r="C33" s="119">
        <v>310.00000000000023</v>
      </c>
      <c r="D33" s="119">
        <v>165</v>
      </c>
      <c r="E33" s="119">
        <v>962</v>
      </c>
      <c r="F33" s="119">
        <v>1062</v>
      </c>
      <c r="G33" s="119">
        <v>2589</v>
      </c>
    </row>
    <row r="34" spans="1:7" x14ac:dyDescent="0.25">
      <c r="A34" s="342" t="s">
        <v>456</v>
      </c>
      <c r="B34" s="119">
        <v>96291.826846919677</v>
      </c>
      <c r="C34" s="119">
        <v>75094.22456402368</v>
      </c>
      <c r="D34" s="119">
        <v>70411.191056595504</v>
      </c>
      <c r="E34" s="119">
        <v>60406.293348179475</v>
      </c>
      <c r="F34" s="119">
        <v>54522.100834272656</v>
      </c>
      <c r="G34" s="119">
        <v>356725.63664999098</v>
      </c>
    </row>
  </sheetData>
  <pageMargins left="0.511811024" right="0.511811024" top="0.78740157499999996" bottom="0.78740157499999996" header="0.31496062000000002" footer="0.31496062000000002"/>
  <drawing r:id="rId2"/>
  <extLst>
    <ext xmlns:x14="http://schemas.microsoft.com/office/spreadsheetml/2009/9/main" uri="{A8765BA9-456A-4dab-B4F3-ACF838C121DE}">
      <x14:slicerList>
        <x14:slicer r:id="rId3"/>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8"/>
  <sheetViews>
    <sheetView workbookViewId="0"/>
  </sheetViews>
  <sheetFormatPr defaultRowHeight="15" x14ac:dyDescent="0.25"/>
  <cols>
    <col min="1" max="1" width="4" customWidth="1"/>
    <col min="2" max="2" width="31.28515625" customWidth="1"/>
    <col min="3" max="3" width="107.140625" customWidth="1"/>
  </cols>
  <sheetData>
    <row r="2" spans="2:3" ht="18" x14ac:dyDescent="0.25">
      <c r="B2" s="174" t="s">
        <v>1428</v>
      </c>
    </row>
    <row r="3" spans="2:3" ht="5.25" customHeight="1" x14ac:dyDescent="0.25">
      <c r="B3" s="174"/>
    </row>
    <row r="4" spans="2:3" ht="28.5" customHeight="1" x14ac:dyDescent="0.25">
      <c r="B4" s="548" t="s">
        <v>1429</v>
      </c>
      <c r="C4" s="548"/>
    </row>
    <row r="5" spans="2:3" ht="5.25" customHeight="1" x14ac:dyDescent="0.25">
      <c r="B5" s="175"/>
      <c r="C5" s="175"/>
    </row>
    <row r="6" spans="2:3" ht="20.25" customHeight="1" x14ac:dyDescent="0.25">
      <c r="B6" s="176" t="s">
        <v>1430</v>
      </c>
      <c r="C6" s="176" t="s">
        <v>1431</v>
      </c>
    </row>
    <row r="7" spans="2:3" ht="114.75" x14ac:dyDescent="0.25">
      <c r="B7" s="177" t="s">
        <v>1432</v>
      </c>
      <c r="C7" s="178" t="s">
        <v>1433</v>
      </c>
    </row>
    <row r="8" spans="2:3" ht="114.75" x14ac:dyDescent="0.25">
      <c r="B8" s="177" t="s">
        <v>1434</v>
      </c>
      <c r="C8" s="178" t="s">
        <v>1435</v>
      </c>
    </row>
    <row r="9" spans="2:3" ht="25.5" x14ac:dyDescent="0.25">
      <c r="B9" s="177" t="s">
        <v>1436</v>
      </c>
      <c r="C9" s="179" t="s">
        <v>1437</v>
      </c>
    </row>
    <row r="10" spans="2:3" ht="63.75" x14ac:dyDescent="0.25">
      <c r="B10" s="177" t="s">
        <v>1438</v>
      </c>
      <c r="C10" s="178" t="s">
        <v>1439</v>
      </c>
    </row>
    <row r="11" spans="2:3" ht="51" x14ac:dyDescent="0.25">
      <c r="B11" s="177" t="s">
        <v>1440</v>
      </c>
      <c r="C11" s="178" t="s">
        <v>1441</v>
      </c>
    </row>
    <row r="12" spans="2:3" ht="51" x14ac:dyDescent="0.25">
      <c r="B12" s="177" t="s">
        <v>1442</v>
      </c>
      <c r="C12" s="178" t="s">
        <v>1443</v>
      </c>
    </row>
    <row r="52" spans="2:2" x14ac:dyDescent="0.25">
      <c r="B52" s="9">
        <v>43101</v>
      </c>
    </row>
    <row r="53" spans="2:2" x14ac:dyDescent="0.25">
      <c r="B53" s="9">
        <v>43132</v>
      </c>
    </row>
    <row r="54" spans="2:2" x14ac:dyDescent="0.25">
      <c r="B54" s="9">
        <v>43160</v>
      </c>
    </row>
    <row r="55" spans="2:2" x14ac:dyDescent="0.25">
      <c r="B55" s="9">
        <v>43191</v>
      </c>
    </row>
    <row r="56" spans="2:2" x14ac:dyDescent="0.25">
      <c r="B56" s="9">
        <v>43221</v>
      </c>
    </row>
    <row r="57" spans="2:2" x14ac:dyDescent="0.25">
      <c r="B57" s="9">
        <v>43252</v>
      </c>
    </row>
    <row r="58" spans="2:2" x14ac:dyDescent="0.25">
      <c r="B58" s="9">
        <v>43282</v>
      </c>
    </row>
    <row r="59" spans="2:2" x14ac:dyDescent="0.25">
      <c r="B59" s="9">
        <v>43313</v>
      </c>
    </row>
    <row r="60" spans="2:2" x14ac:dyDescent="0.25">
      <c r="B60" s="9">
        <v>43344</v>
      </c>
    </row>
    <row r="61" spans="2:2" x14ac:dyDescent="0.25">
      <c r="B61" s="9">
        <v>43374</v>
      </c>
    </row>
    <row r="62" spans="2:2" x14ac:dyDescent="0.25">
      <c r="B62" s="9">
        <v>43405</v>
      </c>
    </row>
    <row r="63" spans="2:2" x14ac:dyDescent="0.25">
      <c r="B63" s="9">
        <v>43435</v>
      </c>
    </row>
    <row r="64" spans="2:2" x14ac:dyDescent="0.25">
      <c r="B64" s="9">
        <v>43466</v>
      </c>
    </row>
    <row r="65" spans="2:2" x14ac:dyDescent="0.25">
      <c r="B65" s="9">
        <v>43497</v>
      </c>
    </row>
    <row r="66" spans="2:2" x14ac:dyDescent="0.25">
      <c r="B66" s="9">
        <v>43525</v>
      </c>
    </row>
    <row r="67" spans="2:2" x14ac:dyDescent="0.25">
      <c r="B67" s="9">
        <v>43556</v>
      </c>
    </row>
    <row r="68" spans="2:2" x14ac:dyDescent="0.25">
      <c r="B68" s="9">
        <v>43586</v>
      </c>
    </row>
    <row r="69" spans="2:2" x14ac:dyDescent="0.25">
      <c r="B69" s="9">
        <v>43617</v>
      </c>
    </row>
    <row r="70" spans="2:2" x14ac:dyDescent="0.25">
      <c r="B70" s="9">
        <v>43647</v>
      </c>
    </row>
    <row r="71" spans="2:2" x14ac:dyDescent="0.25">
      <c r="B71" s="9">
        <v>43678</v>
      </c>
    </row>
    <row r="72" spans="2:2" x14ac:dyDescent="0.25">
      <c r="B72" s="9">
        <v>43709</v>
      </c>
    </row>
    <row r="73" spans="2:2" x14ac:dyDescent="0.25">
      <c r="B73" s="9">
        <v>43739</v>
      </c>
    </row>
    <row r="74" spans="2:2" x14ac:dyDescent="0.25">
      <c r="B74" s="9">
        <v>43770</v>
      </c>
    </row>
    <row r="75" spans="2:2" x14ac:dyDescent="0.25">
      <c r="B75" s="9">
        <v>43800</v>
      </c>
    </row>
    <row r="76" spans="2:2" x14ac:dyDescent="0.25">
      <c r="B76" s="9">
        <v>43831</v>
      </c>
    </row>
    <row r="77" spans="2:2" x14ac:dyDescent="0.25">
      <c r="B77" s="9">
        <v>43862</v>
      </c>
    </row>
    <row r="78" spans="2:2" x14ac:dyDescent="0.25">
      <c r="B78" s="9">
        <v>43891</v>
      </c>
    </row>
    <row r="79" spans="2:2" x14ac:dyDescent="0.25">
      <c r="B79" s="9">
        <v>43922</v>
      </c>
    </row>
    <row r="80" spans="2:2" x14ac:dyDescent="0.25">
      <c r="B80" s="9">
        <v>43952</v>
      </c>
    </row>
    <row r="81" spans="2:2" x14ac:dyDescent="0.25">
      <c r="B81" s="9">
        <v>43983</v>
      </c>
    </row>
    <row r="82" spans="2:2" x14ac:dyDescent="0.25">
      <c r="B82" s="9">
        <v>44013</v>
      </c>
    </row>
    <row r="83" spans="2:2" x14ac:dyDescent="0.25">
      <c r="B83" s="9">
        <v>44044</v>
      </c>
    </row>
    <row r="84" spans="2:2" x14ac:dyDescent="0.25">
      <c r="B84" s="9">
        <v>44075</v>
      </c>
    </row>
    <row r="85" spans="2:2" x14ac:dyDescent="0.25">
      <c r="B85" s="9">
        <v>44105</v>
      </c>
    </row>
    <row r="86" spans="2:2" x14ac:dyDescent="0.25">
      <c r="B86" s="9">
        <v>44136</v>
      </c>
    </row>
    <row r="87" spans="2:2" x14ac:dyDescent="0.25">
      <c r="B87" s="9">
        <v>44166</v>
      </c>
    </row>
    <row r="88" spans="2:2" x14ac:dyDescent="0.25">
      <c r="B88" s="9">
        <v>44197</v>
      </c>
    </row>
    <row r="89" spans="2:2" x14ac:dyDescent="0.25">
      <c r="B89" s="9">
        <v>44228</v>
      </c>
    </row>
    <row r="90" spans="2:2" x14ac:dyDescent="0.25">
      <c r="B90" s="9">
        <v>44256</v>
      </c>
    </row>
    <row r="91" spans="2:2" x14ac:dyDescent="0.25">
      <c r="B91" s="9">
        <v>44287</v>
      </c>
    </row>
    <row r="92" spans="2:2" x14ac:dyDescent="0.25">
      <c r="B92" s="9">
        <v>44317</v>
      </c>
    </row>
    <row r="93" spans="2:2" x14ac:dyDescent="0.25">
      <c r="B93" s="9">
        <v>44348</v>
      </c>
    </row>
    <row r="94" spans="2:2" x14ac:dyDescent="0.25">
      <c r="B94" s="9">
        <v>44378</v>
      </c>
    </row>
    <row r="95" spans="2:2" x14ac:dyDescent="0.25">
      <c r="B95" s="9">
        <v>44409</v>
      </c>
    </row>
    <row r="96" spans="2:2" x14ac:dyDescent="0.25">
      <c r="B96" s="9">
        <v>44440</v>
      </c>
    </row>
    <row r="97" spans="2:2" x14ac:dyDescent="0.25">
      <c r="B97" s="9">
        <v>44470</v>
      </c>
    </row>
    <row r="98" spans="2:2" x14ac:dyDescent="0.25">
      <c r="B98" s="9">
        <v>44501</v>
      </c>
    </row>
    <row r="99" spans="2:2" x14ac:dyDescent="0.25">
      <c r="B99" s="9">
        <v>44531</v>
      </c>
    </row>
    <row r="100" spans="2:2" x14ac:dyDescent="0.25">
      <c r="B100" s="9">
        <v>44562</v>
      </c>
    </row>
    <row r="101" spans="2:2" x14ac:dyDescent="0.25">
      <c r="B101" s="9">
        <v>44593</v>
      </c>
    </row>
    <row r="102" spans="2:2" x14ac:dyDescent="0.25">
      <c r="B102" s="9">
        <v>44621</v>
      </c>
    </row>
    <row r="103" spans="2:2" x14ac:dyDescent="0.25">
      <c r="B103" s="9">
        <v>44652</v>
      </c>
    </row>
    <row r="104" spans="2:2" x14ac:dyDescent="0.25">
      <c r="B104" s="9">
        <v>44682</v>
      </c>
    </row>
    <row r="105" spans="2:2" x14ac:dyDescent="0.25">
      <c r="B105" s="9">
        <v>44713</v>
      </c>
    </row>
    <row r="106" spans="2:2" x14ac:dyDescent="0.25">
      <c r="B106" s="9">
        <v>44743</v>
      </c>
    </row>
    <row r="107" spans="2:2" x14ac:dyDescent="0.25">
      <c r="B107" s="9">
        <v>44774</v>
      </c>
    </row>
    <row r="108" spans="2:2" x14ac:dyDescent="0.25">
      <c r="B108" s="9">
        <v>44805</v>
      </c>
    </row>
    <row r="109" spans="2:2" x14ac:dyDescent="0.25">
      <c r="B109" s="9">
        <v>44835</v>
      </c>
    </row>
    <row r="110" spans="2:2" x14ac:dyDescent="0.25">
      <c r="B110" s="9">
        <v>44866</v>
      </c>
    </row>
    <row r="111" spans="2:2" x14ac:dyDescent="0.25">
      <c r="B111" s="9">
        <v>44896</v>
      </c>
    </row>
    <row r="112" spans="2:2" x14ac:dyDescent="0.25">
      <c r="B112" s="9"/>
    </row>
    <row r="113" spans="2:2" x14ac:dyDescent="0.25">
      <c r="B113" s="9"/>
    </row>
    <row r="114" spans="2:2" x14ac:dyDescent="0.25">
      <c r="B114" s="9"/>
    </row>
    <row r="115" spans="2:2" x14ac:dyDescent="0.25">
      <c r="B115" s="9"/>
    </row>
    <row r="116" spans="2:2" x14ac:dyDescent="0.25">
      <c r="B116" s="9"/>
    </row>
    <row r="117" spans="2:2" x14ac:dyDescent="0.25">
      <c r="B117" s="9"/>
    </row>
    <row r="118" spans="2:2" x14ac:dyDescent="0.25">
      <c r="B118" s="9"/>
    </row>
    <row r="119" spans="2:2" x14ac:dyDescent="0.25">
      <c r="B119" s="9"/>
    </row>
    <row r="120" spans="2:2" x14ac:dyDescent="0.25">
      <c r="B120" s="9"/>
    </row>
    <row r="121" spans="2:2" x14ac:dyDescent="0.25">
      <c r="B121" s="9"/>
    </row>
    <row r="122" spans="2:2" x14ac:dyDescent="0.25">
      <c r="B122" s="9"/>
    </row>
    <row r="123" spans="2:2" x14ac:dyDescent="0.25">
      <c r="B123" s="9"/>
    </row>
    <row r="124" spans="2:2" x14ac:dyDescent="0.25">
      <c r="B124" s="9"/>
    </row>
    <row r="125" spans="2:2" x14ac:dyDescent="0.25">
      <c r="B125" s="9"/>
    </row>
    <row r="126" spans="2:2" x14ac:dyDescent="0.25">
      <c r="B126" s="9"/>
    </row>
    <row r="127" spans="2:2" x14ac:dyDescent="0.25">
      <c r="B127" s="9"/>
    </row>
    <row r="128" spans="2:2" x14ac:dyDescent="0.25">
      <c r="B128" s="9"/>
    </row>
    <row r="129" spans="2:2" x14ac:dyDescent="0.25">
      <c r="B129" s="9"/>
    </row>
    <row r="130" spans="2:2" x14ac:dyDescent="0.25">
      <c r="B130" s="9"/>
    </row>
    <row r="131" spans="2:2" x14ac:dyDescent="0.25">
      <c r="B131" s="9"/>
    </row>
    <row r="132" spans="2:2" x14ac:dyDescent="0.25">
      <c r="B132" s="9"/>
    </row>
    <row r="133" spans="2:2" x14ac:dyDescent="0.25">
      <c r="B133" s="9"/>
    </row>
    <row r="134" spans="2:2" x14ac:dyDescent="0.25">
      <c r="B134" s="9"/>
    </row>
    <row r="135" spans="2:2" x14ac:dyDescent="0.25">
      <c r="B135" s="9"/>
    </row>
    <row r="136" spans="2:2" x14ac:dyDescent="0.25">
      <c r="B136" s="9"/>
    </row>
    <row r="137" spans="2:2" x14ac:dyDescent="0.25">
      <c r="B137" s="9"/>
    </row>
    <row r="138" spans="2:2" x14ac:dyDescent="0.25">
      <c r="B138" s="9"/>
    </row>
    <row r="139" spans="2:2" x14ac:dyDescent="0.25">
      <c r="B139" s="9"/>
    </row>
    <row r="140" spans="2:2" x14ac:dyDescent="0.25">
      <c r="B140" s="9"/>
    </row>
    <row r="141" spans="2:2" x14ac:dyDescent="0.25">
      <c r="B141" s="9"/>
    </row>
    <row r="142" spans="2:2" x14ac:dyDescent="0.25">
      <c r="B142" s="9"/>
    </row>
    <row r="143" spans="2:2" x14ac:dyDescent="0.25">
      <c r="B143" s="9"/>
    </row>
    <row r="144" spans="2:2" x14ac:dyDescent="0.25">
      <c r="B144" s="9"/>
    </row>
    <row r="145" spans="2:2" x14ac:dyDescent="0.25">
      <c r="B145" s="9"/>
    </row>
    <row r="146" spans="2:2" x14ac:dyDescent="0.25">
      <c r="B146" s="9"/>
    </row>
    <row r="147" spans="2:2" x14ac:dyDescent="0.25">
      <c r="B147" s="9"/>
    </row>
    <row r="148" spans="2:2" x14ac:dyDescent="0.25">
      <c r="B148" s="9"/>
    </row>
    <row r="149" spans="2:2" x14ac:dyDescent="0.25">
      <c r="B149" s="9"/>
    </row>
    <row r="150" spans="2:2" x14ac:dyDescent="0.25">
      <c r="B150" s="9"/>
    </row>
    <row r="151" spans="2:2" x14ac:dyDescent="0.25">
      <c r="B151" s="9"/>
    </row>
    <row r="152" spans="2:2" x14ac:dyDescent="0.25">
      <c r="B152" s="9"/>
    </row>
    <row r="153" spans="2:2" x14ac:dyDescent="0.25">
      <c r="B153" s="9"/>
    </row>
    <row r="154" spans="2:2" x14ac:dyDescent="0.25">
      <c r="B154" s="9"/>
    </row>
    <row r="155" spans="2:2" x14ac:dyDescent="0.25">
      <c r="B155" s="9"/>
    </row>
    <row r="156" spans="2:2" x14ac:dyDescent="0.25">
      <c r="B156" s="9"/>
    </row>
    <row r="157" spans="2:2" x14ac:dyDescent="0.25">
      <c r="B157" s="9"/>
    </row>
    <row r="158" spans="2:2" x14ac:dyDescent="0.25">
      <c r="B158" s="9"/>
    </row>
    <row r="159" spans="2:2" x14ac:dyDescent="0.25">
      <c r="B159" s="9"/>
    </row>
    <row r="160" spans="2:2" x14ac:dyDescent="0.25">
      <c r="B160" s="9"/>
    </row>
    <row r="161" spans="2:2" x14ac:dyDescent="0.25">
      <c r="B161" s="9"/>
    </row>
    <row r="162" spans="2:2" x14ac:dyDescent="0.25">
      <c r="B162" s="9"/>
    </row>
    <row r="163" spans="2:2" x14ac:dyDescent="0.25">
      <c r="B163" s="9"/>
    </row>
    <row r="164" spans="2:2" x14ac:dyDescent="0.25">
      <c r="B164" s="9"/>
    </row>
    <row r="165" spans="2:2" x14ac:dyDescent="0.25">
      <c r="B165" s="9"/>
    </row>
    <row r="166" spans="2:2" x14ac:dyDescent="0.25">
      <c r="B166" s="9"/>
    </row>
    <row r="167" spans="2:2" x14ac:dyDescent="0.25">
      <c r="B167" s="9"/>
    </row>
    <row r="168" spans="2:2" x14ac:dyDescent="0.25">
      <c r="B168" s="9"/>
    </row>
    <row r="169" spans="2:2" x14ac:dyDescent="0.25">
      <c r="B169" s="9"/>
    </row>
    <row r="170" spans="2:2" x14ac:dyDescent="0.25">
      <c r="B170" s="9"/>
    </row>
    <row r="171" spans="2:2" x14ac:dyDescent="0.25">
      <c r="B171" s="9"/>
    </row>
    <row r="172" spans="2:2" x14ac:dyDescent="0.25">
      <c r="B172" s="9"/>
    </row>
    <row r="173" spans="2:2" x14ac:dyDescent="0.25">
      <c r="B173" s="9"/>
    </row>
    <row r="174" spans="2:2" x14ac:dyDescent="0.25">
      <c r="B174" s="9"/>
    </row>
    <row r="175" spans="2:2" x14ac:dyDescent="0.25">
      <c r="B175" s="9"/>
    </row>
    <row r="176" spans="2:2" x14ac:dyDescent="0.25">
      <c r="B176" s="9"/>
    </row>
    <row r="177" spans="2:2" x14ac:dyDescent="0.25">
      <c r="B177" s="9"/>
    </row>
    <row r="178" spans="2:2" x14ac:dyDescent="0.25">
      <c r="B178" s="9"/>
    </row>
    <row r="179" spans="2:2" x14ac:dyDescent="0.25">
      <c r="B179" s="9"/>
    </row>
    <row r="180" spans="2:2" x14ac:dyDescent="0.25">
      <c r="B180" s="9"/>
    </row>
    <row r="181" spans="2:2" x14ac:dyDescent="0.25">
      <c r="B181" s="9"/>
    </row>
    <row r="182" spans="2:2" x14ac:dyDescent="0.25">
      <c r="B182" s="9"/>
    </row>
    <row r="183" spans="2:2" x14ac:dyDescent="0.25">
      <c r="B183" s="9"/>
    </row>
    <row r="184" spans="2:2" x14ac:dyDescent="0.25">
      <c r="B184" s="9"/>
    </row>
    <row r="185" spans="2:2" x14ac:dyDescent="0.25">
      <c r="B185" s="9"/>
    </row>
    <row r="186" spans="2:2" x14ac:dyDescent="0.25">
      <c r="B186" s="9"/>
    </row>
    <row r="187" spans="2:2" x14ac:dyDescent="0.25">
      <c r="B187" s="9"/>
    </row>
    <row r="188" spans="2:2" x14ac:dyDescent="0.25">
      <c r="B188" s="9"/>
    </row>
    <row r="189" spans="2:2" x14ac:dyDescent="0.25">
      <c r="B189" s="9"/>
    </row>
    <row r="190" spans="2:2" x14ac:dyDescent="0.25">
      <c r="B190" s="9"/>
    </row>
    <row r="191" spans="2:2" x14ac:dyDescent="0.25">
      <c r="B191" s="9"/>
    </row>
    <row r="192" spans="2:2" x14ac:dyDescent="0.25">
      <c r="B192" s="9"/>
    </row>
    <row r="193" spans="2:2" x14ac:dyDescent="0.25">
      <c r="B193" s="9"/>
    </row>
    <row r="194" spans="2:2" x14ac:dyDescent="0.25">
      <c r="B194" s="9"/>
    </row>
    <row r="195" spans="2:2" x14ac:dyDescent="0.25">
      <c r="B195" s="9"/>
    </row>
    <row r="196" spans="2:2" x14ac:dyDescent="0.25">
      <c r="B196" s="9"/>
    </row>
    <row r="197" spans="2:2" x14ac:dyDescent="0.25">
      <c r="B197" s="9"/>
    </row>
    <row r="198" spans="2:2" x14ac:dyDescent="0.25">
      <c r="B198" s="9"/>
    </row>
    <row r="199" spans="2:2" x14ac:dyDescent="0.25">
      <c r="B199" s="9"/>
    </row>
    <row r="200" spans="2:2" x14ac:dyDescent="0.25">
      <c r="B200" s="9"/>
    </row>
    <row r="201" spans="2:2" x14ac:dyDescent="0.25">
      <c r="B201" s="9"/>
    </row>
    <row r="202" spans="2:2" x14ac:dyDescent="0.25">
      <c r="B202" s="9"/>
    </row>
    <row r="203" spans="2:2" x14ac:dyDescent="0.25">
      <c r="B203" s="9"/>
    </row>
    <row r="204" spans="2:2" x14ac:dyDescent="0.25">
      <c r="B204" s="9"/>
    </row>
    <row r="205" spans="2:2" x14ac:dyDescent="0.25">
      <c r="B205" s="9"/>
    </row>
    <row r="206" spans="2:2" x14ac:dyDescent="0.25">
      <c r="B206" s="9"/>
    </row>
    <row r="207" spans="2:2" x14ac:dyDescent="0.25">
      <c r="B207" s="9"/>
    </row>
    <row r="208" spans="2:2" x14ac:dyDescent="0.25">
      <c r="B208" s="9"/>
    </row>
    <row r="209" spans="2:2" x14ac:dyDescent="0.25">
      <c r="B209" s="9"/>
    </row>
    <row r="210" spans="2:2" x14ac:dyDescent="0.25">
      <c r="B210" s="9"/>
    </row>
    <row r="211" spans="2:2" x14ac:dyDescent="0.25">
      <c r="B211" s="9"/>
    </row>
    <row r="212" spans="2:2" x14ac:dyDescent="0.25">
      <c r="B212" s="9"/>
    </row>
    <row r="213" spans="2:2" x14ac:dyDescent="0.25">
      <c r="B213" s="9"/>
    </row>
    <row r="214" spans="2:2" x14ac:dyDescent="0.25">
      <c r="B214" s="9"/>
    </row>
    <row r="215" spans="2:2" x14ac:dyDescent="0.25">
      <c r="B215" s="9"/>
    </row>
    <row r="216" spans="2:2" x14ac:dyDescent="0.25">
      <c r="B216" s="9"/>
    </row>
    <row r="217" spans="2:2" x14ac:dyDescent="0.25">
      <c r="B217" s="9"/>
    </row>
    <row r="218" spans="2:2" x14ac:dyDescent="0.25">
      <c r="B218" s="9"/>
    </row>
    <row r="219" spans="2:2" x14ac:dyDescent="0.25">
      <c r="B219" s="9"/>
    </row>
    <row r="220" spans="2:2" x14ac:dyDescent="0.25">
      <c r="B220" s="9"/>
    </row>
    <row r="221" spans="2:2" x14ac:dyDescent="0.25">
      <c r="B221" s="9"/>
    </row>
    <row r="222" spans="2:2" x14ac:dyDescent="0.25">
      <c r="B222" s="9"/>
    </row>
    <row r="223" spans="2:2" x14ac:dyDescent="0.25">
      <c r="B223" s="9"/>
    </row>
    <row r="224" spans="2:2" x14ac:dyDescent="0.25">
      <c r="B224" s="9"/>
    </row>
    <row r="225" spans="2:2" x14ac:dyDescent="0.25">
      <c r="B225" s="9"/>
    </row>
    <row r="226" spans="2:2" x14ac:dyDescent="0.25">
      <c r="B226" s="9"/>
    </row>
    <row r="227" spans="2:2" x14ac:dyDescent="0.25">
      <c r="B227" s="9"/>
    </row>
    <row r="228" spans="2:2" x14ac:dyDescent="0.25">
      <c r="B228" s="9"/>
    </row>
    <row r="229" spans="2:2" x14ac:dyDescent="0.25">
      <c r="B229" s="9"/>
    </row>
    <row r="230" spans="2:2" x14ac:dyDescent="0.25">
      <c r="B230" s="9"/>
    </row>
    <row r="231" spans="2:2" x14ac:dyDescent="0.25">
      <c r="B231" s="9"/>
    </row>
    <row r="232" spans="2:2" x14ac:dyDescent="0.25">
      <c r="B232" s="9"/>
    </row>
    <row r="233" spans="2:2" x14ac:dyDescent="0.25">
      <c r="B233" s="9"/>
    </row>
    <row r="234" spans="2:2" x14ac:dyDescent="0.25">
      <c r="B234" s="9"/>
    </row>
    <row r="235" spans="2:2" x14ac:dyDescent="0.25">
      <c r="B235" s="9"/>
    </row>
    <row r="236" spans="2:2" x14ac:dyDescent="0.25">
      <c r="B236" s="9"/>
    </row>
    <row r="237" spans="2:2" x14ac:dyDescent="0.25">
      <c r="B237" s="9"/>
    </row>
    <row r="238" spans="2:2" x14ac:dyDescent="0.25">
      <c r="B238" s="9"/>
    </row>
    <row r="239" spans="2:2" x14ac:dyDescent="0.25">
      <c r="B239" s="9"/>
    </row>
    <row r="240" spans="2:2" x14ac:dyDescent="0.25">
      <c r="B240" s="9"/>
    </row>
    <row r="241" spans="2:2" x14ac:dyDescent="0.25">
      <c r="B241" s="9"/>
    </row>
    <row r="242" spans="2:2" x14ac:dyDescent="0.25">
      <c r="B242" s="9"/>
    </row>
    <row r="243" spans="2:2" x14ac:dyDescent="0.25">
      <c r="B243" s="9"/>
    </row>
    <row r="244" spans="2:2" x14ac:dyDescent="0.25">
      <c r="B244" s="9"/>
    </row>
    <row r="245" spans="2:2" x14ac:dyDescent="0.25">
      <c r="B245" s="9"/>
    </row>
    <row r="246" spans="2:2" x14ac:dyDescent="0.25">
      <c r="B246" s="9"/>
    </row>
    <row r="247" spans="2:2" x14ac:dyDescent="0.25">
      <c r="B247" s="9"/>
    </row>
    <row r="248" spans="2:2" x14ac:dyDescent="0.25">
      <c r="B248" s="9"/>
    </row>
    <row r="249" spans="2:2" x14ac:dyDescent="0.25">
      <c r="B249" s="9"/>
    </row>
    <row r="250" spans="2:2" x14ac:dyDescent="0.25">
      <c r="B250" s="9"/>
    </row>
    <row r="251" spans="2:2" x14ac:dyDescent="0.25">
      <c r="B251" s="9"/>
    </row>
    <row r="252" spans="2:2" x14ac:dyDescent="0.25">
      <c r="B252" s="9"/>
    </row>
    <row r="253" spans="2:2" x14ac:dyDescent="0.25">
      <c r="B253" s="9"/>
    </row>
    <row r="254" spans="2:2" x14ac:dyDescent="0.25">
      <c r="B254" s="9"/>
    </row>
    <row r="255" spans="2:2" x14ac:dyDescent="0.25">
      <c r="B255" s="9"/>
    </row>
    <row r="256" spans="2:2" x14ac:dyDescent="0.25">
      <c r="B256" s="9"/>
    </row>
    <row r="257" spans="2:2" x14ac:dyDescent="0.25">
      <c r="B257" s="9"/>
    </row>
    <row r="258" spans="2:2" x14ac:dyDescent="0.25">
      <c r="B258" s="9"/>
    </row>
  </sheetData>
  <mergeCells count="1">
    <mergeCell ref="B4:C4"/>
  </mergeCells>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33"/>
  <sheetViews>
    <sheetView workbookViewId="0"/>
  </sheetViews>
  <sheetFormatPr defaultRowHeight="15" x14ac:dyDescent="0.25"/>
  <cols>
    <col min="1" max="1" width="3.28515625" customWidth="1"/>
    <col min="2" max="2" width="3.7109375" customWidth="1"/>
    <col min="3" max="3" width="48.7109375" customWidth="1"/>
    <col min="4" max="4" width="17.140625" customWidth="1"/>
    <col min="5" max="5" width="16.7109375" customWidth="1"/>
    <col min="6" max="8" width="15.7109375" customWidth="1"/>
    <col min="9" max="9" width="15.140625" customWidth="1"/>
    <col min="10" max="10" width="14.7109375" customWidth="1"/>
  </cols>
  <sheetData>
    <row r="1" spans="3:5" x14ac:dyDescent="0.25">
      <c r="C1" s="88"/>
    </row>
    <row r="2" spans="3:5" ht="16.5" x14ac:dyDescent="0.3">
      <c r="C2" s="42" t="s">
        <v>1128</v>
      </c>
      <c r="D2" s="42"/>
      <c r="E2" s="131" t="s">
        <v>1129</v>
      </c>
    </row>
    <row r="3" spans="3:5" ht="16.5" x14ac:dyDescent="0.3">
      <c r="C3" s="126" t="s">
        <v>1130</v>
      </c>
      <c r="D3" s="132"/>
      <c r="E3" s="127">
        <f>195.4*5*1000</f>
        <v>977000</v>
      </c>
    </row>
    <row r="4" spans="3:5" ht="16.5" x14ac:dyDescent="0.3">
      <c r="C4" s="133" t="s">
        <v>1131</v>
      </c>
      <c r="D4" s="133"/>
      <c r="E4" s="134">
        <v>781695</v>
      </c>
    </row>
    <row r="5" spans="3:5" ht="16.5" x14ac:dyDescent="0.3">
      <c r="C5" s="550" t="s">
        <v>1132</v>
      </c>
      <c r="D5" s="550"/>
      <c r="E5" s="128">
        <f>E4/E3</f>
        <v>0.80009723643807573</v>
      </c>
    </row>
    <row r="6" spans="3:5" x14ac:dyDescent="0.25">
      <c r="C6" s="88"/>
    </row>
    <row r="7" spans="3:5" ht="16.5" x14ac:dyDescent="0.3">
      <c r="C7" s="42" t="s">
        <v>1121</v>
      </c>
      <c r="D7" s="42"/>
      <c r="E7" s="131" t="s">
        <v>1129</v>
      </c>
    </row>
    <row r="8" spans="3:5" ht="16.5" x14ac:dyDescent="0.3">
      <c r="C8" s="126" t="s">
        <v>1124</v>
      </c>
      <c r="D8" s="126"/>
      <c r="E8" s="127">
        <v>1580686</v>
      </c>
    </row>
    <row r="9" spans="3:5" ht="16.5" x14ac:dyDescent="0.3">
      <c r="C9" s="123" t="s">
        <v>1118</v>
      </c>
      <c r="D9" s="43"/>
      <c r="E9" s="47">
        <v>403360</v>
      </c>
    </row>
    <row r="10" spans="3:5" ht="16.5" x14ac:dyDescent="0.3">
      <c r="C10" s="123" t="s">
        <v>1119</v>
      </c>
      <c r="D10" s="43"/>
      <c r="E10" s="44">
        <f>GETPIVOTDATA(" Total
2018/22",Resumo!$B$4,"Negócio","Distribuição")</f>
        <v>327604.97899999097</v>
      </c>
    </row>
    <row r="11" spans="3:5" ht="16.5" x14ac:dyDescent="0.3">
      <c r="C11" s="126" t="s">
        <v>1122</v>
      </c>
      <c r="D11" s="126"/>
      <c r="E11" s="127">
        <f>SUM(E9:E10)</f>
        <v>730964.97899999097</v>
      </c>
    </row>
    <row r="12" spans="3:5" ht="16.5" x14ac:dyDescent="0.3">
      <c r="C12" s="124" t="s">
        <v>1120</v>
      </c>
      <c r="D12" s="124"/>
      <c r="E12" s="125">
        <f>E8-E9-E10</f>
        <v>849721.02100000903</v>
      </c>
    </row>
    <row r="14" spans="3:5" ht="16.5" x14ac:dyDescent="0.3">
      <c r="C14" s="42"/>
      <c r="D14" s="42"/>
      <c r="E14" s="131" t="s">
        <v>1129</v>
      </c>
    </row>
    <row r="15" spans="3:5" ht="16.5" x14ac:dyDescent="0.3">
      <c r="C15" s="126" t="s">
        <v>1125</v>
      </c>
      <c r="D15" s="126"/>
      <c r="E15" s="127">
        <f>195.4*5*1000</f>
        <v>977000</v>
      </c>
    </row>
    <row r="16" spans="3:5" ht="16.5" x14ac:dyDescent="0.3">
      <c r="C16" s="126" t="s">
        <v>1123</v>
      </c>
      <c r="D16" s="126"/>
      <c r="E16" s="127">
        <f>E11</f>
        <v>730964.97899999097</v>
      </c>
    </row>
    <row r="17" spans="3:5" ht="30.75" customHeight="1" x14ac:dyDescent="0.25">
      <c r="C17" s="549" t="s">
        <v>1126</v>
      </c>
      <c r="D17" s="549"/>
      <c r="E17" s="128">
        <f>E16/E15</f>
        <v>0.74817295701124975</v>
      </c>
    </row>
    <row r="21" spans="3:5" x14ac:dyDescent="0.25">
      <c r="C21" s="48" t="s">
        <v>52</v>
      </c>
    </row>
    <row r="24" spans="3:5" x14ac:dyDescent="0.25">
      <c r="E24" s="118"/>
    </row>
    <row r="25" spans="3:5" x14ac:dyDescent="0.25">
      <c r="C25" s="117"/>
      <c r="D25" s="9"/>
      <c r="E25" s="120"/>
    </row>
    <row r="26" spans="3:5" x14ac:dyDescent="0.25">
      <c r="C26" s="119"/>
      <c r="D26" s="9"/>
      <c r="E26" s="120"/>
    </row>
    <row r="27" spans="3:5" x14ac:dyDescent="0.25">
      <c r="C27" s="119"/>
    </row>
    <row r="30" spans="3:5" x14ac:dyDescent="0.25">
      <c r="E30" s="118"/>
    </row>
    <row r="31" spans="3:5" x14ac:dyDescent="0.25">
      <c r="C31" s="117"/>
      <c r="D31" s="9"/>
      <c r="E31" s="120"/>
    </row>
    <row r="32" spans="3:5" x14ac:dyDescent="0.25">
      <c r="C32" s="119"/>
      <c r="D32" s="9"/>
      <c r="E32" s="120"/>
    </row>
    <row r="33" spans="3:3" x14ac:dyDescent="0.25">
      <c r="C33" s="119"/>
    </row>
  </sheetData>
  <mergeCells count="2">
    <mergeCell ref="C17:D17"/>
    <mergeCell ref="C5:D5"/>
  </mergeCells>
  <pageMargins left="0.511811024" right="0.511811024" top="0.78740157499999996" bottom="0.78740157499999996" header="0.31496062000000002" footer="0.31496062000000002"/>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topLeftCell="A7" workbookViewId="0"/>
  </sheetViews>
  <sheetFormatPr defaultRowHeight="16.5" x14ac:dyDescent="0.3"/>
  <cols>
    <col min="1" max="1" width="9.140625" style="43"/>
    <col min="2" max="2" width="21.7109375" style="43" customWidth="1"/>
    <col min="3" max="3" width="73.140625" style="43" customWidth="1"/>
    <col min="4" max="4" width="70.7109375" style="43" customWidth="1"/>
    <col min="5" max="16384" width="9.140625" style="43"/>
  </cols>
  <sheetData>
    <row r="2" spans="2:4" ht="32.25" customHeight="1" x14ac:dyDescent="0.3">
      <c r="B2" s="107" t="s">
        <v>1088</v>
      </c>
      <c r="C2" s="107" t="s">
        <v>1089</v>
      </c>
      <c r="D2" s="107" t="s">
        <v>1106</v>
      </c>
    </row>
    <row r="3" spans="2:4" x14ac:dyDescent="0.3">
      <c r="B3" s="104">
        <v>42877</v>
      </c>
      <c r="C3" s="105" t="s">
        <v>1090</v>
      </c>
      <c r="D3" s="106" t="s">
        <v>1091</v>
      </c>
    </row>
    <row r="4" spans="2:4" ht="99" x14ac:dyDescent="0.3">
      <c r="B4" s="108" t="s">
        <v>1092</v>
      </c>
      <c r="C4" s="98" t="s">
        <v>1093</v>
      </c>
      <c r="D4" s="100" t="s">
        <v>1095</v>
      </c>
    </row>
    <row r="5" spans="2:4" x14ac:dyDescent="0.3">
      <c r="B5" s="97">
        <v>43069</v>
      </c>
      <c r="C5" s="98" t="s">
        <v>1094</v>
      </c>
      <c r="D5" s="99"/>
    </row>
    <row r="6" spans="2:4" ht="82.5" x14ac:dyDescent="0.3">
      <c r="B6" s="97">
        <v>43083</v>
      </c>
      <c r="C6" s="98" t="s">
        <v>1096</v>
      </c>
      <c r="D6" s="99" t="s">
        <v>1103</v>
      </c>
    </row>
    <row r="7" spans="2:4" ht="198" x14ac:dyDescent="0.3">
      <c r="B7" s="97">
        <v>43090</v>
      </c>
      <c r="C7" s="98" t="s">
        <v>1097</v>
      </c>
      <c r="D7" s="99" t="s">
        <v>1104</v>
      </c>
    </row>
    <row r="8" spans="2:4" ht="33" x14ac:dyDescent="0.3">
      <c r="B8" s="97" t="s">
        <v>1098</v>
      </c>
      <c r="C8" s="99" t="s">
        <v>1099</v>
      </c>
      <c r="D8" s="99" t="s">
        <v>1100</v>
      </c>
    </row>
    <row r="9" spans="2:4" ht="33" x14ac:dyDescent="0.3">
      <c r="B9" s="97">
        <v>43109</v>
      </c>
      <c r="C9" s="98" t="s">
        <v>1105</v>
      </c>
      <c r="D9" s="99" t="s">
        <v>1101</v>
      </c>
    </row>
    <row r="10" spans="2:4" ht="82.5" x14ac:dyDescent="0.3">
      <c r="B10" s="97">
        <v>43109</v>
      </c>
      <c r="C10" s="98" t="s">
        <v>1102</v>
      </c>
      <c r="D10" s="99" t="s">
        <v>1113</v>
      </c>
    </row>
    <row r="11" spans="2:4" ht="82.5" x14ac:dyDescent="0.3">
      <c r="B11" s="97">
        <v>43112</v>
      </c>
      <c r="C11" s="98" t="s">
        <v>1115</v>
      </c>
      <c r="D11" s="99" t="s">
        <v>1114</v>
      </c>
    </row>
    <row r="12" spans="2:4" x14ac:dyDescent="0.3">
      <c r="B12" s="97"/>
      <c r="C12" s="98"/>
      <c r="D12" s="99"/>
    </row>
    <row r="13" spans="2:4" x14ac:dyDescent="0.3">
      <c r="B13" s="97"/>
      <c r="C13" s="98"/>
      <c r="D13" s="99"/>
    </row>
    <row r="14" spans="2:4" x14ac:dyDescent="0.3">
      <c r="B14" s="97"/>
      <c r="C14" s="98"/>
      <c r="D14" s="99"/>
    </row>
    <row r="15" spans="2:4" x14ac:dyDescent="0.3">
      <c r="B15" s="97"/>
      <c r="C15" s="98"/>
      <c r="D15" s="99"/>
    </row>
    <row r="16" spans="2:4" x14ac:dyDescent="0.3">
      <c r="B16" s="97"/>
      <c r="C16" s="98"/>
      <c r="D16" s="99"/>
    </row>
    <row r="17" spans="2:4" x14ac:dyDescent="0.3">
      <c r="B17" s="97"/>
      <c r="C17" s="98"/>
      <c r="D17" s="99"/>
    </row>
    <row r="18" spans="2:4" x14ac:dyDescent="0.3">
      <c r="B18" s="97"/>
      <c r="C18" s="98"/>
      <c r="D18" s="99"/>
    </row>
    <row r="19" spans="2:4" x14ac:dyDescent="0.3">
      <c r="B19" s="97"/>
      <c r="C19" s="98"/>
      <c r="D19" s="99"/>
    </row>
    <row r="20" spans="2:4" x14ac:dyDescent="0.3">
      <c r="B20" s="97"/>
      <c r="C20" s="98"/>
      <c r="D20" s="99"/>
    </row>
    <row r="21" spans="2:4" x14ac:dyDescent="0.3">
      <c r="B21" s="97"/>
      <c r="C21" s="98"/>
      <c r="D21" s="99"/>
    </row>
    <row r="22" spans="2:4" x14ac:dyDescent="0.3">
      <c r="B22" s="97"/>
      <c r="C22" s="98"/>
      <c r="D22" s="99"/>
    </row>
    <row r="23" spans="2:4" x14ac:dyDescent="0.3">
      <c r="B23" s="97"/>
      <c r="C23" s="98"/>
      <c r="D23" s="99"/>
    </row>
    <row r="24" spans="2:4" x14ac:dyDescent="0.3">
      <c r="B24" s="97"/>
      <c r="C24" s="98"/>
      <c r="D24" s="99"/>
    </row>
    <row r="25" spans="2:4" x14ac:dyDescent="0.3">
      <c r="B25" s="97"/>
      <c r="C25" s="98"/>
      <c r="D25" s="99"/>
    </row>
    <row r="26" spans="2:4" x14ac:dyDescent="0.3">
      <c r="B26" s="97"/>
      <c r="C26" s="98"/>
      <c r="D26" s="99"/>
    </row>
    <row r="27" spans="2:4" x14ac:dyDescent="0.3">
      <c r="B27" s="97"/>
      <c r="C27" s="98"/>
      <c r="D27" s="99"/>
    </row>
    <row r="28" spans="2:4" x14ac:dyDescent="0.3">
      <c r="B28" s="101"/>
      <c r="C28" s="98"/>
      <c r="D28" s="98"/>
    </row>
    <row r="29" spans="2:4" x14ac:dyDescent="0.3">
      <c r="B29" s="101"/>
      <c r="C29" s="98"/>
      <c r="D29" s="98"/>
    </row>
    <row r="30" spans="2:4" x14ac:dyDescent="0.3">
      <c r="B30" s="102"/>
      <c r="C30" s="103"/>
      <c r="D30" s="103"/>
    </row>
  </sheetData>
  <pageMargins left="0.511811024" right="0.511811024" top="0.78740157499999996" bottom="0.78740157499999996" header="0.31496062000000002" footer="0.31496062000000002"/>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4"/>
  <sheetViews>
    <sheetView showGridLines="0" topLeftCell="A4" workbookViewId="0"/>
  </sheetViews>
  <sheetFormatPr defaultRowHeight="16.5" x14ac:dyDescent="0.3"/>
  <cols>
    <col min="1" max="1" width="9.140625" style="43"/>
    <col min="2" max="2" width="38" style="43" customWidth="1"/>
    <col min="3" max="3" width="86.42578125" style="43" customWidth="1"/>
    <col min="4" max="4" width="11.28515625" style="43" customWidth="1"/>
    <col min="5" max="16384" width="9.140625" style="43"/>
  </cols>
  <sheetData>
    <row r="2" spans="2:4" x14ac:dyDescent="0.3">
      <c r="B2" s="45" t="s">
        <v>891</v>
      </c>
    </row>
    <row r="4" spans="2:4" x14ac:dyDescent="0.3">
      <c r="B4" s="51" t="s">
        <v>887</v>
      </c>
      <c r="C4" s="51" t="s">
        <v>888</v>
      </c>
      <c r="D4" s="51" t="s">
        <v>886</v>
      </c>
    </row>
    <row r="5" spans="2:4" ht="33" x14ac:dyDescent="0.3">
      <c r="B5" s="52" t="s">
        <v>102</v>
      </c>
      <c r="C5" s="52" t="s">
        <v>914</v>
      </c>
      <c r="D5" s="53">
        <f>SUMIF('Projetos ciclo 2018-2022'!$K$8:$K$100,'Projetos x Riscos Não Execução'!B5,'Projetos ciclo 2018-2022'!$BU$8:$BU$100)</f>
        <v>0</v>
      </c>
    </row>
    <row r="6" spans="2:4" ht="33" x14ac:dyDescent="0.3">
      <c r="B6" s="52" t="s">
        <v>510</v>
      </c>
      <c r="C6" s="60" t="s">
        <v>916</v>
      </c>
      <c r="D6" s="53">
        <f>SUMIF('Projetos ciclo 2018-2022'!$K$8:$K$100,'Projetos x Riscos Não Execução'!B6,'Projetos ciclo 2018-2022'!$BU$8:$BU$100)</f>
        <v>1000</v>
      </c>
    </row>
    <row r="7" spans="2:4" ht="66" x14ac:dyDescent="0.3">
      <c r="B7" s="52" t="s">
        <v>501</v>
      </c>
      <c r="C7" s="52" t="s">
        <v>915</v>
      </c>
      <c r="D7" s="53">
        <f>SUMIF('Projetos ciclo 2018-2022'!$K$8:$K$100,'Projetos x Riscos Não Execução'!B7,'Projetos ciclo 2018-2022'!$BU$8:$BU$100)</f>
        <v>0</v>
      </c>
    </row>
    <row r="8" spans="2:4" x14ac:dyDescent="0.3">
      <c r="B8" s="42" t="s">
        <v>890</v>
      </c>
      <c r="C8" s="42"/>
      <c r="D8" s="46">
        <f>SUM(D5:D7)</f>
        <v>1000</v>
      </c>
    </row>
    <row r="9" spans="2:4" x14ac:dyDescent="0.3">
      <c r="B9" s="49" t="s">
        <v>889</v>
      </c>
      <c r="C9" s="42"/>
      <c r="D9" s="50">
        <v>14083.552</v>
      </c>
    </row>
    <row r="13" spans="2:4" x14ac:dyDescent="0.3">
      <c r="B13" s="45" t="s">
        <v>892</v>
      </c>
    </row>
    <row r="15" spans="2:4" x14ac:dyDescent="0.3">
      <c r="B15" s="51" t="s">
        <v>887</v>
      </c>
      <c r="C15" s="51" t="s">
        <v>888</v>
      </c>
      <c r="D15" s="51" t="s">
        <v>886</v>
      </c>
    </row>
    <row r="16" spans="2:4" ht="44.25" customHeight="1" x14ac:dyDescent="0.3">
      <c r="B16" s="57" t="s">
        <v>893</v>
      </c>
      <c r="C16" s="63" t="s">
        <v>945</v>
      </c>
      <c r="D16" s="53">
        <v>11311</v>
      </c>
    </row>
    <row r="17" spans="2:4" ht="44.25" customHeight="1" x14ac:dyDescent="0.3">
      <c r="B17" s="54" t="s">
        <v>619</v>
      </c>
      <c r="C17" s="61" t="s">
        <v>917</v>
      </c>
      <c r="D17" s="53">
        <f>SUMIF('Projetos ciclo 2018-2022'!$K$8:$K$100,'Projetos x Riscos Não Execução'!B17,'Projetos ciclo 2018-2022'!$BU$8:$BU$100)</f>
        <v>0</v>
      </c>
    </row>
    <row r="18" spans="2:4" ht="45" customHeight="1" x14ac:dyDescent="0.3">
      <c r="B18" s="55" t="s">
        <v>593</v>
      </c>
      <c r="C18" s="62" t="s">
        <v>922</v>
      </c>
      <c r="D18" s="53">
        <f>SUMIF('Projetos ciclo 2018-2022'!$K$8:$K$100,'Projetos x Riscos Não Execução'!B18,'Projetos ciclo 2018-2022'!$BU$8:$BU$100)</f>
        <v>0</v>
      </c>
    </row>
    <row r="19" spans="2:4" ht="38.25" x14ac:dyDescent="0.3">
      <c r="B19" s="54" t="s">
        <v>618</v>
      </c>
      <c r="C19" s="61" t="s">
        <v>918</v>
      </c>
      <c r="D19" s="53">
        <f>SUMIF('Projetos ciclo 2018-2022'!$K$8:$K$100,'Projetos x Riscos Não Execução'!B19,'Projetos ciclo 2018-2022'!$BU$8:$BU$100)</f>
        <v>0</v>
      </c>
    </row>
    <row r="20" spans="2:4" ht="38.25" x14ac:dyDescent="0.3">
      <c r="B20" s="56" t="s">
        <v>617</v>
      </c>
      <c r="C20" s="61" t="s">
        <v>919</v>
      </c>
      <c r="D20" s="53">
        <f>SUMIF('Projetos ciclo 2018-2022'!$K$8:$K$100,'Projetos x Riscos Não Execução'!B20,'Projetos ciclo 2018-2022'!$BU$8:$BU$100)</f>
        <v>0</v>
      </c>
    </row>
    <row r="21" spans="2:4" ht="38.25" x14ac:dyDescent="0.3">
      <c r="B21" s="55" t="s">
        <v>647</v>
      </c>
      <c r="C21" s="61" t="s">
        <v>920</v>
      </c>
      <c r="D21" s="53">
        <f>SUMIF('Projetos ciclo 2018-2022'!$K$8:$K$100,'Projetos x Riscos Não Execução'!B21,'Projetos ciclo 2018-2022'!$BU$8:$BU$100)</f>
        <v>0</v>
      </c>
    </row>
    <row r="22" spans="2:4" ht="38.25" x14ac:dyDescent="0.3">
      <c r="B22" s="56" t="s">
        <v>579</v>
      </c>
      <c r="C22" s="61" t="s">
        <v>921</v>
      </c>
      <c r="D22" s="53">
        <f>SUMIF('Projetos ciclo 2018-2022'!$K$8:$K$100,'Projetos x Riscos Não Execução'!B22,'Projetos ciclo 2018-2022'!$BU$8:$BU$100)</f>
        <v>0</v>
      </c>
    </row>
    <row r="23" spans="2:4" x14ac:dyDescent="0.3">
      <c r="B23" s="42" t="s">
        <v>890</v>
      </c>
      <c r="C23" s="42"/>
      <c r="D23" s="46">
        <f>SUM(D16:D22)</f>
        <v>11311</v>
      </c>
    </row>
    <row r="24" spans="2:4" x14ac:dyDescent="0.3">
      <c r="B24" s="58" t="s">
        <v>895</v>
      </c>
      <c r="C24" s="42"/>
      <c r="D24" s="46">
        <v>37195.951000000001</v>
      </c>
    </row>
    <row r="28" spans="2:4" x14ac:dyDescent="0.3">
      <c r="B28" s="45" t="s">
        <v>894</v>
      </c>
    </row>
    <row r="29" spans="2:4" x14ac:dyDescent="0.3">
      <c r="B29" s="51" t="s">
        <v>887</v>
      </c>
      <c r="C29" s="51" t="s">
        <v>888</v>
      </c>
      <c r="D29" s="51" t="s">
        <v>886</v>
      </c>
    </row>
    <row r="30" spans="2:4" ht="80.25" customHeight="1" x14ac:dyDescent="0.3">
      <c r="B30" s="59" t="s">
        <v>898</v>
      </c>
      <c r="C30" s="64" t="s">
        <v>944</v>
      </c>
      <c r="D30" s="53">
        <f>SUMIF('Projetos ciclo 2018-2022'!$K$8:$K$100,'Projetos x Riscos Não Execução'!B30,'Projetos ciclo 2018-2022'!$BU$8:$BU$100)</f>
        <v>0</v>
      </c>
    </row>
    <row r="31" spans="2:4" ht="30" customHeight="1" x14ac:dyDescent="0.3">
      <c r="B31" s="55" t="s">
        <v>693</v>
      </c>
      <c r="C31" s="61" t="s">
        <v>923</v>
      </c>
      <c r="D31" s="53">
        <f>SUMIF('Projetos ciclo 2018-2022'!$K$8:$K$100,'Projetos x Riscos Não Execução'!B31,'Projetos ciclo 2018-2022'!$BU$8:$BU$100)</f>
        <v>0</v>
      </c>
    </row>
    <row r="32" spans="2:4" ht="25.5" x14ac:dyDescent="0.3">
      <c r="B32" s="55" t="s">
        <v>582</v>
      </c>
      <c r="C32" s="61" t="s">
        <v>924</v>
      </c>
      <c r="D32" s="53">
        <f>SUMIF('Projetos ciclo 2018-2022'!$K$8:$K$100,'Projetos x Riscos Não Execução'!B32,'Projetos ciclo 2018-2022'!$BU$8:$BU$100)</f>
        <v>0</v>
      </c>
    </row>
    <row r="33" spans="2:4" ht="25.5" x14ac:dyDescent="0.3">
      <c r="B33" s="55" t="s">
        <v>485</v>
      </c>
      <c r="C33" s="61" t="s">
        <v>925</v>
      </c>
      <c r="D33" s="53">
        <f>SUMIF('Projetos ciclo 2018-2022'!$K$8:$K$100,'Projetos x Riscos Não Execução'!B33,'Projetos ciclo 2018-2022'!$BU$8:$BU$100)</f>
        <v>0</v>
      </c>
    </row>
    <row r="34" spans="2:4" x14ac:dyDescent="0.3">
      <c r="B34" s="42" t="s">
        <v>890</v>
      </c>
      <c r="C34" s="42"/>
      <c r="D34" s="46">
        <f>SUM(D30:D33)</f>
        <v>0</v>
      </c>
    </row>
    <row r="35" spans="2:4" x14ac:dyDescent="0.3">
      <c r="B35" s="49" t="s">
        <v>896</v>
      </c>
      <c r="C35" s="42"/>
      <c r="D35" s="46">
        <v>8548.4</v>
      </c>
    </row>
    <row r="38" spans="2:4" x14ac:dyDescent="0.3">
      <c r="B38" s="45" t="s">
        <v>899</v>
      </c>
    </row>
    <row r="39" spans="2:4" x14ac:dyDescent="0.3">
      <c r="B39" s="51" t="s">
        <v>887</v>
      </c>
      <c r="C39" s="51" t="s">
        <v>888</v>
      </c>
      <c r="D39" s="51" t="s">
        <v>886</v>
      </c>
    </row>
    <row r="40" spans="2:4" x14ac:dyDescent="0.3">
      <c r="B40" s="55" t="s">
        <v>745</v>
      </c>
      <c r="C40" s="61" t="s">
        <v>926</v>
      </c>
      <c r="D40" s="53">
        <f>SUMIF('Projetos ciclo 2018-2022'!$K$8:$K$100,'Projetos x Riscos Não Execução'!B40,'Projetos ciclo 2018-2022'!$BU$8:$BU$100)</f>
        <v>0</v>
      </c>
    </row>
    <row r="41" spans="2:4" x14ac:dyDescent="0.3">
      <c r="B41" s="55" t="s">
        <v>727</v>
      </c>
      <c r="C41" s="61" t="s">
        <v>927</v>
      </c>
      <c r="D41" s="53">
        <f>SUMIF('Projetos ciclo 2018-2022'!$K$8:$K$100,'Projetos x Riscos Não Execução'!B41,'Projetos ciclo 2018-2022'!$BU$8:$BU$100)</f>
        <v>0</v>
      </c>
    </row>
    <row r="42" spans="2:4" x14ac:dyDescent="0.3">
      <c r="B42" s="42" t="s">
        <v>890</v>
      </c>
      <c r="C42" s="42"/>
      <c r="D42" s="46">
        <f>SUM(D40:D41)</f>
        <v>0</v>
      </c>
    </row>
    <row r="43" spans="2:4" x14ac:dyDescent="0.3">
      <c r="B43" s="49" t="s">
        <v>900</v>
      </c>
      <c r="C43" s="42"/>
      <c r="D43" s="46">
        <v>37932.724000000002</v>
      </c>
    </row>
    <row r="46" spans="2:4" x14ac:dyDescent="0.3">
      <c r="B46" s="45" t="s">
        <v>901</v>
      </c>
    </row>
    <row r="47" spans="2:4" x14ac:dyDescent="0.3">
      <c r="B47" s="51" t="s">
        <v>887</v>
      </c>
      <c r="C47" s="51" t="s">
        <v>888</v>
      </c>
      <c r="D47" s="51" t="s">
        <v>886</v>
      </c>
    </row>
    <row r="48" spans="2:4" ht="76.5" x14ac:dyDescent="0.3">
      <c r="B48" s="55" t="s">
        <v>706</v>
      </c>
      <c r="C48" s="61" t="s">
        <v>928</v>
      </c>
      <c r="D48" s="53">
        <f>SUMIF('Projetos ciclo 2018-2022'!$K$8:$K$100,'Projetos x Riscos Não Execução'!B48,'Projetos ciclo 2018-2022'!$BU$8:$BU$100)</f>
        <v>0</v>
      </c>
    </row>
    <row r="49" spans="2:4" ht="25.5" x14ac:dyDescent="0.3">
      <c r="B49" s="55" t="s">
        <v>517</v>
      </c>
      <c r="C49" s="61" t="s">
        <v>929</v>
      </c>
      <c r="D49" s="53">
        <f>SUMIF('Projetos ciclo 2018-2022'!$K$8:$K$100,'Projetos x Riscos Não Execução'!B49,'Projetos ciclo 2018-2022'!$BU$8:$BU$100)</f>
        <v>0</v>
      </c>
    </row>
    <row r="50" spans="2:4" ht="25.5" x14ac:dyDescent="0.3">
      <c r="B50" s="55" t="s">
        <v>520</v>
      </c>
      <c r="C50" s="61" t="s">
        <v>929</v>
      </c>
      <c r="D50" s="53">
        <f>SUMIF('Projetos ciclo 2018-2022'!$K$8:$K$100,'Projetos x Riscos Não Execução'!B50,'Projetos ciclo 2018-2022'!$BU$8:$BU$100)</f>
        <v>0</v>
      </c>
    </row>
    <row r="51" spans="2:4" ht="25.5" x14ac:dyDescent="0.3">
      <c r="B51" s="55" t="s">
        <v>521</v>
      </c>
      <c r="C51" s="61" t="s">
        <v>929</v>
      </c>
      <c r="D51" s="53">
        <f>SUMIF('Projetos ciclo 2018-2022'!$K$8:$K$100,'Projetos x Riscos Não Execução'!B51,'Projetos ciclo 2018-2022'!$BU$8:$BU$100)</f>
        <v>0</v>
      </c>
    </row>
    <row r="52" spans="2:4" x14ac:dyDescent="0.3">
      <c r="B52" s="42" t="s">
        <v>890</v>
      </c>
      <c r="C52" s="42"/>
      <c r="D52" s="46">
        <f>SUM(D48:D51)</f>
        <v>0</v>
      </c>
    </row>
    <row r="53" spans="2:4" x14ac:dyDescent="0.3">
      <c r="B53" s="49" t="s">
        <v>902</v>
      </c>
      <c r="C53" s="42"/>
      <c r="D53" s="46">
        <v>27069</v>
      </c>
    </row>
    <row r="56" spans="2:4" x14ac:dyDescent="0.3">
      <c r="B56" s="45" t="s">
        <v>903</v>
      </c>
    </row>
    <row r="57" spans="2:4" x14ac:dyDescent="0.3">
      <c r="B57" s="51" t="s">
        <v>887</v>
      </c>
      <c r="C57" s="51" t="s">
        <v>888</v>
      </c>
      <c r="D57" s="51" t="s">
        <v>886</v>
      </c>
    </row>
    <row r="58" spans="2:4" ht="63.75" hidden="1" x14ac:dyDescent="0.3">
      <c r="B58" s="55" t="s">
        <v>329</v>
      </c>
      <c r="C58" s="61" t="s">
        <v>930</v>
      </c>
      <c r="D58" s="53">
        <f>SUMIF('Projetos ciclo 2018-2022'!$K$8:$K$100,'Projetos x Riscos Não Execução'!B58,'Projetos ciclo 2018-2022'!$BU$8:$BU$100)</f>
        <v>0</v>
      </c>
    </row>
    <row r="59" spans="2:4" ht="25.5" hidden="1" x14ac:dyDescent="0.3">
      <c r="B59" s="55" t="s">
        <v>358</v>
      </c>
      <c r="C59" s="55" t="s">
        <v>760</v>
      </c>
      <c r="D59" s="53">
        <f>SUMIF('Projetos ciclo 2018-2022'!$K$8:$K$100,'Projetos x Riscos Não Execução'!B59,'Projetos ciclo 2018-2022'!$BU$8:$BU$100)</f>
        <v>0</v>
      </c>
    </row>
    <row r="60" spans="2:4" hidden="1" x14ac:dyDescent="0.3">
      <c r="B60" s="55" t="s">
        <v>904</v>
      </c>
      <c r="C60" s="55" t="s">
        <v>762</v>
      </c>
      <c r="D60" s="53">
        <f>SUMIF('Projetos ciclo 2018-2022'!$K$8:$K$100,'Projetos x Riscos Não Execução'!B60,'Projetos ciclo 2018-2022'!$BU$8:$BU$100)</f>
        <v>0</v>
      </c>
    </row>
    <row r="61" spans="2:4" ht="81.75" hidden="1" customHeight="1" x14ac:dyDescent="0.3">
      <c r="B61" s="55" t="s">
        <v>374</v>
      </c>
      <c r="C61" s="61" t="s">
        <v>942</v>
      </c>
      <c r="D61" s="53">
        <f>SUMIF('Projetos ciclo 2018-2022'!$K$8:$K$100,'Projetos x Riscos Não Execução'!B61,'Projetos ciclo 2018-2022'!$BU$8:$BU$100)</f>
        <v>0</v>
      </c>
    </row>
    <row r="62" spans="2:4" ht="93" hidden="1" customHeight="1" x14ac:dyDescent="0.3">
      <c r="B62" s="55" t="s">
        <v>554</v>
      </c>
      <c r="C62" s="61" t="s">
        <v>941</v>
      </c>
      <c r="D62" s="53">
        <f>SUMIF('Projetos ciclo 2018-2022'!$K$8:$K$100,'Projetos x Riscos Não Execução'!B62,'Projetos ciclo 2018-2022'!$BU$8:$BU$100)</f>
        <v>0</v>
      </c>
    </row>
    <row r="63" spans="2:4" hidden="1" x14ac:dyDescent="0.3">
      <c r="B63" s="55" t="s">
        <v>415</v>
      </c>
      <c r="C63" s="61" t="s">
        <v>931</v>
      </c>
      <c r="D63" s="53">
        <f>SUMIF('Projetos ciclo 2018-2022'!$K$8:$K$100,'Projetos x Riscos Não Execução'!B63,'Projetos ciclo 2018-2022'!$BU$8:$BU$100)</f>
        <v>0</v>
      </c>
    </row>
    <row r="64" spans="2:4" ht="52.5" hidden="1" customHeight="1" x14ac:dyDescent="0.3">
      <c r="B64" s="55" t="s">
        <v>905</v>
      </c>
      <c r="C64" s="61" t="s">
        <v>932</v>
      </c>
      <c r="D64" s="53">
        <f>SUMIF('Projetos ciclo 2018-2022'!$K$8:$K$100,'Projetos x Riscos Não Execução'!B64,'Projetos ciclo 2018-2022'!$BU$8:$BU$100)</f>
        <v>0</v>
      </c>
    </row>
    <row r="65" spans="2:4" ht="42.75" customHeight="1" x14ac:dyDescent="0.3">
      <c r="B65" s="55" t="s">
        <v>359</v>
      </c>
      <c r="C65" s="61" t="s">
        <v>943</v>
      </c>
      <c r="D65" s="53">
        <f>SUMIF('Projetos ciclo 2018-2022'!$K$8:$K$100,'Projetos x Riscos Não Execução'!B65,'Projetos ciclo 2018-2022'!$BU$8:$BU$100)</f>
        <v>0</v>
      </c>
    </row>
    <row r="66" spans="2:4" ht="38.25" x14ac:dyDescent="0.3">
      <c r="B66" s="55" t="s">
        <v>906</v>
      </c>
      <c r="C66" s="61" t="s">
        <v>939</v>
      </c>
      <c r="D66" s="53">
        <f>SUMIF('Projetos ciclo 2018-2022'!$K$8:$K$100,'Projetos x Riscos Não Execução'!B66,'Projetos ciclo 2018-2022'!$BU$8:$BU$100)</f>
        <v>0</v>
      </c>
    </row>
    <row r="67" spans="2:4" ht="41.25" customHeight="1" x14ac:dyDescent="0.3">
      <c r="B67" s="55" t="s">
        <v>382</v>
      </c>
      <c r="C67" s="61" t="s">
        <v>933</v>
      </c>
      <c r="D67" s="53">
        <f>SUMIF('Projetos ciclo 2018-2022'!$K$8:$K$100,'Projetos x Riscos Não Execução'!B67,'Projetos ciclo 2018-2022'!$BU$8:$BU$100)</f>
        <v>0</v>
      </c>
    </row>
    <row r="68" spans="2:4" ht="38.25" x14ac:dyDescent="0.3">
      <c r="B68" s="55" t="s">
        <v>907</v>
      </c>
      <c r="C68" s="61" t="s">
        <v>934</v>
      </c>
      <c r="D68" s="53">
        <f>SUMIF('Projetos ciclo 2018-2022'!$K$8:$K$100,'Projetos x Riscos Não Execução'!B68,'Projetos ciclo 2018-2022'!$BU$8:$BU$100)</f>
        <v>0</v>
      </c>
    </row>
    <row r="69" spans="2:4" ht="17.25" customHeight="1" x14ac:dyDescent="0.3">
      <c r="B69" s="55" t="s">
        <v>764</v>
      </c>
      <c r="C69" s="61" t="s">
        <v>935</v>
      </c>
      <c r="D69" s="53">
        <f>SUMIF('Projetos ciclo 2018-2022'!$K$8:$K$100,'Projetos x Riscos Não Execução'!B69,'Projetos ciclo 2018-2022'!$BU$8:$BU$100)</f>
        <v>0</v>
      </c>
    </row>
    <row r="70" spans="2:4" x14ac:dyDescent="0.3">
      <c r="B70" s="55" t="s">
        <v>940</v>
      </c>
      <c r="C70" s="61" t="s">
        <v>936</v>
      </c>
      <c r="D70" s="53">
        <f>SUMIF('Projetos ciclo 2018-2022'!$K$8:$K$100,'Projetos x Riscos Não Execução'!B70,'Projetos ciclo 2018-2022'!$BU$8:$BU$100)</f>
        <v>0</v>
      </c>
    </row>
    <row r="71" spans="2:4" x14ac:dyDescent="0.3">
      <c r="B71" s="55" t="s">
        <v>418</v>
      </c>
      <c r="C71" s="61" t="s">
        <v>937</v>
      </c>
      <c r="D71" s="53">
        <f>SUMIF('Projetos ciclo 2018-2022'!$K$8:$K$100,'Projetos x Riscos Não Execução'!B71,'Projetos ciclo 2018-2022'!$BU$8:$BU$100)</f>
        <v>0</v>
      </c>
    </row>
    <row r="72" spans="2:4" ht="25.5" x14ac:dyDescent="0.3">
      <c r="B72" s="55" t="s">
        <v>398</v>
      </c>
      <c r="C72" s="61" t="s">
        <v>938</v>
      </c>
      <c r="D72" s="53">
        <f>SUMIF('Projetos ciclo 2018-2022'!$K$8:$K$100,'Projetos x Riscos Não Execução'!B72,'Projetos ciclo 2018-2022'!$BU$8:$BU$100)</f>
        <v>0</v>
      </c>
    </row>
    <row r="73" spans="2:4" x14ac:dyDescent="0.3">
      <c r="B73" s="42" t="s">
        <v>890</v>
      </c>
      <c r="C73" s="42"/>
      <c r="D73" s="46">
        <f>SUM(D58:D72)</f>
        <v>0</v>
      </c>
    </row>
    <row r="74" spans="2:4" x14ac:dyDescent="0.3">
      <c r="B74" s="49" t="s">
        <v>908</v>
      </c>
      <c r="C74" s="42"/>
      <c r="D74" s="46">
        <v>224907</v>
      </c>
    </row>
  </sheetData>
  <pageMargins left="0.511811024" right="0.511811024" top="0.78740157499999996" bottom="0.78740157499999996" header="0.31496062000000002" footer="0.31496062000000002"/>
  <pageSetup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201"/>
  <sheetViews>
    <sheetView workbookViewId="0">
      <selection activeCell="A20" sqref="A20"/>
    </sheetView>
  </sheetViews>
  <sheetFormatPr defaultRowHeight="15" x14ac:dyDescent="0.25"/>
  <cols>
    <col min="1" max="1" width="24.28515625" customWidth="1"/>
    <col min="15" max="15" width="27.85546875" customWidth="1"/>
    <col min="29" max="29" width="27.85546875" customWidth="1"/>
    <col min="43" max="43" width="27.85546875" customWidth="1"/>
    <col min="58" max="58" width="19" customWidth="1"/>
    <col min="59" max="59" width="54.140625" customWidth="1"/>
    <col min="61" max="72" width="10.28515625" customWidth="1"/>
    <col min="75" max="75" width="9.5703125" bestFit="1" customWidth="1"/>
    <col min="79" max="79" width="10.7109375" bestFit="1" customWidth="1"/>
  </cols>
  <sheetData>
    <row r="1" spans="1:55" ht="18" x14ac:dyDescent="0.25">
      <c r="A1" s="551" t="s">
        <v>949</v>
      </c>
      <c r="B1" s="551"/>
      <c r="C1" s="551"/>
      <c r="D1" s="551"/>
      <c r="E1" s="551"/>
      <c r="F1" s="551"/>
      <c r="G1" s="551"/>
      <c r="H1" s="551"/>
      <c r="I1" s="551"/>
      <c r="J1" s="551"/>
      <c r="K1" s="552" t="s">
        <v>974</v>
      </c>
      <c r="L1" s="552"/>
      <c r="M1" s="552"/>
      <c r="N1" s="74"/>
      <c r="O1" s="551" t="s">
        <v>956</v>
      </c>
      <c r="P1" s="551"/>
      <c r="Q1" s="551"/>
      <c r="R1" s="551"/>
      <c r="S1" s="551"/>
      <c r="T1" s="551"/>
      <c r="U1" s="551"/>
      <c r="V1" s="551"/>
      <c r="W1" s="551"/>
      <c r="X1" s="551"/>
      <c r="Y1" s="552" t="s">
        <v>974</v>
      </c>
      <c r="Z1" s="552"/>
      <c r="AA1" s="552"/>
      <c r="AB1" s="74"/>
      <c r="AC1" s="551" t="s">
        <v>963</v>
      </c>
      <c r="AD1" s="551"/>
      <c r="AE1" s="551"/>
      <c r="AF1" s="551"/>
      <c r="AG1" s="551"/>
      <c r="AH1" s="551"/>
      <c r="AI1" s="551"/>
      <c r="AJ1" s="551"/>
      <c r="AK1" s="551"/>
      <c r="AL1" s="551"/>
      <c r="AM1" s="552" t="s">
        <v>974</v>
      </c>
      <c r="AN1" s="552"/>
      <c r="AO1" s="552"/>
      <c r="AP1" s="74"/>
      <c r="AQ1" s="551" t="s">
        <v>970</v>
      </c>
      <c r="AR1" s="551"/>
      <c r="AS1" s="551"/>
      <c r="AT1" s="551"/>
      <c r="AU1" s="551"/>
      <c r="AV1" s="551"/>
      <c r="AW1" s="551"/>
      <c r="AX1" s="551"/>
      <c r="AY1" s="551"/>
      <c r="AZ1" s="551"/>
      <c r="BA1" s="552" t="s">
        <v>974</v>
      </c>
      <c r="BB1" s="552"/>
      <c r="BC1" s="552"/>
    </row>
    <row r="2" spans="1:55" ht="16.5" x14ac:dyDescent="0.3">
      <c r="A2" s="76" t="s">
        <v>57</v>
      </c>
      <c r="B2" s="72">
        <v>43101</v>
      </c>
      <c r="C2" s="72">
        <v>43132</v>
      </c>
      <c r="D2" s="72">
        <v>43160</v>
      </c>
      <c r="E2" s="72">
        <v>43191</v>
      </c>
      <c r="F2" s="72">
        <v>43221</v>
      </c>
      <c r="G2" s="72">
        <v>43252</v>
      </c>
      <c r="H2" s="72">
        <v>43282</v>
      </c>
      <c r="I2" s="72">
        <v>43313</v>
      </c>
      <c r="J2" s="72">
        <v>43344</v>
      </c>
      <c r="K2" s="72">
        <v>43374</v>
      </c>
      <c r="L2" s="72">
        <v>43405</v>
      </c>
      <c r="M2" s="72">
        <v>43435</v>
      </c>
      <c r="N2" s="74"/>
      <c r="O2" s="40" t="s">
        <v>54</v>
      </c>
      <c r="P2" s="72">
        <v>43101</v>
      </c>
      <c r="Q2" s="72">
        <v>43132</v>
      </c>
      <c r="R2" s="72">
        <v>43160</v>
      </c>
      <c r="S2" s="72">
        <v>43191</v>
      </c>
      <c r="T2" s="72">
        <v>43221</v>
      </c>
      <c r="U2" s="72">
        <v>43252</v>
      </c>
      <c r="V2" s="72">
        <v>43282</v>
      </c>
      <c r="W2" s="72">
        <v>43313</v>
      </c>
      <c r="X2" s="72">
        <v>43344</v>
      </c>
      <c r="Y2" s="72">
        <v>43374</v>
      </c>
      <c r="Z2" s="72">
        <v>43405</v>
      </c>
      <c r="AA2" s="72">
        <v>43435</v>
      </c>
      <c r="AB2" s="74"/>
      <c r="AC2" s="40" t="s">
        <v>63</v>
      </c>
      <c r="AD2" s="72">
        <v>43101</v>
      </c>
      <c r="AE2" s="72">
        <v>43132</v>
      </c>
      <c r="AF2" s="72">
        <v>43160</v>
      </c>
      <c r="AG2" s="72">
        <v>43191</v>
      </c>
      <c r="AH2" s="72">
        <v>43221</v>
      </c>
      <c r="AI2" s="72">
        <v>43252</v>
      </c>
      <c r="AJ2" s="72">
        <v>43282</v>
      </c>
      <c r="AK2" s="72">
        <v>43313</v>
      </c>
      <c r="AL2" s="72">
        <v>43344</v>
      </c>
      <c r="AM2" s="72">
        <v>43374</v>
      </c>
      <c r="AN2" s="72">
        <v>43405</v>
      </c>
      <c r="AO2" s="72">
        <v>43435</v>
      </c>
      <c r="AP2" s="74"/>
      <c r="AQ2" s="40" t="s">
        <v>406</v>
      </c>
      <c r="AR2" s="72">
        <v>43101</v>
      </c>
      <c r="AS2" s="72">
        <v>43132</v>
      </c>
      <c r="AT2" s="72">
        <v>43160</v>
      </c>
      <c r="AU2" s="72">
        <v>43191</v>
      </c>
      <c r="AV2" s="72">
        <v>43221</v>
      </c>
      <c r="AW2" s="72">
        <v>43252</v>
      </c>
      <c r="AX2" s="72">
        <v>43282</v>
      </c>
      <c r="AY2" s="72">
        <v>43313</v>
      </c>
      <c r="AZ2" s="72">
        <v>43344</v>
      </c>
      <c r="BA2" s="72">
        <v>43374</v>
      </c>
      <c r="BB2" s="72">
        <v>43405</v>
      </c>
      <c r="BC2" s="72">
        <v>43435</v>
      </c>
    </row>
    <row r="3" spans="1:55" ht="16.5" x14ac:dyDescent="0.3">
      <c r="A3" s="70" t="s">
        <v>947</v>
      </c>
      <c r="B3" s="41">
        <f>SUMIF('Projetos ciclo 2018-2022'!$B$8:$B$318,'Gráfico Tendência 2018-2022'!$A$2,'Projetos ciclo 2018-2022'!$T$8:$T$318)</f>
        <v>69957.157313967851</v>
      </c>
      <c r="C3" s="41">
        <f>SUMIF('Projetos ciclo 2018-2022'!$B$8:$B$318,'Gráfico Tendência 2018-2022'!$A$2,'Projetos ciclo 2018-2022'!$T$8:$T$318)</f>
        <v>69957.157313967851</v>
      </c>
      <c r="D3" s="41">
        <f>SUMIF('Projetos ciclo 2018-2022'!$B$8:$B$318,'Gráfico Tendência 2018-2022'!$A$2,'Projetos ciclo 2018-2022'!$T$8:$T$318)</f>
        <v>69957.157313967851</v>
      </c>
      <c r="E3" s="41">
        <f>SUMIF('Projetos ciclo 2018-2022'!$B$8:$B$318,'Gráfico Tendência 2018-2022'!$A$2,'Projetos ciclo 2018-2022'!$T$8:$T$318)</f>
        <v>69957.157313967851</v>
      </c>
      <c r="F3" s="41">
        <f>SUMIF('Projetos ciclo 2018-2022'!$B$8:$B$318,'Gráfico Tendência 2018-2022'!$A$2,'Projetos ciclo 2018-2022'!$T$8:$T$318)</f>
        <v>69957.157313967851</v>
      </c>
      <c r="G3" s="41">
        <f>SUMIF('Projetos ciclo 2018-2022'!$B$8:$B$318,'Gráfico Tendência 2018-2022'!$A$2,'Projetos ciclo 2018-2022'!$T$8:$T$318)</f>
        <v>69957.157313967851</v>
      </c>
      <c r="H3" s="41">
        <f>SUMIF('Projetos ciclo 2018-2022'!$B$8:$B$318,'Gráfico Tendência 2018-2022'!$A$2,'Projetos ciclo 2018-2022'!$T$8:$T$318)</f>
        <v>69957.157313967851</v>
      </c>
      <c r="I3" s="41">
        <f>SUMIF('Projetos ciclo 2018-2022'!$B$8:$B$318,'Gráfico Tendência 2018-2022'!$A$2,'Projetos ciclo 2018-2022'!$T$8:$T$318)</f>
        <v>69957.157313967851</v>
      </c>
      <c r="J3" s="41">
        <f>SUMIF('Projetos ciclo 2018-2022'!$B$8:$B$318,'Gráfico Tendência 2018-2022'!$A$2,'Projetos ciclo 2018-2022'!$T$8:$T$318)</f>
        <v>69957.157313967851</v>
      </c>
      <c r="K3" s="41">
        <f>SUMIF('Projetos ciclo 2018-2022'!$B$8:$B$318,'Gráfico Tendência 2018-2022'!$A$2,'Projetos ciclo 2018-2022'!$T$8:$T$318)</f>
        <v>69957.157313967851</v>
      </c>
      <c r="L3" s="41">
        <f>SUMIF('Projetos ciclo 2018-2022'!$B$8:$B$318,'Gráfico Tendência 2018-2022'!$A$2,'Projetos ciclo 2018-2022'!$T$8:$T$318)</f>
        <v>69957.157313967851</v>
      </c>
      <c r="M3" s="41">
        <f>SUMIF('Projetos ciclo 2018-2022'!$B$8:$B$318,'Gráfico Tendência 2018-2022'!$A$2,'Projetos ciclo 2018-2022'!$T$8:$T$318)</f>
        <v>69957.157313967851</v>
      </c>
      <c r="N3" s="74"/>
      <c r="O3" s="70" t="s">
        <v>947</v>
      </c>
      <c r="P3" s="41">
        <f>SUMIF('Projetos ciclo 2018-2022'!$B$8:$B$102,'Gráfico Tendência 2018-2022'!$O$2,'Projetos ciclo 2018-2022'!$T$8:$T$102)</f>
        <v>2385.3743325702667</v>
      </c>
      <c r="Q3" s="41">
        <f>SUMIF('Projetos ciclo 2018-2022'!$B$8:$B$102,'Gráfico Tendência 2018-2022'!$O$2,'Projetos ciclo 2018-2022'!$T$8:$T$102)</f>
        <v>2385.3743325702667</v>
      </c>
      <c r="R3" s="41">
        <f>SUMIF('Projetos ciclo 2018-2022'!$B$8:$B$102,'Gráfico Tendência 2018-2022'!$O$2,'Projetos ciclo 2018-2022'!$T$8:$T$102)</f>
        <v>2385.3743325702667</v>
      </c>
      <c r="S3" s="41">
        <f>SUMIF('Projetos ciclo 2018-2022'!$B$8:$B$102,'Gráfico Tendência 2018-2022'!$O$2,'Projetos ciclo 2018-2022'!$T$8:$T$102)</f>
        <v>2385.3743325702667</v>
      </c>
      <c r="T3" s="41">
        <f>SUMIF('Projetos ciclo 2018-2022'!$B$8:$B$102,'Gráfico Tendência 2018-2022'!$O$2,'Projetos ciclo 2018-2022'!$T$8:$T$102)</f>
        <v>2385.3743325702667</v>
      </c>
      <c r="U3" s="41">
        <f>SUMIF('Projetos ciclo 2018-2022'!$B$8:$B$102,'Gráfico Tendência 2018-2022'!$O$2,'Projetos ciclo 2018-2022'!$T$8:$T$102)</f>
        <v>2385.3743325702667</v>
      </c>
      <c r="V3" s="41">
        <f>SUMIF('Projetos ciclo 2018-2022'!$B$8:$B$102,'Gráfico Tendência 2018-2022'!$O$2,'Projetos ciclo 2018-2022'!$T$8:$T$102)</f>
        <v>2385.3743325702667</v>
      </c>
      <c r="W3" s="41">
        <f>SUMIF('Projetos ciclo 2018-2022'!$B$8:$B$102,'Gráfico Tendência 2018-2022'!$O$2,'Projetos ciclo 2018-2022'!$T$8:$T$102)</f>
        <v>2385.3743325702667</v>
      </c>
      <c r="X3" s="41">
        <f>SUMIF('Projetos ciclo 2018-2022'!$B$8:$B$102,'Gráfico Tendência 2018-2022'!$O$2,'Projetos ciclo 2018-2022'!$T$8:$T$102)</f>
        <v>2385.3743325702667</v>
      </c>
      <c r="Y3" s="41">
        <f>SUMIF('Projetos ciclo 2018-2022'!$B$8:$B$102,'Gráfico Tendência 2018-2022'!$O$2,'Projetos ciclo 2018-2022'!$T$8:$T$102)</f>
        <v>2385.3743325702667</v>
      </c>
      <c r="Z3" s="41">
        <f>SUMIF('Projetos ciclo 2018-2022'!$B$8:$B$102,'Gráfico Tendência 2018-2022'!$O$2,'Projetos ciclo 2018-2022'!$T$8:$T$102)</f>
        <v>2385.3743325702667</v>
      </c>
      <c r="AA3" s="41">
        <f>SUMIF('Projetos ciclo 2018-2022'!$B$8:$B$102,'Gráfico Tendência 2018-2022'!$O$2,'Projetos ciclo 2018-2022'!$T$8:$T$102)</f>
        <v>2385.3743325702667</v>
      </c>
      <c r="AB3" s="74"/>
      <c r="AC3" s="70" t="s">
        <v>947</v>
      </c>
      <c r="AD3" s="41">
        <f>SUMIF('Projetos ciclo 2018-2022'!$B$8:$B$102,'Gráfico Tendência 2018-2022'!$AC$2,'Projetos ciclo 2018-2022'!$T$8:$T$102)</f>
        <v>2441.6929174855413</v>
      </c>
      <c r="AE3" s="41">
        <f>SUMIF('Projetos ciclo 2018-2022'!$B$8:$B$102,'Gráfico Tendência 2018-2022'!$AC$2,'Projetos ciclo 2018-2022'!$T$8:$T$102)</f>
        <v>2441.6929174855413</v>
      </c>
      <c r="AF3" s="41">
        <f>SUMIF('Projetos ciclo 2018-2022'!$B$8:$B$102,'Gráfico Tendência 2018-2022'!$AC$2,'Projetos ciclo 2018-2022'!$T$8:$T$102)</f>
        <v>2441.6929174855413</v>
      </c>
      <c r="AG3" s="41">
        <f>SUMIF('Projetos ciclo 2018-2022'!$B$8:$B$102,'Gráfico Tendência 2018-2022'!$AC$2,'Projetos ciclo 2018-2022'!$T$8:$T$102)</f>
        <v>2441.6929174855413</v>
      </c>
      <c r="AH3" s="41">
        <f>SUMIF('Projetos ciclo 2018-2022'!$B$8:$B$102,'Gráfico Tendência 2018-2022'!$AC$2,'Projetos ciclo 2018-2022'!$T$8:$T$102)</f>
        <v>2441.6929174855413</v>
      </c>
      <c r="AI3" s="41">
        <f>SUMIF('Projetos ciclo 2018-2022'!$B$8:$B$102,'Gráfico Tendência 2018-2022'!$AC$2,'Projetos ciclo 2018-2022'!$T$8:$T$102)</f>
        <v>2441.6929174855413</v>
      </c>
      <c r="AJ3" s="41">
        <f>SUMIF('Projetos ciclo 2018-2022'!$B$8:$B$102,'Gráfico Tendência 2018-2022'!$AC$2,'Projetos ciclo 2018-2022'!$T$8:$T$102)</f>
        <v>2441.6929174855413</v>
      </c>
      <c r="AK3" s="41">
        <f>SUMIF('Projetos ciclo 2018-2022'!$B$8:$B$102,'Gráfico Tendência 2018-2022'!$AC$2,'Projetos ciclo 2018-2022'!$T$8:$T$102)</f>
        <v>2441.6929174855413</v>
      </c>
      <c r="AL3" s="41">
        <f>SUMIF('Projetos ciclo 2018-2022'!$B$8:$B$102,'Gráfico Tendência 2018-2022'!$AC$2,'Projetos ciclo 2018-2022'!$T$8:$T$102)</f>
        <v>2441.6929174855413</v>
      </c>
      <c r="AM3" s="41">
        <f>SUMIF('Projetos ciclo 2018-2022'!$B$8:$B$102,'Gráfico Tendência 2018-2022'!$AC$2,'Projetos ciclo 2018-2022'!$T$8:$T$102)</f>
        <v>2441.6929174855413</v>
      </c>
      <c r="AN3" s="41">
        <f>SUMIF('Projetos ciclo 2018-2022'!$B$8:$B$102,'Gráfico Tendência 2018-2022'!$AC$2,'Projetos ciclo 2018-2022'!$T$8:$T$102)</f>
        <v>2441.6929174855413</v>
      </c>
      <c r="AO3" s="41">
        <f>SUMIF('Projetos ciclo 2018-2022'!$B$8:$B$102,'Gráfico Tendência 2018-2022'!$AC$2,'Projetos ciclo 2018-2022'!$T$8:$T$102)</f>
        <v>2441.6929174855413</v>
      </c>
      <c r="AP3" s="74"/>
      <c r="AQ3" s="70" t="s">
        <v>947</v>
      </c>
      <c r="AR3" s="41">
        <f>SUMIF('Projetos ciclo 2018-2022'!$B$8:$B$102,'Gráfico Tendência 2018-2022'!$AQ$2,'Projetos ciclo 2018-2022'!$T$8:$T$102)</f>
        <v>0</v>
      </c>
      <c r="AS3" s="41">
        <f>SUMIF('Projetos ciclo 2018-2022'!$B$8:$B$102,'Gráfico Tendência 2018-2022'!$AQ$2,'Projetos ciclo 2018-2022'!$T$8:$T$102)</f>
        <v>0</v>
      </c>
      <c r="AT3" s="41">
        <f>SUMIF('Projetos ciclo 2018-2022'!$B$8:$B$102,'Gráfico Tendência 2018-2022'!$AQ$2,'Projetos ciclo 2018-2022'!$T$8:$T$102)</f>
        <v>0</v>
      </c>
      <c r="AU3" s="41">
        <f>SUMIF('Projetos ciclo 2018-2022'!$B$8:$B$102,'Gráfico Tendência 2018-2022'!$AQ$2,'Projetos ciclo 2018-2022'!$T$8:$T$102)</f>
        <v>0</v>
      </c>
      <c r="AV3" s="41">
        <f>SUMIF('Projetos ciclo 2018-2022'!$B$8:$B$102,'Gráfico Tendência 2018-2022'!$AQ$2,'Projetos ciclo 2018-2022'!$T$8:$T$102)</f>
        <v>0</v>
      </c>
      <c r="AW3" s="41">
        <f>SUMIF('Projetos ciclo 2018-2022'!$B$8:$B$102,'Gráfico Tendência 2018-2022'!$AQ$2,'Projetos ciclo 2018-2022'!$T$8:$T$102)</f>
        <v>0</v>
      </c>
      <c r="AX3" s="41">
        <f>SUMIF('Projetos ciclo 2018-2022'!$B$8:$B$102,'Gráfico Tendência 2018-2022'!$AQ$2,'Projetos ciclo 2018-2022'!$T$8:$T$102)</f>
        <v>0</v>
      </c>
      <c r="AY3" s="41">
        <f>SUMIF('Projetos ciclo 2018-2022'!$B$8:$B$102,'Gráfico Tendência 2018-2022'!$AQ$2,'Projetos ciclo 2018-2022'!$T$8:$T$102)</f>
        <v>0</v>
      </c>
      <c r="AZ3" s="41">
        <f>SUMIF('Projetos ciclo 2018-2022'!$B$8:$B$102,'Gráfico Tendência 2018-2022'!$AQ$2,'Projetos ciclo 2018-2022'!$T$8:$T$102)</f>
        <v>0</v>
      </c>
      <c r="BA3" s="41">
        <f>SUMIF('Projetos ciclo 2018-2022'!$B$8:$B$102,'Gráfico Tendência 2018-2022'!$AQ$2,'Projetos ciclo 2018-2022'!$T$8:$T$102)</f>
        <v>0</v>
      </c>
      <c r="BB3" s="41">
        <f>SUMIF('Projetos ciclo 2018-2022'!$B$8:$B$102,'Gráfico Tendência 2018-2022'!$AQ$2,'Projetos ciclo 2018-2022'!$T$8:$T$102)</f>
        <v>0</v>
      </c>
      <c r="BC3" s="41">
        <f>SUMIF('Projetos ciclo 2018-2022'!$B$8:$B$102,'Gráfico Tendência 2018-2022'!$AQ$2,'Projetos ciclo 2018-2022'!$T$8:$T$102)</f>
        <v>0</v>
      </c>
    </row>
    <row r="4" spans="1:55" ht="16.5" x14ac:dyDescent="0.3">
      <c r="A4" s="71" t="s">
        <v>948</v>
      </c>
      <c r="B4" s="41">
        <f>B6</f>
        <v>418.66537761688232</v>
      </c>
      <c r="C4" s="41">
        <f>B4+C6</f>
        <v>2075.0562953948975</v>
      </c>
      <c r="D4" s="41">
        <f>C4+D6</f>
        <v>6386.83780169487</v>
      </c>
      <c r="E4" s="41">
        <f>D4+E6</f>
        <v>13274.267174243927</v>
      </c>
      <c r="F4" s="41">
        <f>E4+F6</f>
        <v>22196.252348184586</v>
      </c>
      <c r="G4" s="41">
        <f t="shared" ref="G4:M5" si="0">F4+G6</f>
        <v>32545.133777141571</v>
      </c>
      <c r="H4" s="41"/>
      <c r="I4" s="41"/>
      <c r="J4" s="41"/>
      <c r="K4" s="41"/>
      <c r="L4" s="41"/>
      <c r="M4" s="41"/>
      <c r="N4" s="74"/>
      <c r="O4" s="71" t="s">
        <v>948</v>
      </c>
      <c r="P4" s="41">
        <f>P6</f>
        <v>0</v>
      </c>
      <c r="Q4" s="41">
        <f>P4+Q6</f>
        <v>0</v>
      </c>
      <c r="R4" s="41">
        <f>Q4+R6</f>
        <v>0</v>
      </c>
      <c r="S4" s="41">
        <f>R4+S6</f>
        <v>0</v>
      </c>
      <c r="T4" s="41">
        <f>S4+T6</f>
        <v>0</v>
      </c>
      <c r="U4" s="41">
        <f t="shared" ref="U4:AA4" si="1">T4+U6</f>
        <v>0</v>
      </c>
      <c r="V4" s="41">
        <f t="shared" si="1"/>
        <v>0</v>
      </c>
      <c r="W4" s="41">
        <f t="shared" si="1"/>
        <v>0</v>
      </c>
      <c r="X4" s="41">
        <f t="shared" si="1"/>
        <v>0</v>
      </c>
      <c r="Y4" s="41">
        <f t="shared" si="1"/>
        <v>0</v>
      </c>
      <c r="Z4" s="41">
        <f t="shared" si="1"/>
        <v>0</v>
      </c>
      <c r="AA4" s="41">
        <f t="shared" si="1"/>
        <v>0</v>
      </c>
      <c r="AB4" s="74"/>
      <c r="AC4" s="71" t="s">
        <v>948</v>
      </c>
      <c r="AD4" s="41">
        <f>AD6</f>
        <v>0</v>
      </c>
      <c r="AE4" s="41">
        <f>AD4+AE6</f>
        <v>0</v>
      </c>
      <c r="AF4" s="41">
        <f>AE4+AF6</f>
        <v>0</v>
      </c>
      <c r="AG4" s="41">
        <f>AF4+AG6</f>
        <v>0</v>
      </c>
      <c r="AH4" s="41">
        <f>AG4+AH6</f>
        <v>0</v>
      </c>
      <c r="AI4" s="41">
        <f t="shared" ref="AI4:AO4" si="2">AH4+AI6</f>
        <v>0</v>
      </c>
      <c r="AJ4" s="41">
        <f t="shared" si="2"/>
        <v>0</v>
      </c>
      <c r="AK4" s="41">
        <f t="shared" si="2"/>
        <v>0</v>
      </c>
      <c r="AL4" s="41">
        <f t="shared" si="2"/>
        <v>0</v>
      </c>
      <c r="AM4" s="41">
        <f t="shared" si="2"/>
        <v>0</v>
      </c>
      <c r="AN4" s="41">
        <f t="shared" si="2"/>
        <v>0</v>
      </c>
      <c r="AO4" s="41">
        <f t="shared" si="2"/>
        <v>0</v>
      </c>
      <c r="AP4" s="74"/>
      <c r="AQ4" s="71" t="s">
        <v>948</v>
      </c>
      <c r="AR4" s="41">
        <f>AR6</f>
        <v>0</v>
      </c>
      <c r="AS4" s="41">
        <f>AR4+AS6</f>
        <v>0</v>
      </c>
      <c r="AT4" s="41">
        <f>AS4+AT6</f>
        <v>0</v>
      </c>
      <c r="AU4" s="41">
        <f>AT4+AU6</f>
        <v>0</v>
      </c>
      <c r="AV4" s="41">
        <f>AU4+AV6</f>
        <v>0</v>
      </c>
      <c r="AW4" s="41">
        <f t="shared" ref="AW4:BC4" si="3">AV4+AW6</f>
        <v>0</v>
      </c>
      <c r="AX4" s="41">
        <f t="shared" si="3"/>
        <v>0</v>
      </c>
      <c r="AY4" s="41">
        <f t="shared" si="3"/>
        <v>0</v>
      </c>
      <c r="AZ4" s="41">
        <f t="shared" si="3"/>
        <v>0</v>
      </c>
      <c r="BA4" s="41">
        <f t="shared" si="3"/>
        <v>0</v>
      </c>
      <c r="BB4" s="41">
        <f t="shared" si="3"/>
        <v>0</v>
      </c>
      <c r="BC4" s="41">
        <f t="shared" si="3"/>
        <v>0</v>
      </c>
    </row>
    <row r="5" spans="1:55" ht="16.5" x14ac:dyDescent="0.3">
      <c r="A5" s="71" t="s">
        <v>977</v>
      </c>
      <c r="B5" s="41">
        <f>B7</f>
        <v>418.66537761688232</v>
      </c>
      <c r="C5" s="41">
        <f>B5+C7</f>
        <v>2075.0562953948975</v>
      </c>
      <c r="D5" s="41">
        <f>C5+D7</f>
        <v>6386.83780169487</v>
      </c>
      <c r="E5" s="41">
        <f>D5+E7</f>
        <v>13274.267174243927</v>
      </c>
      <c r="F5" s="41">
        <f t="shared" ref="F5" si="4">E5+F7</f>
        <v>22196.252348184586</v>
      </c>
      <c r="G5" s="41">
        <f t="shared" si="0"/>
        <v>32545.133777141571</v>
      </c>
      <c r="H5" s="41" t="e">
        <f t="shared" si="0"/>
        <v>#REF!</v>
      </c>
      <c r="I5" s="41" t="e">
        <f t="shared" si="0"/>
        <v>#REF!</v>
      </c>
      <c r="J5" s="41" t="e">
        <f t="shared" si="0"/>
        <v>#REF!</v>
      </c>
      <c r="K5" s="41" t="e">
        <f t="shared" si="0"/>
        <v>#REF!</v>
      </c>
      <c r="L5" s="41" t="e">
        <f t="shared" si="0"/>
        <v>#REF!</v>
      </c>
      <c r="M5" s="41" t="e">
        <f t="shared" si="0"/>
        <v>#REF!</v>
      </c>
      <c r="N5" s="74"/>
      <c r="O5" s="71"/>
      <c r="P5" s="41"/>
      <c r="Q5" s="41"/>
      <c r="R5" s="41"/>
      <c r="S5" s="41"/>
      <c r="T5" s="41"/>
      <c r="U5" s="41"/>
      <c r="V5" s="41"/>
      <c r="W5" s="41"/>
      <c r="X5" s="41"/>
      <c r="Y5" s="41"/>
      <c r="Z5" s="41"/>
      <c r="AA5" s="41"/>
      <c r="AB5" s="74"/>
      <c r="AC5" s="71"/>
      <c r="AD5" s="41"/>
      <c r="AE5" s="41"/>
      <c r="AF5" s="41"/>
      <c r="AG5" s="41"/>
      <c r="AH5" s="41"/>
      <c r="AI5" s="41"/>
      <c r="AJ5" s="41"/>
      <c r="AK5" s="41"/>
      <c r="AL5" s="41"/>
      <c r="AM5" s="41"/>
      <c r="AN5" s="41"/>
      <c r="AO5" s="41"/>
      <c r="AP5" s="74"/>
      <c r="AQ5" s="71"/>
      <c r="AR5" s="41"/>
      <c r="AS5" s="41"/>
      <c r="AT5" s="41"/>
      <c r="AU5" s="41"/>
      <c r="AV5" s="41"/>
      <c r="AW5" s="41"/>
      <c r="AX5" s="41"/>
      <c r="AY5" s="41"/>
      <c r="AZ5" s="41"/>
      <c r="BA5" s="41"/>
      <c r="BB5" s="41"/>
      <c r="BC5" s="41"/>
    </row>
    <row r="6" spans="1:55" ht="16.5" x14ac:dyDescent="0.3">
      <c r="A6" s="71" t="s">
        <v>975</v>
      </c>
      <c r="B6" s="75">
        <f>SUMIF('Projetos ciclo 2018-2022'!$B$8:$B$318,'Gráfico Tendência 2018-2022'!$A$2,'Projetos ciclo 2018-2022'!EQ8:EQ318)</f>
        <v>418.66537761688232</v>
      </c>
      <c r="C6" s="75">
        <f>SUMIF('Projetos ciclo 2018-2022'!$B$8:$B$318,'Gráfico Tendência 2018-2022'!$A$2,'Projetos ciclo 2018-2022'!ER8:ER318)</f>
        <v>1656.3909177780151</v>
      </c>
      <c r="D6" s="75">
        <f>SUMIF('Projetos ciclo 2018-2022'!$B$8:$B$318,'Gráfico Tendência 2018-2022'!$A$2,'Projetos ciclo 2018-2022'!ES8:ES318)</f>
        <v>4311.7815062999725</v>
      </c>
      <c r="E6" s="75">
        <f>SUMIF('Projetos ciclo 2018-2022'!$B$8:$B$318,'Gráfico Tendência 2018-2022'!$A$2,'Projetos ciclo 2018-2022'!ET8:ET318)</f>
        <v>6887.429372549057</v>
      </c>
      <c r="F6" s="75">
        <f>SUMIF('Projetos ciclo 2018-2022'!$B$8:$B$318,'Gráfico Tendência 2018-2022'!$A$2,'Projetos ciclo 2018-2022'!EU8:EU318)</f>
        <v>8921.9851739406586</v>
      </c>
      <c r="G6" s="75">
        <f>SUMIF('Projetos ciclo 2018-2022'!$B$8:$B$318,'Gráfico Tendência 2018-2022'!$A$2,'Projetos ciclo 2018-2022'!EV8:EV318)</f>
        <v>10348.881428956985</v>
      </c>
      <c r="H6" s="75" t="e">
        <f>SUMIF('Projetos ciclo 2018-2022'!$B$8:$B$318,'Gráfico Tendência 2018-2022'!$A$2,'Projetos ciclo 2018-2022'!#REF!)</f>
        <v>#REF!</v>
      </c>
      <c r="I6" s="75">
        <f>SUMIF('Projetos ciclo 2018-2022'!$B$8:$B$318,'Gráfico Tendência 2018-2022'!$A$2,'Projetos ciclo 2018-2022'!O8:O318)</f>
        <v>14371.731957361102</v>
      </c>
      <c r="J6" s="75">
        <f>SUMIF('Projetos ciclo 2018-2022'!$B$8:$B$318,'Gráfico Tendência 2018-2022'!$A$2,'Projetos ciclo 2018-2022'!P8:P318)</f>
        <v>7687.7076200000001</v>
      </c>
      <c r="K6" s="75">
        <f>SUMIF('Projetos ciclo 2018-2022'!$B$8:$B$318,'Gráfico Tendência 2018-2022'!$A$2,'Projetos ciclo 2018-2022'!Q8:Q318)</f>
        <v>7792.7627200000015</v>
      </c>
      <c r="L6" s="75">
        <f>SUMIF('Projetos ciclo 2018-2022'!$B$8:$B$318,'Gráfico Tendência 2018-2022'!$A$2,'Projetos ciclo 2018-2022'!R8:R318)</f>
        <v>4772.8918812397769</v>
      </c>
      <c r="M6" s="75">
        <f>SUMIF('Projetos ciclo 2018-2022'!$B$8:$B$318,'Gráfico Tendência 2018-2022'!$A$2,'Projetos ciclo 2018-2022'!S8:S318)</f>
        <v>35332.063135366989</v>
      </c>
      <c r="N6" s="74"/>
      <c r="O6" s="71" t="s">
        <v>975</v>
      </c>
      <c r="P6" s="41"/>
      <c r="Q6" s="41"/>
      <c r="R6" s="41"/>
      <c r="S6" s="41"/>
      <c r="T6" s="41"/>
      <c r="U6" s="73"/>
      <c r="V6" s="73"/>
      <c r="W6" s="73"/>
      <c r="X6" s="73"/>
      <c r="Y6" s="73"/>
      <c r="Z6" s="73"/>
      <c r="AA6" s="73"/>
      <c r="AB6" s="74"/>
      <c r="AC6" s="71" t="s">
        <v>975</v>
      </c>
      <c r="AD6" s="41"/>
      <c r="AE6" s="41"/>
      <c r="AF6" s="41"/>
      <c r="AG6" s="41"/>
      <c r="AH6" s="41"/>
      <c r="AI6" s="73"/>
      <c r="AJ6" s="73"/>
      <c r="AK6" s="73"/>
      <c r="AL6" s="73"/>
      <c r="AM6" s="73"/>
      <c r="AN6" s="73"/>
      <c r="AO6" s="73"/>
      <c r="AP6" s="74"/>
      <c r="AQ6" s="71" t="s">
        <v>975</v>
      </c>
      <c r="AR6" s="41"/>
      <c r="AS6" s="41"/>
      <c r="AT6" s="41"/>
      <c r="AU6" s="41"/>
      <c r="AV6" s="41"/>
      <c r="AW6" s="73"/>
      <c r="AX6" s="73"/>
      <c r="AY6" s="73"/>
      <c r="AZ6" s="73"/>
      <c r="BA6" s="73"/>
      <c r="BB6" s="73"/>
      <c r="BC6" s="73"/>
    </row>
    <row r="7" spans="1:55" ht="16.5" x14ac:dyDescent="0.3">
      <c r="A7" s="71" t="s">
        <v>976</v>
      </c>
      <c r="B7" s="41">
        <f>SUMIF('Projetos ciclo 2018-2022'!$B$8:$B$318,'Gráfico Tendência 2018-2022'!$A$2,'Projetos ciclo 2018-2022'!EQ8:EQ318)</f>
        <v>418.66537761688232</v>
      </c>
      <c r="C7" s="41">
        <f>SUMIF('Projetos ciclo 2018-2022'!$B$8:$B$318,'Gráfico Tendência 2018-2022'!$A$2,'Projetos ciclo 2018-2022'!ER8:ER318)</f>
        <v>1656.3909177780151</v>
      </c>
      <c r="D7" s="41">
        <f>SUMIF('Projetos ciclo 2018-2022'!$B$8:$B$318,'Gráfico Tendência 2018-2022'!$A$2,'Projetos ciclo 2018-2022'!ES8:ES318)</f>
        <v>4311.7815062999725</v>
      </c>
      <c r="E7" s="41">
        <f>SUMIF('Projetos ciclo 2018-2022'!$B$8:$B$318,'Gráfico Tendência 2018-2022'!$A$2,'Projetos ciclo 2018-2022'!ET8:ET318)</f>
        <v>6887.429372549057</v>
      </c>
      <c r="F7" s="41">
        <f>SUMIF('Projetos ciclo 2018-2022'!$B$8:$B$318,'Gráfico Tendência 2018-2022'!$A$2,'Projetos ciclo 2018-2022'!EU8:EU318)</f>
        <v>8921.9851739406586</v>
      </c>
      <c r="G7" s="41">
        <f>SUMIF('Projetos ciclo 2018-2022'!$B$8:$B$318,'Gráfico Tendência 2018-2022'!$A$2,'Projetos ciclo 2018-2022'!EV8:EV318)</f>
        <v>10348.881428956985</v>
      </c>
      <c r="H7" s="41" t="e">
        <f>SUMIF('Projetos ciclo 2018-2022'!$B$8:$B$318,'Gráfico Tendência 2018-2022'!$A$2,'Projetos ciclo 2018-2022'!#REF!)</f>
        <v>#REF!</v>
      </c>
      <c r="I7" s="41">
        <f>SUMIF('Projetos ciclo 2018-2022'!$B$8:$B$318,'Gráfico Tendência 2018-2022'!$A$2,'Projetos ciclo 2018-2022'!O8:O318)</f>
        <v>14371.731957361102</v>
      </c>
      <c r="J7" s="41">
        <f>SUMIF('Projetos ciclo 2018-2022'!$B$8:$B$318,'Gráfico Tendência 2018-2022'!$A$2,'Projetos ciclo 2018-2022'!P8:P318)</f>
        <v>7687.7076200000001</v>
      </c>
      <c r="K7" s="41">
        <f>SUMIF('Projetos ciclo 2018-2022'!$B$8:$B$318,'Gráfico Tendência 2018-2022'!$A$2,'Projetos ciclo 2018-2022'!Q8:Q318)</f>
        <v>7792.7627200000015</v>
      </c>
      <c r="L7" s="41">
        <f>SUMIF('Projetos ciclo 2018-2022'!$B$8:$B$318,'Gráfico Tendência 2018-2022'!$A$2,'Projetos ciclo 2018-2022'!R8:R318)</f>
        <v>4772.8918812397769</v>
      </c>
      <c r="M7" s="41">
        <f>SUMIF('Projetos ciclo 2018-2022'!$B$8:$B$318,'Gráfico Tendência 2018-2022'!$A$2,'Projetos ciclo 2018-2022'!S8:S318)</f>
        <v>35332.063135366989</v>
      </c>
      <c r="N7" s="74"/>
      <c r="O7" s="71" t="s">
        <v>976</v>
      </c>
      <c r="P7" s="41"/>
      <c r="Q7" s="41"/>
      <c r="R7" s="41"/>
      <c r="S7" s="41"/>
      <c r="T7" s="41"/>
      <c r="U7" s="41"/>
      <c r="V7" s="41"/>
      <c r="W7" s="41"/>
      <c r="X7" s="41"/>
      <c r="Y7" s="41"/>
      <c r="Z7" s="41"/>
      <c r="AA7" s="41"/>
      <c r="AB7" s="74"/>
      <c r="AC7" s="71" t="s">
        <v>976</v>
      </c>
      <c r="AD7" s="41"/>
      <c r="AE7" s="41"/>
      <c r="AF7" s="41"/>
      <c r="AG7" s="41"/>
      <c r="AH7" s="41"/>
      <c r="AI7" s="41"/>
      <c r="AJ7" s="41"/>
      <c r="AK7" s="41"/>
      <c r="AL7" s="41"/>
      <c r="AM7" s="41"/>
      <c r="AN7" s="41"/>
      <c r="AO7" s="41"/>
      <c r="AP7" s="74"/>
      <c r="AQ7" s="71" t="s">
        <v>976</v>
      </c>
      <c r="AR7" s="41"/>
      <c r="AS7" s="41"/>
      <c r="AT7" s="41"/>
      <c r="AU7" s="41"/>
      <c r="AV7" s="41"/>
      <c r="AW7" s="41"/>
      <c r="AX7" s="41"/>
      <c r="AY7" s="41"/>
      <c r="AZ7" s="41"/>
      <c r="BA7" s="41"/>
      <c r="BB7" s="41"/>
      <c r="BC7" s="41"/>
    </row>
    <row r="8" spans="1:55" x14ac:dyDescent="0.25">
      <c r="N8" s="74"/>
      <c r="AB8" s="74"/>
      <c r="AP8" s="74"/>
    </row>
    <row r="9" spans="1:55" x14ac:dyDescent="0.25">
      <c r="N9" s="74"/>
      <c r="AB9" s="74"/>
      <c r="AP9" s="74"/>
    </row>
    <row r="10" spans="1:55" x14ac:dyDescent="0.25">
      <c r="N10" s="74"/>
      <c r="AB10" s="74"/>
      <c r="AP10" s="74"/>
    </row>
    <row r="11" spans="1:55" x14ac:dyDescent="0.25">
      <c r="N11" s="74"/>
      <c r="AB11" s="74"/>
      <c r="AP11" s="74"/>
    </row>
    <row r="12" spans="1:55" x14ac:dyDescent="0.25">
      <c r="N12" s="74"/>
      <c r="AB12" s="74"/>
      <c r="AP12" s="74"/>
    </row>
    <row r="13" spans="1:55" x14ac:dyDescent="0.25">
      <c r="N13" s="74"/>
      <c r="AB13" s="74"/>
      <c r="AP13" s="74"/>
    </row>
    <row r="14" spans="1:55" x14ac:dyDescent="0.25">
      <c r="N14" s="74"/>
      <c r="AB14" s="74"/>
      <c r="AP14" s="74"/>
    </row>
    <row r="15" spans="1:55" x14ac:dyDescent="0.25">
      <c r="N15" s="74"/>
      <c r="AB15" s="74"/>
      <c r="AP15" s="74"/>
    </row>
    <row r="16" spans="1:55" x14ac:dyDescent="0.25">
      <c r="N16" s="74"/>
      <c r="AB16" s="74"/>
      <c r="AP16" s="74"/>
    </row>
    <row r="17" spans="1:55" x14ac:dyDescent="0.25">
      <c r="N17" s="74"/>
      <c r="AB17" s="74"/>
      <c r="AP17" s="74"/>
    </row>
    <row r="18" spans="1:55" x14ac:dyDescent="0.25">
      <c r="N18" s="74"/>
      <c r="AB18" s="74"/>
      <c r="AP18" s="74"/>
    </row>
    <row r="19" spans="1:55" x14ac:dyDescent="0.25">
      <c r="N19" s="74"/>
      <c r="AB19" s="74"/>
      <c r="AP19" s="74"/>
    </row>
    <row r="20" spans="1:55" x14ac:dyDescent="0.25">
      <c r="N20" s="74"/>
      <c r="AB20" s="74"/>
      <c r="AP20" s="74"/>
    </row>
    <row r="21" spans="1:55" x14ac:dyDescent="0.25">
      <c r="N21" s="74"/>
      <c r="AB21" s="74"/>
      <c r="AP21" s="74"/>
    </row>
    <row r="22" spans="1:55" x14ac:dyDescent="0.25">
      <c r="N22" s="74"/>
      <c r="AB22" s="74"/>
      <c r="AP22" s="74"/>
    </row>
    <row r="23" spans="1:55" x14ac:dyDescent="0.25">
      <c r="N23" s="74"/>
      <c r="AB23" s="74"/>
      <c r="AP23" s="74"/>
    </row>
    <row r="24" spans="1:55" x14ac:dyDescent="0.25">
      <c r="N24" s="74"/>
      <c r="AB24" s="74"/>
      <c r="AP24" s="74"/>
    </row>
    <row r="25" spans="1:55" x14ac:dyDescent="0.25">
      <c r="N25" s="74"/>
      <c r="AB25" s="74"/>
      <c r="AP25" s="74"/>
    </row>
    <row r="26" spans="1:55" x14ac:dyDescent="0.25">
      <c r="N26" s="74"/>
      <c r="AB26" s="74"/>
      <c r="AP26" s="74"/>
    </row>
    <row r="27" spans="1:55" ht="18" x14ac:dyDescent="0.25">
      <c r="A27" s="551" t="s">
        <v>950</v>
      </c>
      <c r="B27" s="551"/>
      <c r="C27" s="551"/>
      <c r="D27" s="551"/>
      <c r="E27" s="551"/>
      <c r="F27" s="551"/>
      <c r="G27" s="551"/>
      <c r="H27" s="551"/>
      <c r="I27" s="551"/>
      <c r="J27" s="551"/>
      <c r="K27" s="552" t="s">
        <v>974</v>
      </c>
      <c r="L27" s="552"/>
      <c r="M27" s="552"/>
      <c r="N27" s="74"/>
      <c r="O27" s="551" t="s">
        <v>957</v>
      </c>
      <c r="P27" s="551"/>
      <c r="Q27" s="551"/>
      <c r="R27" s="551"/>
      <c r="S27" s="551"/>
      <c r="T27" s="551"/>
      <c r="U27" s="551"/>
      <c r="V27" s="551"/>
      <c r="W27" s="551"/>
      <c r="X27" s="551"/>
      <c r="Y27" s="552" t="s">
        <v>974</v>
      </c>
      <c r="Z27" s="552"/>
      <c r="AA27" s="552"/>
      <c r="AB27" s="74"/>
      <c r="AC27" s="551" t="s">
        <v>964</v>
      </c>
      <c r="AD27" s="551"/>
      <c r="AE27" s="551"/>
      <c r="AF27" s="551"/>
      <c r="AG27" s="551"/>
      <c r="AH27" s="551"/>
      <c r="AI27" s="551"/>
      <c r="AJ27" s="551"/>
      <c r="AK27" s="551"/>
      <c r="AL27" s="551"/>
      <c r="AM27" s="552" t="s">
        <v>974</v>
      </c>
      <c r="AN27" s="552"/>
      <c r="AO27" s="552"/>
      <c r="AP27" s="74"/>
      <c r="AQ27" s="551" t="s">
        <v>971</v>
      </c>
      <c r="AR27" s="551"/>
      <c r="AS27" s="551"/>
      <c r="AT27" s="551"/>
      <c r="AU27" s="551"/>
      <c r="AV27" s="551"/>
      <c r="AW27" s="551"/>
      <c r="AX27" s="551"/>
      <c r="AY27" s="551"/>
      <c r="AZ27" s="551"/>
      <c r="BA27" s="552" t="s">
        <v>974</v>
      </c>
      <c r="BB27" s="552"/>
      <c r="BC27" s="552"/>
    </row>
    <row r="28" spans="1:55" ht="16.5" x14ac:dyDescent="0.3">
      <c r="A28" s="40" t="s">
        <v>40</v>
      </c>
      <c r="B28" s="72">
        <v>43101</v>
      </c>
      <c r="C28" s="72">
        <v>43132</v>
      </c>
      <c r="D28" s="72">
        <v>43160</v>
      </c>
      <c r="E28" s="72">
        <v>43191</v>
      </c>
      <c r="F28" s="72">
        <v>43221</v>
      </c>
      <c r="G28" s="72">
        <v>43252</v>
      </c>
      <c r="H28" s="72">
        <v>43282</v>
      </c>
      <c r="I28" s="72">
        <v>43313</v>
      </c>
      <c r="J28" s="72">
        <v>43344</v>
      </c>
      <c r="K28" s="72">
        <v>43374</v>
      </c>
      <c r="L28" s="72">
        <v>43405</v>
      </c>
      <c r="M28" s="72">
        <v>43435</v>
      </c>
      <c r="N28" s="74"/>
      <c r="O28" s="40" t="s">
        <v>28</v>
      </c>
      <c r="P28" s="72">
        <v>43101</v>
      </c>
      <c r="Q28" s="72">
        <v>43132</v>
      </c>
      <c r="R28" s="72">
        <v>43160</v>
      </c>
      <c r="S28" s="72">
        <v>43191</v>
      </c>
      <c r="T28" s="72">
        <v>43221</v>
      </c>
      <c r="U28" s="72">
        <v>43252</v>
      </c>
      <c r="V28" s="72">
        <v>43282</v>
      </c>
      <c r="W28" s="72">
        <v>43313</v>
      </c>
      <c r="X28" s="72">
        <v>43344</v>
      </c>
      <c r="Y28" s="72">
        <v>43374</v>
      </c>
      <c r="Z28" s="72">
        <v>43405</v>
      </c>
      <c r="AA28" s="72">
        <v>43435</v>
      </c>
      <c r="AB28" s="74"/>
      <c r="AC28" s="40" t="s">
        <v>34</v>
      </c>
      <c r="AD28" s="72">
        <v>43101</v>
      </c>
      <c r="AE28" s="72">
        <v>43132</v>
      </c>
      <c r="AF28" s="72">
        <v>43160</v>
      </c>
      <c r="AG28" s="72">
        <v>43191</v>
      </c>
      <c r="AH28" s="72">
        <v>43221</v>
      </c>
      <c r="AI28" s="72">
        <v>43252</v>
      </c>
      <c r="AJ28" s="72">
        <v>43282</v>
      </c>
      <c r="AK28" s="72">
        <v>43313</v>
      </c>
      <c r="AL28" s="72">
        <v>43344</v>
      </c>
      <c r="AM28" s="72">
        <v>43374</v>
      </c>
      <c r="AN28" s="72">
        <v>43405</v>
      </c>
      <c r="AO28" s="72">
        <v>43435</v>
      </c>
      <c r="AP28" s="74"/>
      <c r="AQ28" s="40" t="s">
        <v>47</v>
      </c>
      <c r="AR28" s="72">
        <v>43101</v>
      </c>
      <c r="AS28" s="72">
        <v>43132</v>
      </c>
      <c r="AT28" s="72">
        <v>43160</v>
      </c>
      <c r="AU28" s="72">
        <v>43191</v>
      </c>
      <c r="AV28" s="72">
        <v>43221</v>
      </c>
      <c r="AW28" s="72">
        <v>43252</v>
      </c>
      <c r="AX28" s="72">
        <v>43282</v>
      </c>
      <c r="AY28" s="72">
        <v>43313</v>
      </c>
      <c r="AZ28" s="72">
        <v>43344</v>
      </c>
      <c r="BA28" s="72">
        <v>43374</v>
      </c>
      <c r="BB28" s="72">
        <v>43405</v>
      </c>
      <c r="BC28" s="72">
        <v>43435</v>
      </c>
    </row>
    <row r="29" spans="1:55" ht="16.5" x14ac:dyDescent="0.3">
      <c r="A29" s="70" t="s">
        <v>947</v>
      </c>
      <c r="B29" s="41">
        <f>SUMIF('Projetos ciclo 2018-2022'!$C$8:$C$102,'Gráfico Tendência 2018-2022'!$A$28,'Projetos ciclo 2018-2022'!$T$8:$T$102)</f>
        <v>1565.483619976158</v>
      </c>
      <c r="C29" s="41">
        <f>SUMIF('Projetos ciclo 2018-2022'!$C$8:$C$102,'Gráfico Tendência 2018-2022'!$A$28,'Projetos ciclo 2018-2022'!$T$8:$T$102)</f>
        <v>1565.483619976158</v>
      </c>
      <c r="D29" s="41">
        <f>SUMIF('Projetos ciclo 2018-2022'!$C$8:$C$102,'Gráfico Tendência 2018-2022'!$A$28,'Projetos ciclo 2018-2022'!$T$8:$T$102)</f>
        <v>1565.483619976158</v>
      </c>
      <c r="E29" s="41">
        <f>SUMIF('Projetos ciclo 2018-2022'!$C$8:$C$102,'Gráfico Tendência 2018-2022'!$A$28,'Projetos ciclo 2018-2022'!$T$8:$T$102)</f>
        <v>1565.483619976158</v>
      </c>
      <c r="F29" s="41">
        <f>SUMIF('Projetos ciclo 2018-2022'!$C$8:$C$102,'Gráfico Tendência 2018-2022'!$A$28,'Projetos ciclo 2018-2022'!$T$8:$T$102)</f>
        <v>1565.483619976158</v>
      </c>
      <c r="G29" s="41">
        <f>SUMIF('Projetos ciclo 2018-2022'!$C$8:$C$102,'Gráfico Tendência 2018-2022'!$A$28,'Projetos ciclo 2018-2022'!$T$8:$T$102)</f>
        <v>1565.483619976158</v>
      </c>
      <c r="H29" s="41">
        <f>SUMIF('Projetos ciclo 2018-2022'!$C$8:$C$102,'Gráfico Tendência 2018-2022'!$A$28,'Projetos ciclo 2018-2022'!$T$8:$T$102)</f>
        <v>1565.483619976158</v>
      </c>
      <c r="I29" s="41">
        <f>SUMIF('Projetos ciclo 2018-2022'!$C$8:$C$102,'Gráfico Tendência 2018-2022'!$A$28,'Projetos ciclo 2018-2022'!$T$8:$T$102)</f>
        <v>1565.483619976158</v>
      </c>
      <c r="J29" s="41">
        <f>SUMIF('Projetos ciclo 2018-2022'!$C$8:$C$102,'Gráfico Tendência 2018-2022'!$A$28,'Projetos ciclo 2018-2022'!$T$8:$T$102)</f>
        <v>1565.483619976158</v>
      </c>
      <c r="K29" s="41">
        <f>SUMIF('Projetos ciclo 2018-2022'!$C$8:$C$102,'Gráfico Tendência 2018-2022'!$A$28,'Projetos ciclo 2018-2022'!$T$8:$T$102)</f>
        <v>1565.483619976158</v>
      </c>
      <c r="L29" s="41">
        <f>SUMIF('Projetos ciclo 2018-2022'!$C$8:$C$102,'Gráfico Tendência 2018-2022'!$A$28,'Projetos ciclo 2018-2022'!$T$8:$T$102)</f>
        <v>1565.483619976158</v>
      </c>
      <c r="M29" s="41">
        <f>SUMIF('Projetos ciclo 2018-2022'!$C$8:$C$102,'Gráfico Tendência 2018-2022'!$A$28,'Projetos ciclo 2018-2022'!$T$8:$T$102)</f>
        <v>1565.483619976158</v>
      </c>
      <c r="N29" s="74"/>
      <c r="O29" s="70" t="s">
        <v>947</v>
      </c>
      <c r="P29" s="41">
        <f>SUMIF('Projetos ciclo 2018-2022'!$C$8:$C$102,'Gráfico Tendência 2018-2022'!$O$28,'Projetos ciclo 2018-2022'!$T$8:$T$102)</f>
        <v>0</v>
      </c>
      <c r="Q29" s="41">
        <f>SUMIF('Projetos ciclo 2018-2022'!$C$8:$C$102,'Gráfico Tendência 2018-2022'!$O$28,'Projetos ciclo 2018-2022'!$T$8:$T$102)</f>
        <v>0</v>
      </c>
      <c r="R29" s="41">
        <f>SUMIF('Projetos ciclo 2018-2022'!$C$8:$C$102,'Gráfico Tendência 2018-2022'!$O$28,'Projetos ciclo 2018-2022'!$T$8:$T$102)</f>
        <v>0</v>
      </c>
      <c r="S29" s="41">
        <f>SUMIF('Projetos ciclo 2018-2022'!$C$8:$C$102,'Gráfico Tendência 2018-2022'!$O$28,'Projetos ciclo 2018-2022'!$T$8:$T$102)</f>
        <v>0</v>
      </c>
      <c r="T29" s="41">
        <f>SUMIF('Projetos ciclo 2018-2022'!$C$8:$C$102,'Gráfico Tendência 2018-2022'!$O$28,'Projetos ciclo 2018-2022'!$T$8:$T$102)</f>
        <v>0</v>
      </c>
      <c r="U29" s="41">
        <f>SUMIF('Projetos ciclo 2018-2022'!$C$8:$C$102,'Gráfico Tendência 2018-2022'!$O$28,'Projetos ciclo 2018-2022'!$T$8:$T$102)</f>
        <v>0</v>
      </c>
      <c r="V29" s="41">
        <f>SUMIF('Projetos ciclo 2018-2022'!$C$8:$C$102,'Gráfico Tendência 2018-2022'!$O$28,'Projetos ciclo 2018-2022'!$T$8:$T$102)</f>
        <v>0</v>
      </c>
      <c r="W29" s="41">
        <f>SUMIF('Projetos ciclo 2018-2022'!$C$8:$C$102,'Gráfico Tendência 2018-2022'!$O$28,'Projetos ciclo 2018-2022'!$T$8:$T$102)</f>
        <v>0</v>
      </c>
      <c r="X29" s="41">
        <f>SUMIF('Projetos ciclo 2018-2022'!$C$8:$C$102,'Gráfico Tendência 2018-2022'!$O$28,'Projetos ciclo 2018-2022'!$T$8:$T$102)</f>
        <v>0</v>
      </c>
      <c r="Y29" s="41">
        <f>SUMIF('Projetos ciclo 2018-2022'!$C$8:$C$102,'Gráfico Tendência 2018-2022'!$O$28,'Projetos ciclo 2018-2022'!$T$8:$T$102)</f>
        <v>0</v>
      </c>
      <c r="Z29" s="41">
        <f>SUMIF('Projetos ciclo 2018-2022'!$C$8:$C$102,'Gráfico Tendência 2018-2022'!$O$28,'Projetos ciclo 2018-2022'!$T$8:$T$102)</f>
        <v>0</v>
      </c>
      <c r="AA29" s="41">
        <f>SUMIF('Projetos ciclo 2018-2022'!$C$8:$C$102,'Gráfico Tendência 2018-2022'!$O$28,'Projetos ciclo 2018-2022'!$T$8:$T$102)</f>
        <v>0</v>
      </c>
      <c r="AB29" s="74"/>
      <c r="AC29" s="70" t="s">
        <v>947</v>
      </c>
      <c r="AD29" s="41">
        <f>SUMIF('Projetos ciclo 2018-2022'!$C$8:$C$102,'Gráfico Tendência 2018-2022'!$AC$28,'Projetos ciclo 2018-2022'!$T$8:$T$102)</f>
        <v>0</v>
      </c>
      <c r="AE29" s="41">
        <f>SUMIF('Projetos ciclo 2018-2022'!$C$8:$C$102,'Gráfico Tendência 2018-2022'!$AC$28,'Projetos ciclo 2018-2022'!$T$8:$T$102)</f>
        <v>0</v>
      </c>
      <c r="AF29" s="41">
        <f>SUMIF('Projetos ciclo 2018-2022'!$C$8:$C$102,'Gráfico Tendência 2018-2022'!$AC$28,'Projetos ciclo 2018-2022'!$T$8:$T$102)</f>
        <v>0</v>
      </c>
      <c r="AG29" s="41">
        <f>SUMIF('Projetos ciclo 2018-2022'!$C$8:$C$102,'Gráfico Tendência 2018-2022'!$AC$28,'Projetos ciclo 2018-2022'!$T$8:$T$102)</f>
        <v>0</v>
      </c>
      <c r="AH29" s="41">
        <f>SUMIF('Projetos ciclo 2018-2022'!$C$8:$C$102,'Gráfico Tendência 2018-2022'!$AC$28,'Projetos ciclo 2018-2022'!$T$8:$T$102)</f>
        <v>0</v>
      </c>
      <c r="AI29" s="41">
        <f>SUMIF('Projetos ciclo 2018-2022'!$C$8:$C$102,'Gráfico Tendência 2018-2022'!$AC$28,'Projetos ciclo 2018-2022'!$T$8:$T$102)</f>
        <v>0</v>
      </c>
      <c r="AJ29" s="41">
        <f>SUMIF('Projetos ciclo 2018-2022'!$C$8:$C$102,'Gráfico Tendência 2018-2022'!$AC$28,'Projetos ciclo 2018-2022'!$T$8:$T$102)</f>
        <v>0</v>
      </c>
      <c r="AK29" s="41">
        <f>SUMIF('Projetos ciclo 2018-2022'!$C$8:$C$102,'Gráfico Tendência 2018-2022'!$AC$28,'Projetos ciclo 2018-2022'!$T$8:$T$102)</f>
        <v>0</v>
      </c>
      <c r="AL29" s="41">
        <f>SUMIF('Projetos ciclo 2018-2022'!$C$8:$C$102,'Gráfico Tendência 2018-2022'!$AC$28,'Projetos ciclo 2018-2022'!$T$8:$T$102)</f>
        <v>0</v>
      </c>
      <c r="AM29" s="41">
        <f>SUMIF('Projetos ciclo 2018-2022'!$C$8:$C$102,'Gráfico Tendência 2018-2022'!$AC$28,'Projetos ciclo 2018-2022'!$T$8:$T$102)</f>
        <v>0</v>
      </c>
      <c r="AN29" s="41">
        <f>SUMIF('Projetos ciclo 2018-2022'!$C$8:$C$102,'Gráfico Tendência 2018-2022'!$AC$28,'Projetos ciclo 2018-2022'!$T$8:$T$102)</f>
        <v>0</v>
      </c>
      <c r="AO29" s="41">
        <f>SUMIF('Projetos ciclo 2018-2022'!$C$8:$C$102,'Gráfico Tendência 2018-2022'!$AC$28,'Projetos ciclo 2018-2022'!$T$8:$T$102)</f>
        <v>0</v>
      </c>
      <c r="AP29" s="74"/>
      <c r="AQ29" s="70" t="s">
        <v>947</v>
      </c>
      <c r="AR29" s="41">
        <f>SUMIF('Projetos ciclo 2018-2022'!$C$8:$C$102,'Gráfico Tendência 2018-2022'!$AQ$28,'Projetos ciclo 2018-2022'!$T$8:$T$102)</f>
        <v>0</v>
      </c>
      <c r="AS29" s="41">
        <f>SUMIF('Projetos ciclo 2018-2022'!$C$8:$C$102,'Gráfico Tendência 2018-2022'!$AQ$28,'Projetos ciclo 2018-2022'!$T$8:$T$102)</f>
        <v>0</v>
      </c>
      <c r="AT29" s="41">
        <f>SUMIF('Projetos ciclo 2018-2022'!$C$8:$C$102,'Gráfico Tendência 2018-2022'!$AQ$28,'Projetos ciclo 2018-2022'!$T$8:$T$102)</f>
        <v>0</v>
      </c>
      <c r="AU29" s="41">
        <f>SUMIF('Projetos ciclo 2018-2022'!$C$8:$C$102,'Gráfico Tendência 2018-2022'!$AQ$28,'Projetos ciclo 2018-2022'!$T$8:$T$102)</f>
        <v>0</v>
      </c>
      <c r="AV29" s="41">
        <f>SUMIF('Projetos ciclo 2018-2022'!$C$8:$C$102,'Gráfico Tendência 2018-2022'!$AQ$28,'Projetos ciclo 2018-2022'!$T$8:$T$102)</f>
        <v>0</v>
      </c>
      <c r="AW29" s="41">
        <f>SUMIF('Projetos ciclo 2018-2022'!$C$8:$C$102,'Gráfico Tendência 2018-2022'!$AQ$28,'Projetos ciclo 2018-2022'!$T$8:$T$102)</f>
        <v>0</v>
      </c>
      <c r="AX29" s="41">
        <f>SUMIF('Projetos ciclo 2018-2022'!$C$8:$C$102,'Gráfico Tendência 2018-2022'!$AQ$28,'Projetos ciclo 2018-2022'!$T$8:$T$102)</f>
        <v>0</v>
      </c>
      <c r="AY29" s="41">
        <f>SUMIF('Projetos ciclo 2018-2022'!$C$8:$C$102,'Gráfico Tendência 2018-2022'!$AQ$28,'Projetos ciclo 2018-2022'!$T$8:$T$102)</f>
        <v>0</v>
      </c>
      <c r="AZ29" s="41">
        <f>SUMIF('Projetos ciclo 2018-2022'!$C$8:$C$102,'Gráfico Tendência 2018-2022'!$AQ$28,'Projetos ciclo 2018-2022'!$T$8:$T$102)</f>
        <v>0</v>
      </c>
      <c r="BA29" s="41">
        <f>SUMIF('Projetos ciclo 2018-2022'!$C$8:$C$102,'Gráfico Tendência 2018-2022'!$AQ$28,'Projetos ciclo 2018-2022'!$T$8:$T$102)</f>
        <v>0</v>
      </c>
      <c r="BB29" s="41">
        <f>SUMIF('Projetos ciclo 2018-2022'!$C$8:$C$102,'Gráfico Tendência 2018-2022'!$AQ$28,'Projetos ciclo 2018-2022'!$T$8:$T$102)</f>
        <v>0</v>
      </c>
      <c r="BC29" s="41">
        <f>SUMIF('Projetos ciclo 2018-2022'!$C$8:$C$102,'Gráfico Tendência 2018-2022'!$AQ$28,'Projetos ciclo 2018-2022'!$T$8:$T$102)</f>
        <v>0</v>
      </c>
    </row>
    <row r="30" spans="1:55" ht="16.5" x14ac:dyDescent="0.3">
      <c r="A30" s="71" t="s">
        <v>948</v>
      </c>
      <c r="B30" s="41">
        <f>B31</f>
        <v>0</v>
      </c>
      <c r="C30" s="41">
        <f>B30+C31</f>
        <v>0</v>
      </c>
      <c r="D30" s="41">
        <f>C30+D31</f>
        <v>0</v>
      </c>
      <c r="E30" s="41">
        <f>D30+E31</f>
        <v>0</v>
      </c>
      <c r="F30" s="41">
        <f>E30+F31</f>
        <v>0</v>
      </c>
      <c r="G30" s="41">
        <f t="shared" ref="G30" si="5">F30+G31</f>
        <v>0</v>
      </c>
      <c r="H30" s="41">
        <f t="shared" ref="H30" si="6">G30+H31</f>
        <v>0</v>
      </c>
      <c r="I30" s="41">
        <f t="shared" ref="I30" si="7">H30+I31</f>
        <v>0</v>
      </c>
      <c r="J30" s="41">
        <f t="shared" ref="J30" si="8">I30+J31</f>
        <v>0</v>
      </c>
      <c r="K30" s="41">
        <f t="shared" ref="K30" si="9">J30+K31</f>
        <v>0</v>
      </c>
      <c r="L30" s="41">
        <f t="shared" ref="L30" si="10">K30+L31</f>
        <v>0</v>
      </c>
      <c r="M30" s="41">
        <f t="shared" ref="M30" si="11">L30+M31</f>
        <v>0</v>
      </c>
      <c r="N30" s="74"/>
      <c r="O30" s="71" t="s">
        <v>948</v>
      </c>
      <c r="P30" s="41">
        <f>P31</f>
        <v>0</v>
      </c>
      <c r="Q30" s="41">
        <f>P30+Q31</f>
        <v>0</v>
      </c>
      <c r="R30" s="41">
        <f>Q30+R31</f>
        <v>0</v>
      </c>
      <c r="S30" s="41">
        <f>R30+S31</f>
        <v>0</v>
      </c>
      <c r="T30" s="41">
        <f>S30+T31</f>
        <v>0</v>
      </c>
      <c r="U30" s="41">
        <f t="shared" ref="U30:AA30" si="12">T30+U31</f>
        <v>0</v>
      </c>
      <c r="V30" s="41">
        <f t="shared" si="12"/>
        <v>0</v>
      </c>
      <c r="W30" s="41">
        <f t="shared" si="12"/>
        <v>0</v>
      </c>
      <c r="X30" s="41">
        <f t="shared" si="12"/>
        <v>0</v>
      </c>
      <c r="Y30" s="41">
        <f t="shared" si="12"/>
        <v>0</v>
      </c>
      <c r="Z30" s="41">
        <f t="shared" si="12"/>
        <v>0</v>
      </c>
      <c r="AA30" s="41">
        <f t="shared" si="12"/>
        <v>0</v>
      </c>
      <c r="AB30" s="74"/>
      <c r="AC30" s="71" t="s">
        <v>948</v>
      </c>
      <c r="AD30" s="41">
        <f>AD31</f>
        <v>0</v>
      </c>
      <c r="AE30" s="41">
        <f>AD30+AE31</f>
        <v>0</v>
      </c>
      <c r="AF30" s="41">
        <f>AE30+AF31</f>
        <v>0</v>
      </c>
      <c r="AG30" s="41">
        <f>AF30+AG31</f>
        <v>0</v>
      </c>
      <c r="AH30" s="41">
        <f>AG30+AH31</f>
        <v>0</v>
      </c>
      <c r="AI30" s="41">
        <f t="shared" ref="AI30:AO30" si="13">AH30+AI31</f>
        <v>0</v>
      </c>
      <c r="AJ30" s="41">
        <f t="shared" si="13"/>
        <v>0</v>
      </c>
      <c r="AK30" s="41">
        <f t="shared" si="13"/>
        <v>0</v>
      </c>
      <c r="AL30" s="41">
        <f t="shared" si="13"/>
        <v>0</v>
      </c>
      <c r="AM30" s="41">
        <f t="shared" si="13"/>
        <v>0</v>
      </c>
      <c r="AN30" s="41">
        <f t="shared" si="13"/>
        <v>0</v>
      </c>
      <c r="AO30" s="41">
        <f t="shared" si="13"/>
        <v>0</v>
      </c>
      <c r="AP30" s="74"/>
      <c r="AQ30" s="71" t="s">
        <v>948</v>
      </c>
      <c r="AR30" s="41">
        <f>AR31</f>
        <v>0</v>
      </c>
      <c r="AS30" s="41">
        <f>AR30+AS31</f>
        <v>0</v>
      </c>
      <c r="AT30" s="41">
        <f>AS30+AT31</f>
        <v>0</v>
      </c>
      <c r="AU30" s="41">
        <f>AT30+AU31</f>
        <v>0</v>
      </c>
      <c r="AV30" s="41">
        <f>AU30+AV31</f>
        <v>0</v>
      </c>
      <c r="AW30" s="41">
        <f t="shared" ref="AW30:BC30" si="14">AV30+AW31</f>
        <v>0</v>
      </c>
      <c r="AX30" s="41">
        <f t="shared" si="14"/>
        <v>0</v>
      </c>
      <c r="AY30" s="41">
        <f t="shared" si="14"/>
        <v>0</v>
      </c>
      <c r="AZ30" s="41">
        <f t="shared" si="14"/>
        <v>0</v>
      </c>
      <c r="BA30" s="41">
        <f t="shared" si="14"/>
        <v>0</v>
      </c>
      <c r="BB30" s="41">
        <f t="shared" si="14"/>
        <v>0</v>
      </c>
      <c r="BC30" s="41">
        <f t="shared" si="14"/>
        <v>0</v>
      </c>
    </row>
    <row r="31" spans="1:55" ht="16.5" x14ac:dyDescent="0.3">
      <c r="A31" s="71" t="s">
        <v>975</v>
      </c>
      <c r="B31" s="41"/>
      <c r="C31" s="41"/>
      <c r="D31" s="41"/>
      <c r="E31" s="41"/>
      <c r="F31" s="41"/>
      <c r="G31" s="73"/>
      <c r="H31" s="73"/>
      <c r="I31" s="73"/>
      <c r="J31" s="73"/>
      <c r="K31" s="73"/>
      <c r="L31" s="73"/>
      <c r="M31" s="73"/>
      <c r="N31" s="74"/>
      <c r="O31" s="71" t="s">
        <v>975</v>
      </c>
      <c r="P31" s="41"/>
      <c r="Q31" s="41"/>
      <c r="R31" s="41"/>
      <c r="S31" s="41"/>
      <c r="T31" s="41"/>
      <c r="U31" s="73"/>
      <c r="V31" s="73"/>
      <c r="W31" s="73"/>
      <c r="X31" s="73"/>
      <c r="Y31" s="73"/>
      <c r="Z31" s="73"/>
      <c r="AA31" s="73"/>
      <c r="AB31" s="74"/>
      <c r="AC31" s="71" t="s">
        <v>975</v>
      </c>
      <c r="AD31" s="41"/>
      <c r="AE31" s="41"/>
      <c r="AF31" s="41"/>
      <c r="AG31" s="41"/>
      <c r="AH31" s="41"/>
      <c r="AI31" s="73"/>
      <c r="AJ31" s="73"/>
      <c r="AK31" s="73"/>
      <c r="AL31" s="73"/>
      <c r="AM31" s="73"/>
      <c r="AN31" s="73"/>
      <c r="AO31" s="73"/>
      <c r="AP31" s="74"/>
      <c r="AQ31" s="71" t="s">
        <v>975</v>
      </c>
      <c r="AR31" s="41"/>
      <c r="AS31" s="41"/>
      <c r="AT31" s="41"/>
      <c r="AU31" s="41"/>
      <c r="AV31" s="41"/>
      <c r="AW31" s="73"/>
      <c r="AX31" s="73"/>
      <c r="AY31" s="73"/>
      <c r="AZ31" s="73"/>
      <c r="BA31" s="73"/>
      <c r="BB31" s="73"/>
      <c r="BC31" s="73"/>
    </row>
    <row r="32" spans="1:55" ht="16.5" x14ac:dyDescent="0.3">
      <c r="A32" s="71" t="s">
        <v>976</v>
      </c>
      <c r="B32" s="41" t="e">
        <f>SUMIF('Projetos ciclo 2018-2022'!$C$8:$C$102,'Gráfico Tendência 2018-2022'!$A$28,'Projetos ciclo 2018-2022'!#REF!)</f>
        <v>#REF!</v>
      </c>
      <c r="C32" s="41" t="e">
        <f>SUMIF('Projetos ciclo 2018-2022'!$C$8:$C$102,'Gráfico Tendência 2018-2022'!$A$28,'Projetos ciclo 2018-2022'!#REF!)</f>
        <v>#REF!</v>
      </c>
      <c r="D32" s="41" t="e">
        <f>SUMIF('Projetos ciclo 2018-2022'!$C$8:$C$102,'Gráfico Tendência 2018-2022'!$A$28,'Projetos ciclo 2018-2022'!#REF!)</f>
        <v>#REF!</v>
      </c>
      <c r="E32" s="41" t="e">
        <f>SUMIF('Projetos ciclo 2018-2022'!$C$8:$C$102,'Gráfico Tendência 2018-2022'!$A$28,'Projetos ciclo 2018-2022'!#REF!)</f>
        <v>#REF!</v>
      </c>
      <c r="F32" s="41" t="e">
        <f>SUMIF('Projetos ciclo 2018-2022'!$C$8:$C$102,'Gráfico Tendência 2018-2022'!$A$28,'Projetos ciclo 2018-2022'!#REF!)</f>
        <v>#REF!</v>
      </c>
      <c r="G32" s="41" t="e">
        <f>SUMIF('Projetos ciclo 2018-2022'!$C$8:$C$102,'Gráfico Tendência 2018-2022'!$A$28,'Projetos ciclo 2018-2022'!#REF!)</f>
        <v>#REF!</v>
      </c>
      <c r="H32" s="41" t="e">
        <f>SUMIF('Projetos ciclo 2018-2022'!$C$8:$C$102,'Gráfico Tendência 2018-2022'!$A$28,'Projetos ciclo 2018-2022'!#REF!)</f>
        <v>#REF!</v>
      </c>
      <c r="I32" s="41">
        <f>SUMIF('Projetos ciclo 2018-2022'!$C$8:$C$102,'Gráfico Tendência 2018-2022'!$A$28,'Projetos ciclo 2018-2022'!O8:O102)</f>
        <v>19.024649977684021</v>
      </c>
      <c r="J32" s="41">
        <f>SUMIF('Projetos ciclo 2018-2022'!$C$8:$C$102,'Gráfico Tendência 2018-2022'!$A$28,'Projetos ciclo 2018-2022'!P8:P102)</f>
        <v>4</v>
      </c>
      <c r="K32" s="41">
        <f>SUMIF('Projetos ciclo 2018-2022'!$C$8:$C$102,'Gráfico Tendência 2018-2022'!$A$28,'Projetos ciclo 2018-2022'!Q8:Q102)</f>
        <v>17</v>
      </c>
      <c r="L32" s="41">
        <f>SUMIF('Projetos ciclo 2018-2022'!$C$8:$C$102,'Gráfico Tendência 2018-2022'!$A$28,'Projetos ciclo 2018-2022'!R8:R102)</f>
        <v>224</v>
      </c>
      <c r="M32" s="41">
        <f>SUMIF('Projetos ciclo 2018-2022'!$C$8:$C$102,'Gráfico Tendência 2018-2022'!$A$28,'Projetos ciclo 2018-2022'!S8:S102)</f>
        <v>1301.458969998474</v>
      </c>
      <c r="N32" s="74"/>
      <c r="O32" s="71" t="s">
        <v>976</v>
      </c>
      <c r="P32" s="41"/>
      <c r="Q32" s="41"/>
      <c r="R32" s="41"/>
      <c r="S32" s="41"/>
      <c r="T32" s="41"/>
      <c r="U32" s="41"/>
      <c r="V32" s="41"/>
      <c r="W32" s="41"/>
      <c r="X32" s="41"/>
      <c r="Y32" s="41"/>
      <c r="Z32" s="41"/>
      <c r="AA32" s="41"/>
      <c r="AB32" s="74"/>
      <c r="AC32" s="71" t="s">
        <v>976</v>
      </c>
      <c r="AD32" s="41"/>
      <c r="AE32" s="41"/>
      <c r="AF32" s="41"/>
      <c r="AG32" s="41"/>
      <c r="AH32" s="41"/>
      <c r="AI32" s="41"/>
      <c r="AJ32" s="41"/>
      <c r="AK32" s="41"/>
      <c r="AL32" s="41"/>
      <c r="AM32" s="41"/>
      <c r="AN32" s="41"/>
      <c r="AO32" s="41"/>
      <c r="AP32" s="74"/>
      <c r="AQ32" s="71" t="s">
        <v>976</v>
      </c>
      <c r="AR32" s="41"/>
      <c r="AS32" s="41"/>
      <c r="AT32" s="41"/>
      <c r="AU32" s="41"/>
      <c r="AV32" s="41"/>
      <c r="AW32" s="41"/>
      <c r="AX32" s="41"/>
      <c r="AY32" s="41"/>
      <c r="AZ32" s="41"/>
      <c r="BA32" s="41"/>
      <c r="BB32" s="41"/>
      <c r="BC32" s="41"/>
    </row>
    <row r="33" spans="14:42" x14ac:dyDescent="0.25">
      <c r="N33" s="74"/>
      <c r="AB33" s="74"/>
      <c r="AP33" s="74"/>
    </row>
    <row r="34" spans="14:42" x14ac:dyDescent="0.25">
      <c r="N34" s="74"/>
      <c r="AB34" s="74"/>
      <c r="AP34" s="74"/>
    </row>
    <row r="35" spans="14:42" x14ac:dyDescent="0.25">
      <c r="N35" s="74"/>
      <c r="AB35" s="74"/>
      <c r="AP35" s="74"/>
    </row>
    <row r="36" spans="14:42" x14ac:dyDescent="0.25">
      <c r="N36" s="74"/>
      <c r="AB36" s="74"/>
      <c r="AP36" s="74"/>
    </row>
    <row r="37" spans="14:42" x14ac:dyDescent="0.25">
      <c r="N37" s="74"/>
      <c r="AB37" s="74"/>
      <c r="AP37" s="74"/>
    </row>
    <row r="38" spans="14:42" x14ac:dyDescent="0.25">
      <c r="N38" s="74"/>
      <c r="AB38" s="74"/>
      <c r="AP38" s="74"/>
    </row>
    <row r="39" spans="14:42" x14ac:dyDescent="0.25">
      <c r="N39" s="74"/>
      <c r="AB39" s="74"/>
      <c r="AP39" s="74"/>
    </row>
    <row r="40" spans="14:42" x14ac:dyDescent="0.25">
      <c r="N40" s="74"/>
      <c r="AB40" s="74"/>
      <c r="AP40" s="74"/>
    </row>
    <row r="41" spans="14:42" x14ac:dyDescent="0.25">
      <c r="N41" s="74"/>
      <c r="AB41" s="74"/>
      <c r="AP41" s="74"/>
    </row>
    <row r="42" spans="14:42" x14ac:dyDescent="0.25">
      <c r="N42" s="74"/>
      <c r="AB42" s="74"/>
      <c r="AP42" s="74"/>
    </row>
    <row r="43" spans="14:42" x14ac:dyDescent="0.25">
      <c r="N43" s="74"/>
      <c r="AB43" s="74"/>
      <c r="AP43" s="74"/>
    </row>
    <row r="44" spans="14:42" x14ac:dyDescent="0.25">
      <c r="N44" s="74"/>
      <c r="AB44" s="74"/>
      <c r="AP44" s="74"/>
    </row>
    <row r="45" spans="14:42" x14ac:dyDescent="0.25">
      <c r="N45" s="74"/>
      <c r="AB45" s="74"/>
      <c r="AP45" s="74"/>
    </row>
    <row r="46" spans="14:42" x14ac:dyDescent="0.25">
      <c r="N46" s="74"/>
      <c r="AB46" s="74"/>
      <c r="AP46" s="74"/>
    </row>
    <row r="47" spans="14:42" x14ac:dyDescent="0.25">
      <c r="N47" s="74"/>
      <c r="AB47" s="74"/>
      <c r="AP47" s="74"/>
    </row>
    <row r="48" spans="14:42" x14ac:dyDescent="0.25">
      <c r="N48" s="74"/>
      <c r="AB48" s="74"/>
      <c r="AP48" s="74"/>
    </row>
    <row r="49" spans="1:55" x14ac:dyDescent="0.25">
      <c r="N49" s="74"/>
      <c r="AB49" s="74"/>
      <c r="AP49" s="74"/>
    </row>
    <row r="50" spans="1:55" x14ac:dyDescent="0.25">
      <c r="N50" s="74"/>
      <c r="AB50" s="74"/>
      <c r="AP50" s="74"/>
    </row>
    <row r="51" spans="1:55" x14ac:dyDescent="0.25">
      <c r="N51" s="74"/>
      <c r="AB51" s="74"/>
      <c r="AP51" s="74"/>
    </row>
    <row r="52" spans="1:55" ht="18" x14ac:dyDescent="0.25">
      <c r="A52" s="551" t="s">
        <v>951</v>
      </c>
      <c r="B52" s="551"/>
      <c r="C52" s="551"/>
      <c r="D52" s="551"/>
      <c r="E52" s="551"/>
      <c r="F52" s="551"/>
      <c r="G52" s="551"/>
      <c r="H52" s="551"/>
      <c r="I52" s="551"/>
      <c r="J52" s="551"/>
      <c r="K52" s="552" t="s">
        <v>974</v>
      </c>
      <c r="L52" s="552"/>
      <c r="M52" s="552"/>
      <c r="N52" s="74"/>
      <c r="O52" s="551" t="s">
        <v>958</v>
      </c>
      <c r="P52" s="551"/>
      <c r="Q52" s="551"/>
      <c r="R52" s="551"/>
      <c r="S52" s="551"/>
      <c r="T52" s="551"/>
      <c r="U52" s="551"/>
      <c r="V52" s="551"/>
      <c r="W52" s="551"/>
      <c r="X52" s="551"/>
      <c r="Y52" s="552" t="s">
        <v>974</v>
      </c>
      <c r="Z52" s="552"/>
      <c r="AA52" s="552"/>
      <c r="AB52" s="74"/>
      <c r="AC52" s="551" t="s">
        <v>965</v>
      </c>
      <c r="AD52" s="551"/>
      <c r="AE52" s="551"/>
      <c r="AF52" s="551"/>
      <c r="AG52" s="551"/>
      <c r="AH52" s="551"/>
      <c r="AI52" s="551"/>
      <c r="AJ52" s="551"/>
      <c r="AK52" s="551"/>
      <c r="AL52" s="551"/>
      <c r="AM52" s="552" t="s">
        <v>974</v>
      </c>
      <c r="AN52" s="552"/>
      <c r="AO52" s="552"/>
      <c r="AP52" s="74"/>
      <c r="AQ52" s="551" t="s">
        <v>972</v>
      </c>
      <c r="AR52" s="551"/>
      <c r="AS52" s="551"/>
      <c r="AT52" s="551"/>
      <c r="AU52" s="551"/>
      <c r="AV52" s="551"/>
      <c r="AW52" s="551"/>
      <c r="AX52" s="551"/>
      <c r="AY52" s="551"/>
      <c r="AZ52" s="551"/>
      <c r="BA52" s="552" t="s">
        <v>974</v>
      </c>
      <c r="BB52" s="552"/>
      <c r="BC52" s="552"/>
    </row>
    <row r="53" spans="1:55" ht="16.5" x14ac:dyDescent="0.3">
      <c r="A53" s="40" t="s">
        <v>45</v>
      </c>
      <c r="B53" s="72">
        <v>43101</v>
      </c>
      <c r="C53" s="72">
        <v>43132</v>
      </c>
      <c r="D53" s="72">
        <v>43160</v>
      </c>
      <c r="E53" s="72">
        <v>43191</v>
      </c>
      <c r="F53" s="72">
        <v>43221</v>
      </c>
      <c r="G53" s="72">
        <v>43252</v>
      </c>
      <c r="H53" s="72">
        <v>43282</v>
      </c>
      <c r="I53" s="72">
        <v>43313</v>
      </c>
      <c r="J53" s="72">
        <v>43344</v>
      </c>
      <c r="K53" s="72">
        <v>43374</v>
      </c>
      <c r="L53" s="72">
        <v>43405</v>
      </c>
      <c r="M53" s="72">
        <v>43435</v>
      </c>
      <c r="N53" s="74"/>
      <c r="O53" s="40" t="s">
        <v>33</v>
      </c>
      <c r="P53" s="72">
        <v>43101</v>
      </c>
      <c r="Q53" s="72">
        <v>43132</v>
      </c>
      <c r="R53" s="72">
        <v>43160</v>
      </c>
      <c r="S53" s="72">
        <v>43191</v>
      </c>
      <c r="T53" s="72">
        <v>43221</v>
      </c>
      <c r="U53" s="72">
        <v>43252</v>
      </c>
      <c r="V53" s="72">
        <v>43282</v>
      </c>
      <c r="W53" s="72">
        <v>43313</v>
      </c>
      <c r="X53" s="72">
        <v>43344</v>
      </c>
      <c r="Y53" s="72">
        <v>43374</v>
      </c>
      <c r="Z53" s="72">
        <v>43405</v>
      </c>
      <c r="AA53" s="72">
        <v>43435</v>
      </c>
      <c r="AB53" s="74"/>
      <c r="AC53" s="40" t="s">
        <v>39</v>
      </c>
      <c r="AD53" s="72">
        <v>43101</v>
      </c>
      <c r="AE53" s="72">
        <v>43132</v>
      </c>
      <c r="AF53" s="72">
        <v>43160</v>
      </c>
      <c r="AG53" s="72">
        <v>43191</v>
      </c>
      <c r="AH53" s="72">
        <v>43221</v>
      </c>
      <c r="AI53" s="72">
        <v>43252</v>
      </c>
      <c r="AJ53" s="72">
        <v>43282</v>
      </c>
      <c r="AK53" s="72">
        <v>43313</v>
      </c>
      <c r="AL53" s="72">
        <v>43344</v>
      </c>
      <c r="AM53" s="72">
        <v>43374</v>
      </c>
      <c r="AN53" s="72">
        <v>43405</v>
      </c>
      <c r="AO53" s="72">
        <v>43435</v>
      </c>
      <c r="AP53" s="74"/>
      <c r="AQ53" s="40" t="s">
        <v>46</v>
      </c>
      <c r="AR53" s="72">
        <v>43101</v>
      </c>
      <c r="AS53" s="72">
        <v>43132</v>
      </c>
      <c r="AT53" s="72">
        <v>43160</v>
      </c>
      <c r="AU53" s="72">
        <v>43191</v>
      </c>
      <c r="AV53" s="72">
        <v>43221</v>
      </c>
      <c r="AW53" s="72">
        <v>43252</v>
      </c>
      <c r="AX53" s="72">
        <v>43282</v>
      </c>
      <c r="AY53" s="72">
        <v>43313</v>
      </c>
      <c r="AZ53" s="72">
        <v>43344</v>
      </c>
      <c r="BA53" s="72">
        <v>43374</v>
      </c>
      <c r="BB53" s="72">
        <v>43405</v>
      </c>
      <c r="BC53" s="72">
        <v>43435</v>
      </c>
    </row>
    <row r="54" spans="1:55" ht="16.5" x14ac:dyDescent="0.3">
      <c r="A54" s="70" t="s">
        <v>947</v>
      </c>
      <c r="B54" s="41">
        <f>SUMIF('Projetos ciclo 2018-2022'!$C$8:$C$102,'Gráfico Tendência 2018-2022'!$A$53,'Projetos ciclo 2018-2022'!$T$8:$T$102)</f>
        <v>0</v>
      </c>
      <c r="C54" s="41">
        <f>SUMIF('Projetos ciclo 2018-2022'!$C$8:$C$102,'Gráfico Tendência 2018-2022'!$A$53,'Projetos ciclo 2018-2022'!$T$8:$T$102)</f>
        <v>0</v>
      </c>
      <c r="D54" s="41">
        <f>SUMIF('Projetos ciclo 2018-2022'!$C$8:$C$102,'Gráfico Tendência 2018-2022'!$A$53,'Projetos ciclo 2018-2022'!$T$8:$T$102)</f>
        <v>0</v>
      </c>
      <c r="E54" s="41">
        <f>SUMIF('Projetos ciclo 2018-2022'!$C$8:$C$102,'Gráfico Tendência 2018-2022'!$A$53,'Projetos ciclo 2018-2022'!$T$8:$T$102)</f>
        <v>0</v>
      </c>
      <c r="F54" s="41">
        <f>SUMIF('Projetos ciclo 2018-2022'!$C$8:$C$102,'Gráfico Tendência 2018-2022'!$A$53,'Projetos ciclo 2018-2022'!$T$8:$T$102)</f>
        <v>0</v>
      </c>
      <c r="G54" s="41">
        <f>SUMIF('Projetos ciclo 2018-2022'!$C$8:$C$102,'Gráfico Tendência 2018-2022'!$A$53,'Projetos ciclo 2018-2022'!$T$8:$T$102)</f>
        <v>0</v>
      </c>
      <c r="H54" s="41">
        <f>SUMIF('Projetos ciclo 2018-2022'!$C$8:$C$102,'Gráfico Tendência 2018-2022'!$A$53,'Projetos ciclo 2018-2022'!$T$8:$T$102)</f>
        <v>0</v>
      </c>
      <c r="I54" s="41">
        <f>SUMIF('Projetos ciclo 2018-2022'!$C$8:$C$102,'Gráfico Tendência 2018-2022'!$A$53,'Projetos ciclo 2018-2022'!$T$8:$T$102)</f>
        <v>0</v>
      </c>
      <c r="J54" s="41">
        <f>SUMIF('Projetos ciclo 2018-2022'!$C$8:$C$102,'Gráfico Tendência 2018-2022'!$A$53,'Projetos ciclo 2018-2022'!$T$8:$T$102)</f>
        <v>0</v>
      </c>
      <c r="K54" s="41">
        <f>SUMIF('Projetos ciclo 2018-2022'!$C$8:$C$102,'Gráfico Tendência 2018-2022'!$A$53,'Projetos ciclo 2018-2022'!$T$8:$T$102)</f>
        <v>0</v>
      </c>
      <c r="L54" s="41">
        <f>SUMIF('Projetos ciclo 2018-2022'!$C$8:$C$102,'Gráfico Tendência 2018-2022'!$A$53,'Projetos ciclo 2018-2022'!$T$8:$T$102)</f>
        <v>0</v>
      </c>
      <c r="M54" s="41">
        <f>SUMIF('Projetos ciclo 2018-2022'!$C$8:$C$102,'Gráfico Tendência 2018-2022'!$A$53,'Projetos ciclo 2018-2022'!$T$8:$T$102)</f>
        <v>0</v>
      </c>
      <c r="N54" s="74"/>
      <c r="O54" s="70" t="s">
        <v>947</v>
      </c>
      <c r="P54" s="41">
        <f>SUMIF('Projetos ciclo 2018-2022'!$C$8:$C$102,'Gráfico Tendência 2018-2022'!$O$53,'Projetos ciclo 2018-2022'!$T$8:$T$102)</f>
        <v>0</v>
      </c>
      <c r="Q54" s="41">
        <f>SUMIF('Projetos ciclo 2018-2022'!$C$8:$C$102,'Gráfico Tendência 2018-2022'!$O$53,'Projetos ciclo 2018-2022'!$T$8:$T$102)</f>
        <v>0</v>
      </c>
      <c r="R54" s="41">
        <f>SUMIF('Projetos ciclo 2018-2022'!$C$8:$C$102,'Gráfico Tendência 2018-2022'!$O$53,'Projetos ciclo 2018-2022'!$T$8:$T$102)</f>
        <v>0</v>
      </c>
      <c r="S54" s="41">
        <f>SUMIF('Projetos ciclo 2018-2022'!$C$8:$C$102,'Gráfico Tendência 2018-2022'!$O$53,'Projetos ciclo 2018-2022'!$T$8:$T$102)</f>
        <v>0</v>
      </c>
      <c r="T54" s="41">
        <f>SUMIF('Projetos ciclo 2018-2022'!$C$8:$C$102,'Gráfico Tendência 2018-2022'!$O$53,'Projetos ciclo 2018-2022'!$T$8:$T$102)</f>
        <v>0</v>
      </c>
      <c r="U54" s="41">
        <f>SUMIF('Projetos ciclo 2018-2022'!$C$8:$C$102,'Gráfico Tendência 2018-2022'!$O$53,'Projetos ciclo 2018-2022'!$T$8:$T$102)</f>
        <v>0</v>
      </c>
      <c r="V54" s="41">
        <f>SUMIF('Projetos ciclo 2018-2022'!$C$8:$C$102,'Gráfico Tendência 2018-2022'!$O$53,'Projetos ciclo 2018-2022'!$T$8:$T$102)</f>
        <v>0</v>
      </c>
      <c r="W54" s="41">
        <f>SUMIF('Projetos ciclo 2018-2022'!$C$8:$C$102,'Gráfico Tendência 2018-2022'!$O$53,'Projetos ciclo 2018-2022'!$T$8:$T$102)</f>
        <v>0</v>
      </c>
      <c r="X54" s="41">
        <f>SUMIF('Projetos ciclo 2018-2022'!$C$8:$C$102,'Gráfico Tendência 2018-2022'!$O$53,'Projetos ciclo 2018-2022'!$T$8:$T$102)</f>
        <v>0</v>
      </c>
      <c r="Y54" s="41">
        <f>SUMIF('Projetos ciclo 2018-2022'!$C$8:$C$102,'Gráfico Tendência 2018-2022'!$O$53,'Projetos ciclo 2018-2022'!$T$8:$T$102)</f>
        <v>0</v>
      </c>
      <c r="Z54" s="41">
        <f>SUMIF('Projetos ciclo 2018-2022'!$C$8:$C$102,'Gráfico Tendência 2018-2022'!$O$53,'Projetos ciclo 2018-2022'!$T$8:$T$102)</f>
        <v>0</v>
      </c>
      <c r="AA54" s="41">
        <f>SUMIF('Projetos ciclo 2018-2022'!$C$8:$C$102,'Gráfico Tendência 2018-2022'!$O$53,'Projetos ciclo 2018-2022'!$T$8:$T$102)</f>
        <v>0</v>
      </c>
      <c r="AB54" s="74"/>
      <c r="AC54" s="70" t="s">
        <v>947</v>
      </c>
      <c r="AD54" s="41">
        <f>SUMIF('Projetos ciclo 2018-2022'!$C$8:$C$102,'Gráfico Tendência 2018-2022'!$AC$53,'Projetos ciclo 2018-2022'!$T$8:$T$102)</f>
        <v>0</v>
      </c>
      <c r="AE54" s="41">
        <f>SUMIF('Projetos ciclo 2018-2022'!$C$8:$C$102,'Gráfico Tendência 2018-2022'!$AC$53,'Projetos ciclo 2018-2022'!$T$8:$T$102)</f>
        <v>0</v>
      </c>
      <c r="AF54" s="41">
        <f>SUMIF('Projetos ciclo 2018-2022'!$C$8:$C$102,'Gráfico Tendência 2018-2022'!$AC$53,'Projetos ciclo 2018-2022'!$T$8:$T$102)</f>
        <v>0</v>
      </c>
      <c r="AG54" s="41">
        <f>SUMIF('Projetos ciclo 2018-2022'!$C$8:$C$102,'Gráfico Tendência 2018-2022'!$AC$53,'Projetos ciclo 2018-2022'!$T$8:$T$102)</f>
        <v>0</v>
      </c>
      <c r="AH54" s="41">
        <f>SUMIF('Projetos ciclo 2018-2022'!$C$8:$C$102,'Gráfico Tendência 2018-2022'!$AC$53,'Projetos ciclo 2018-2022'!$T$8:$T$102)</f>
        <v>0</v>
      </c>
      <c r="AI54" s="41">
        <f>SUMIF('Projetos ciclo 2018-2022'!$C$8:$C$102,'Gráfico Tendência 2018-2022'!$AC$53,'Projetos ciclo 2018-2022'!$T$8:$T$102)</f>
        <v>0</v>
      </c>
      <c r="AJ54" s="41">
        <f>SUMIF('Projetos ciclo 2018-2022'!$C$8:$C$102,'Gráfico Tendência 2018-2022'!$AC$53,'Projetos ciclo 2018-2022'!$T$8:$T$102)</f>
        <v>0</v>
      </c>
      <c r="AK54" s="41">
        <f>SUMIF('Projetos ciclo 2018-2022'!$C$8:$C$102,'Gráfico Tendência 2018-2022'!$AC$53,'Projetos ciclo 2018-2022'!$T$8:$T$102)</f>
        <v>0</v>
      </c>
      <c r="AL54" s="41">
        <f>SUMIF('Projetos ciclo 2018-2022'!$C$8:$C$102,'Gráfico Tendência 2018-2022'!$AC$53,'Projetos ciclo 2018-2022'!$T$8:$T$102)</f>
        <v>0</v>
      </c>
      <c r="AM54" s="41">
        <f>SUMIF('Projetos ciclo 2018-2022'!$C$8:$C$102,'Gráfico Tendência 2018-2022'!$AC$53,'Projetos ciclo 2018-2022'!$T$8:$T$102)</f>
        <v>0</v>
      </c>
      <c r="AN54" s="41">
        <f>SUMIF('Projetos ciclo 2018-2022'!$C$8:$C$102,'Gráfico Tendência 2018-2022'!$AC$53,'Projetos ciclo 2018-2022'!$T$8:$T$102)</f>
        <v>0</v>
      </c>
      <c r="AO54" s="41">
        <f>SUMIF('Projetos ciclo 2018-2022'!$C$8:$C$102,'Gráfico Tendência 2018-2022'!$AC$53,'Projetos ciclo 2018-2022'!$T$8:$T$102)</f>
        <v>0</v>
      </c>
      <c r="AP54" s="74"/>
      <c r="AQ54" s="70" t="s">
        <v>947</v>
      </c>
      <c r="AR54" s="41">
        <f>SUMIF('Projetos ciclo 2018-2022'!$C$8:$C$102,'Gráfico Tendência 2018-2022'!$AQ$53,'Projetos ciclo 2018-2022'!$T$8:$T$102)</f>
        <v>0</v>
      </c>
      <c r="AS54" s="41">
        <f>SUMIF('Projetos ciclo 2018-2022'!$C$8:$C$102,'Gráfico Tendência 2018-2022'!$AQ$53,'Projetos ciclo 2018-2022'!$T$8:$T$102)</f>
        <v>0</v>
      </c>
      <c r="AT54" s="41">
        <f>SUMIF('Projetos ciclo 2018-2022'!$C$8:$C$102,'Gráfico Tendência 2018-2022'!$AQ$53,'Projetos ciclo 2018-2022'!$T$8:$T$102)</f>
        <v>0</v>
      </c>
      <c r="AU54" s="41">
        <f>SUMIF('Projetos ciclo 2018-2022'!$C$8:$C$102,'Gráfico Tendência 2018-2022'!$AQ$53,'Projetos ciclo 2018-2022'!$T$8:$T$102)</f>
        <v>0</v>
      </c>
      <c r="AV54" s="41">
        <f>SUMIF('Projetos ciclo 2018-2022'!$C$8:$C$102,'Gráfico Tendência 2018-2022'!$AQ$53,'Projetos ciclo 2018-2022'!$T$8:$T$102)</f>
        <v>0</v>
      </c>
      <c r="AW54" s="41">
        <f>SUMIF('Projetos ciclo 2018-2022'!$C$8:$C$102,'Gráfico Tendência 2018-2022'!$AQ$53,'Projetos ciclo 2018-2022'!$T$8:$T$102)</f>
        <v>0</v>
      </c>
      <c r="AX54" s="41">
        <f>SUMIF('Projetos ciclo 2018-2022'!$C$8:$C$102,'Gráfico Tendência 2018-2022'!$AQ$53,'Projetos ciclo 2018-2022'!$T$8:$T$102)</f>
        <v>0</v>
      </c>
      <c r="AY54" s="41">
        <f>SUMIF('Projetos ciclo 2018-2022'!$C$8:$C$102,'Gráfico Tendência 2018-2022'!$AQ$53,'Projetos ciclo 2018-2022'!$T$8:$T$102)</f>
        <v>0</v>
      </c>
      <c r="AZ54" s="41">
        <f>SUMIF('Projetos ciclo 2018-2022'!$C$8:$C$102,'Gráfico Tendência 2018-2022'!$AQ$53,'Projetos ciclo 2018-2022'!$T$8:$T$102)</f>
        <v>0</v>
      </c>
      <c r="BA54" s="41">
        <f>SUMIF('Projetos ciclo 2018-2022'!$C$8:$C$102,'Gráfico Tendência 2018-2022'!$AQ$53,'Projetos ciclo 2018-2022'!$T$8:$T$102)</f>
        <v>0</v>
      </c>
      <c r="BB54" s="41">
        <f>SUMIF('Projetos ciclo 2018-2022'!$C$8:$C$102,'Gráfico Tendência 2018-2022'!$AQ$53,'Projetos ciclo 2018-2022'!$T$8:$T$102)</f>
        <v>0</v>
      </c>
      <c r="BC54" s="41">
        <f>SUMIF('Projetos ciclo 2018-2022'!$C$8:$C$102,'Gráfico Tendência 2018-2022'!$AQ$53,'Projetos ciclo 2018-2022'!$T$8:$T$102)</f>
        <v>0</v>
      </c>
    </row>
    <row r="55" spans="1:55" ht="16.5" x14ac:dyDescent="0.3">
      <c r="A55" s="71" t="s">
        <v>948</v>
      </c>
      <c r="B55" s="41">
        <f>B56</f>
        <v>0</v>
      </c>
      <c r="C55" s="41">
        <f>B55+C56</f>
        <v>0</v>
      </c>
      <c r="D55" s="41">
        <f>C55+D56</f>
        <v>0</v>
      </c>
      <c r="E55" s="41">
        <f>D55+E56</f>
        <v>0</v>
      </c>
      <c r="F55" s="41">
        <f>E55+F56</f>
        <v>0</v>
      </c>
      <c r="G55" s="41">
        <f t="shared" ref="G55" si="15">F55+G56</f>
        <v>0</v>
      </c>
      <c r="H55" s="41">
        <f t="shared" ref="H55" si="16">G55+H56</f>
        <v>0</v>
      </c>
      <c r="I55" s="41">
        <f t="shared" ref="I55" si="17">H55+I56</f>
        <v>0</v>
      </c>
      <c r="J55" s="41">
        <f t="shared" ref="J55" si="18">I55+J56</f>
        <v>0</v>
      </c>
      <c r="K55" s="41">
        <f t="shared" ref="K55" si="19">J55+K56</f>
        <v>0</v>
      </c>
      <c r="L55" s="41">
        <f t="shared" ref="L55" si="20">K55+L56</f>
        <v>0</v>
      </c>
      <c r="M55" s="41">
        <f t="shared" ref="M55" si="21">L55+M56</f>
        <v>0</v>
      </c>
      <c r="N55" s="74"/>
      <c r="O55" s="71" t="s">
        <v>948</v>
      </c>
      <c r="P55" s="41">
        <f>P56</f>
        <v>0</v>
      </c>
      <c r="Q55" s="41">
        <f>P55+Q56</f>
        <v>0</v>
      </c>
      <c r="R55" s="41">
        <f>Q55+R56</f>
        <v>0</v>
      </c>
      <c r="S55" s="41">
        <f>R55+S56</f>
        <v>0</v>
      </c>
      <c r="T55" s="41">
        <f>S55+T56</f>
        <v>0</v>
      </c>
      <c r="U55" s="41">
        <f t="shared" ref="U55:AA55" si="22">T55+U56</f>
        <v>0</v>
      </c>
      <c r="V55" s="41">
        <f t="shared" si="22"/>
        <v>0</v>
      </c>
      <c r="W55" s="41">
        <f t="shared" si="22"/>
        <v>0</v>
      </c>
      <c r="X55" s="41">
        <f t="shared" si="22"/>
        <v>0</v>
      </c>
      <c r="Y55" s="41">
        <f t="shared" si="22"/>
        <v>0</v>
      </c>
      <c r="Z55" s="41">
        <f t="shared" si="22"/>
        <v>0</v>
      </c>
      <c r="AA55" s="41">
        <f t="shared" si="22"/>
        <v>0</v>
      </c>
      <c r="AB55" s="74"/>
      <c r="AC55" s="71" t="s">
        <v>948</v>
      </c>
      <c r="AD55" s="41">
        <f>AD56</f>
        <v>0</v>
      </c>
      <c r="AE55" s="41">
        <f>AD55+AE56</f>
        <v>0</v>
      </c>
      <c r="AF55" s="41">
        <f>AE55+AF56</f>
        <v>0</v>
      </c>
      <c r="AG55" s="41">
        <f>AF55+AG56</f>
        <v>0</v>
      </c>
      <c r="AH55" s="41">
        <f>AG55+AH56</f>
        <v>0</v>
      </c>
      <c r="AI55" s="41">
        <f t="shared" ref="AI55:AO55" si="23">AH55+AI56</f>
        <v>0</v>
      </c>
      <c r="AJ55" s="41">
        <f t="shared" si="23"/>
        <v>0</v>
      </c>
      <c r="AK55" s="41">
        <f t="shared" si="23"/>
        <v>0</v>
      </c>
      <c r="AL55" s="41">
        <f t="shared" si="23"/>
        <v>0</v>
      </c>
      <c r="AM55" s="41">
        <f t="shared" si="23"/>
        <v>0</v>
      </c>
      <c r="AN55" s="41">
        <f t="shared" si="23"/>
        <v>0</v>
      </c>
      <c r="AO55" s="41">
        <f t="shared" si="23"/>
        <v>0</v>
      </c>
      <c r="AP55" s="74"/>
      <c r="AQ55" s="71" t="s">
        <v>948</v>
      </c>
      <c r="AR55" s="41">
        <f>AR56</f>
        <v>0</v>
      </c>
      <c r="AS55" s="41">
        <f>AR55+AS56</f>
        <v>0</v>
      </c>
      <c r="AT55" s="41">
        <f>AS55+AT56</f>
        <v>0</v>
      </c>
      <c r="AU55" s="41">
        <f>AT55+AU56</f>
        <v>0</v>
      </c>
      <c r="AV55" s="41">
        <f>AU55+AV56</f>
        <v>0</v>
      </c>
      <c r="AW55" s="41">
        <f t="shared" ref="AW55:BC55" si="24">AV55+AW56</f>
        <v>0</v>
      </c>
      <c r="AX55" s="41">
        <f t="shared" si="24"/>
        <v>0</v>
      </c>
      <c r="AY55" s="41">
        <f t="shared" si="24"/>
        <v>0</v>
      </c>
      <c r="AZ55" s="41">
        <f t="shared" si="24"/>
        <v>0</v>
      </c>
      <c r="BA55" s="41">
        <f t="shared" si="24"/>
        <v>0</v>
      </c>
      <c r="BB55" s="41">
        <f t="shared" si="24"/>
        <v>0</v>
      </c>
      <c r="BC55" s="41">
        <f t="shared" si="24"/>
        <v>0</v>
      </c>
    </row>
    <row r="56" spans="1:55" ht="16.5" x14ac:dyDescent="0.3">
      <c r="A56" s="71" t="s">
        <v>975</v>
      </c>
      <c r="B56" s="41"/>
      <c r="C56" s="41"/>
      <c r="D56" s="41"/>
      <c r="E56" s="41"/>
      <c r="F56" s="41"/>
      <c r="G56" s="73"/>
      <c r="H56" s="73"/>
      <c r="I56" s="73"/>
      <c r="J56" s="73"/>
      <c r="K56" s="73"/>
      <c r="L56" s="73"/>
      <c r="M56" s="73"/>
      <c r="N56" s="74"/>
      <c r="O56" s="71" t="s">
        <v>975</v>
      </c>
      <c r="P56" s="41"/>
      <c r="Q56" s="41"/>
      <c r="R56" s="41"/>
      <c r="S56" s="41"/>
      <c r="T56" s="41"/>
      <c r="U56" s="73"/>
      <c r="V56" s="73"/>
      <c r="W56" s="73"/>
      <c r="X56" s="73"/>
      <c r="Y56" s="73"/>
      <c r="Z56" s="73"/>
      <c r="AA56" s="73"/>
      <c r="AB56" s="74"/>
      <c r="AC56" s="71" t="s">
        <v>975</v>
      </c>
      <c r="AD56" s="41"/>
      <c r="AE56" s="41"/>
      <c r="AF56" s="41"/>
      <c r="AG56" s="41"/>
      <c r="AH56" s="41"/>
      <c r="AI56" s="73"/>
      <c r="AJ56" s="73"/>
      <c r="AK56" s="73"/>
      <c r="AL56" s="73"/>
      <c r="AM56" s="73"/>
      <c r="AN56" s="73"/>
      <c r="AO56" s="73"/>
      <c r="AP56" s="74"/>
      <c r="AQ56" s="71" t="s">
        <v>975</v>
      </c>
      <c r="AR56" s="41"/>
      <c r="AS56" s="41"/>
      <c r="AT56" s="41"/>
      <c r="AU56" s="41"/>
      <c r="AV56" s="41"/>
      <c r="AW56" s="73"/>
      <c r="AX56" s="73"/>
      <c r="AY56" s="73"/>
      <c r="AZ56" s="73"/>
      <c r="BA56" s="73"/>
      <c r="BB56" s="73"/>
      <c r="BC56" s="73"/>
    </row>
    <row r="57" spans="1:55" ht="16.5" x14ac:dyDescent="0.3">
      <c r="A57" s="71" t="s">
        <v>976</v>
      </c>
      <c r="B57" s="41"/>
      <c r="C57" s="41"/>
      <c r="D57" s="41"/>
      <c r="E57" s="41"/>
      <c r="F57" s="41"/>
      <c r="G57" s="41"/>
      <c r="H57" s="41"/>
      <c r="I57" s="41"/>
      <c r="J57" s="41"/>
      <c r="K57" s="41"/>
      <c r="L57" s="41"/>
      <c r="M57" s="41"/>
      <c r="N57" s="74"/>
      <c r="O57" s="71" t="s">
        <v>976</v>
      </c>
      <c r="P57" s="41"/>
      <c r="Q57" s="41"/>
      <c r="R57" s="41"/>
      <c r="S57" s="41"/>
      <c r="T57" s="41"/>
      <c r="U57" s="41"/>
      <c r="V57" s="41"/>
      <c r="W57" s="41"/>
      <c r="X57" s="41"/>
      <c r="Y57" s="41"/>
      <c r="Z57" s="41"/>
      <c r="AA57" s="41"/>
      <c r="AB57" s="74"/>
      <c r="AC57" s="71" t="s">
        <v>976</v>
      </c>
      <c r="AD57" s="41"/>
      <c r="AE57" s="41"/>
      <c r="AF57" s="41"/>
      <c r="AG57" s="41"/>
      <c r="AH57" s="41"/>
      <c r="AI57" s="41"/>
      <c r="AJ57" s="41"/>
      <c r="AK57" s="41"/>
      <c r="AL57" s="41"/>
      <c r="AM57" s="41"/>
      <c r="AN57" s="41"/>
      <c r="AO57" s="41"/>
      <c r="AP57" s="74"/>
      <c r="AQ57" s="71" t="s">
        <v>976</v>
      </c>
      <c r="AR57" s="41"/>
      <c r="AS57" s="41"/>
      <c r="AT57" s="41"/>
      <c r="AU57" s="41"/>
      <c r="AV57" s="41"/>
      <c r="AW57" s="41"/>
      <c r="AX57" s="41"/>
      <c r="AY57" s="41"/>
      <c r="AZ57" s="41"/>
      <c r="BA57" s="41"/>
      <c r="BB57" s="41"/>
      <c r="BC57" s="41"/>
    </row>
    <row r="58" spans="1:55" x14ac:dyDescent="0.25">
      <c r="N58" s="74"/>
      <c r="AB58" s="74"/>
      <c r="AP58" s="74"/>
    </row>
    <row r="59" spans="1:55" x14ac:dyDescent="0.25">
      <c r="N59" s="74"/>
      <c r="AB59" s="74"/>
      <c r="AP59" s="74"/>
    </row>
    <row r="60" spans="1:55" x14ac:dyDescent="0.25">
      <c r="N60" s="74"/>
      <c r="AB60" s="74"/>
      <c r="AP60" s="74"/>
    </row>
    <row r="61" spans="1:55" x14ac:dyDescent="0.25">
      <c r="N61" s="74"/>
      <c r="AB61" s="74"/>
      <c r="AP61" s="74"/>
    </row>
    <row r="62" spans="1:55" x14ac:dyDescent="0.25">
      <c r="N62" s="74"/>
      <c r="AB62" s="74"/>
      <c r="AP62" s="74"/>
    </row>
    <row r="63" spans="1:55" x14ac:dyDescent="0.25">
      <c r="N63" s="74"/>
      <c r="AB63" s="74"/>
      <c r="AP63" s="74"/>
    </row>
    <row r="64" spans="1:55" x14ac:dyDescent="0.25">
      <c r="N64" s="74"/>
      <c r="AB64" s="74"/>
      <c r="AP64" s="74"/>
    </row>
    <row r="65" spans="1:42" x14ac:dyDescent="0.25">
      <c r="N65" s="74"/>
      <c r="AB65" s="74"/>
      <c r="AP65" s="74"/>
    </row>
    <row r="66" spans="1:42" x14ac:dyDescent="0.25">
      <c r="N66" s="74"/>
      <c r="AB66" s="74"/>
      <c r="AP66" s="74"/>
    </row>
    <row r="67" spans="1:42" x14ac:dyDescent="0.25">
      <c r="N67" s="74"/>
      <c r="AB67" s="74"/>
      <c r="AP67" s="74"/>
    </row>
    <row r="68" spans="1:42" x14ac:dyDescent="0.25">
      <c r="N68" s="74"/>
      <c r="AB68" s="74"/>
      <c r="AP68" s="74"/>
    </row>
    <row r="69" spans="1:42" x14ac:dyDescent="0.25">
      <c r="N69" s="74"/>
      <c r="AB69" s="74"/>
      <c r="AP69" s="74"/>
    </row>
    <row r="70" spans="1:42" x14ac:dyDescent="0.25">
      <c r="N70" s="74"/>
      <c r="AB70" s="74"/>
      <c r="AP70" s="74"/>
    </row>
    <row r="71" spans="1:42" x14ac:dyDescent="0.25">
      <c r="N71" s="74"/>
      <c r="AB71" s="74"/>
      <c r="AP71" s="74"/>
    </row>
    <row r="72" spans="1:42" x14ac:dyDescent="0.25">
      <c r="N72" s="74"/>
      <c r="AB72" s="74"/>
      <c r="AP72" s="74"/>
    </row>
    <row r="73" spans="1:42" x14ac:dyDescent="0.25">
      <c r="N73" s="74"/>
      <c r="AB73" s="74"/>
      <c r="AP73" s="74"/>
    </row>
    <row r="74" spans="1:42" x14ac:dyDescent="0.25">
      <c r="N74" s="74"/>
      <c r="AB74" s="74"/>
      <c r="AP74" s="74"/>
    </row>
    <row r="75" spans="1:42" x14ac:dyDescent="0.25">
      <c r="N75" s="74"/>
      <c r="AB75" s="74"/>
      <c r="AP75" s="74"/>
    </row>
    <row r="76" spans="1:42" x14ac:dyDescent="0.25">
      <c r="N76" s="74"/>
      <c r="AB76" s="74"/>
      <c r="AP76" s="74"/>
    </row>
    <row r="77" spans="1:42" ht="18" x14ac:dyDescent="0.25">
      <c r="A77" s="551" t="s">
        <v>952</v>
      </c>
      <c r="B77" s="551"/>
      <c r="C77" s="551"/>
      <c r="D77" s="551"/>
      <c r="E77" s="551"/>
      <c r="F77" s="551"/>
      <c r="G77" s="551"/>
      <c r="H77" s="551"/>
      <c r="I77" s="551"/>
      <c r="J77" s="551"/>
      <c r="K77" s="552" t="s">
        <v>974</v>
      </c>
      <c r="L77" s="552"/>
      <c r="M77" s="552"/>
      <c r="N77" s="74"/>
      <c r="O77" s="551" t="s">
        <v>959</v>
      </c>
      <c r="P77" s="551"/>
      <c r="Q77" s="551"/>
      <c r="R77" s="551"/>
      <c r="S77" s="551"/>
      <c r="T77" s="551"/>
      <c r="U77" s="551"/>
      <c r="V77" s="551"/>
      <c r="W77" s="551"/>
      <c r="X77" s="551"/>
      <c r="Y77" s="552" t="s">
        <v>974</v>
      </c>
      <c r="Z77" s="552"/>
      <c r="AA77" s="552"/>
      <c r="AB77" s="74"/>
      <c r="AC77" s="551" t="s">
        <v>966</v>
      </c>
      <c r="AD77" s="551"/>
      <c r="AE77" s="551"/>
      <c r="AF77" s="551"/>
      <c r="AG77" s="551"/>
      <c r="AH77" s="551"/>
      <c r="AI77" s="551"/>
      <c r="AJ77" s="551"/>
      <c r="AK77" s="551"/>
      <c r="AL77" s="551"/>
      <c r="AM77" s="552" t="s">
        <v>974</v>
      </c>
      <c r="AN77" s="552"/>
      <c r="AO77" s="552"/>
      <c r="AP77" s="74"/>
    </row>
    <row r="78" spans="1:42" ht="16.5" x14ac:dyDescent="0.3">
      <c r="A78" s="40" t="s">
        <v>41</v>
      </c>
      <c r="B78" s="72">
        <v>43101</v>
      </c>
      <c r="C78" s="72">
        <v>43132</v>
      </c>
      <c r="D78" s="72">
        <v>43160</v>
      </c>
      <c r="E78" s="72">
        <v>43191</v>
      </c>
      <c r="F78" s="72">
        <v>43221</v>
      </c>
      <c r="G78" s="72">
        <v>43252</v>
      </c>
      <c r="H78" s="72">
        <v>43282</v>
      </c>
      <c r="I78" s="72">
        <v>43313</v>
      </c>
      <c r="J78" s="72">
        <v>43344</v>
      </c>
      <c r="K78" s="72">
        <v>43374</v>
      </c>
      <c r="L78" s="72">
        <v>43405</v>
      </c>
      <c r="M78" s="72">
        <v>43435</v>
      </c>
      <c r="N78" s="74"/>
      <c r="O78" s="40" t="s">
        <v>29</v>
      </c>
      <c r="P78" s="72">
        <v>43101</v>
      </c>
      <c r="Q78" s="72">
        <v>43132</v>
      </c>
      <c r="R78" s="72">
        <v>43160</v>
      </c>
      <c r="S78" s="72">
        <v>43191</v>
      </c>
      <c r="T78" s="72">
        <v>43221</v>
      </c>
      <c r="U78" s="72">
        <v>43252</v>
      </c>
      <c r="V78" s="72">
        <v>43282</v>
      </c>
      <c r="W78" s="72">
        <v>43313</v>
      </c>
      <c r="X78" s="72">
        <v>43344</v>
      </c>
      <c r="Y78" s="72">
        <v>43374</v>
      </c>
      <c r="Z78" s="72">
        <v>43405</v>
      </c>
      <c r="AA78" s="72">
        <v>43435</v>
      </c>
      <c r="AB78" s="74"/>
      <c r="AC78" s="40" t="s">
        <v>35</v>
      </c>
      <c r="AD78" s="72">
        <v>43101</v>
      </c>
      <c r="AE78" s="72">
        <v>43132</v>
      </c>
      <c r="AF78" s="72">
        <v>43160</v>
      </c>
      <c r="AG78" s="72">
        <v>43191</v>
      </c>
      <c r="AH78" s="72">
        <v>43221</v>
      </c>
      <c r="AI78" s="72">
        <v>43252</v>
      </c>
      <c r="AJ78" s="72">
        <v>43282</v>
      </c>
      <c r="AK78" s="72">
        <v>43313</v>
      </c>
      <c r="AL78" s="72">
        <v>43344</v>
      </c>
      <c r="AM78" s="72">
        <v>43374</v>
      </c>
      <c r="AN78" s="72">
        <v>43405</v>
      </c>
      <c r="AO78" s="72">
        <v>43435</v>
      </c>
      <c r="AP78" s="74"/>
    </row>
    <row r="79" spans="1:42" ht="16.5" x14ac:dyDescent="0.3">
      <c r="A79" s="70" t="s">
        <v>947</v>
      </c>
      <c r="B79" s="41">
        <f>SUMIF('Projetos ciclo 2018-2022'!$C$8:$C$102,'Gráfico Tendência 2018-2022'!$A$78,'Projetos ciclo 2018-2022'!$T$8:$T$102)</f>
        <v>0</v>
      </c>
      <c r="C79" s="41">
        <f>SUMIF('Projetos ciclo 2018-2022'!$C$8:$C$102,'Gráfico Tendência 2018-2022'!$A$78,'Projetos ciclo 2018-2022'!$T$8:$T$102)</f>
        <v>0</v>
      </c>
      <c r="D79" s="41">
        <f>SUMIF('Projetos ciclo 2018-2022'!$C$8:$C$102,'Gráfico Tendência 2018-2022'!$A$78,'Projetos ciclo 2018-2022'!$T$8:$T$102)</f>
        <v>0</v>
      </c>
      <c r="E79" s="41">
        <f>SUMIF('Projetos ciclo 2018-2022'!$C$8:$C$102,'Gráfico Tendência 2018-2022'!$A$78,'Projetos ciclo 2018-2022'!$T$8:$T$102)</f>
        <v>0</v>
      </c>
      <c r="F79" s="41">
        <f>SUMIF('Projetos ciclo 2018-2022'!$C$8:$C$102,'Gráfico Tendência 2018-2022'!$A$78,'Projetos ciclo 2018-2022'!$T$8:$T$102)</f>
        <v>0</v>
      </c>
      <c r="G79" s="41">
        <f>SUMIF('Projetos ciclo 2018-2022'!$C$8:$C$102,'Gráfico Tendência 2018-2022'!$A$78,'Projetos ciclo 2018-2022'!$T$8:$T$102)</f>
        <v>0</v>
      </c>
      <c r="H79" s="41">
        <f>SUMIF('Projetos ciclo 2018-2022'!$C$8:$C$102,'Gráfico Tendência 2018-2022'!$A$78,'Projetos ciclo 2018-2022'!$T$8:$T$102)</f>
        <v>0</v>
      </c>
      <c r="I79" s="41">
        <f>SUMIF('Projetos ciclo 2018-2022'!$C$8:$C$102,'Gráfico Tendência 2018-2022'!$A$78,'Projetos ciclo 2018-2022'!$T$8:$T$102)</f>
        <v>0</v>
      </c>
      <c r="J79" s="41">
        <f>SUMIF('Projetos ciclo 2018-2022'!$C$8:$C$102,'Gráfico Tendência 2018-2022'!$A$78,'Projetos ciclo 2018-2022'!$T$8:$T$102)</f>
        <v>0</v>
      </c>
      <c r="K79" s="41">
        <f>SUMIF('Projetos ciclo 2018-2022'!$C$8:$C$102,'Gráfico Tendência 2018-2022'!$A$78,'Projetos ciclo 2018-2022'!$T$8:$T$102)</f>
        <v>0</v>
      </c>
      <c r="L79" s="41">
        <f>SUMIF('Projetos ciclo 2018-2022'!$C$8:$C$102,'Gráfico Tendência 2018-2022'!$A$78,'Projetos ciclo 2018-2022'!$T$8:$T$102)</f>
        <v>0</v>
      </c>
      <c r="M79" s="41">
        <f>SUMIF('Projetos ciclo 2018-2022'!$C$8:$C$102,'Gráfico Tendência 2018-2022'!$A$78,'Projetos ciclo 2018-2022'!$T$8:$T$102)</f>
        <v>0</v>
      </c>
      <c r="N79" s="74"/>
      <c r="O79" s="70" t="s">
        <v>947</v>
      </c>
      <c r="P79" s="41">
        <f>SUMIF('Projetos ciclo 2018-2022'!$C$8:$C$102,'Gráfico Tendência 2018-2022'!$O$78,'Projetos ciclo 2018-2022'!$T$8:$T$102)</f>
        <v>283.39999999999986</v>
      </c>
      <c r="Q79" s="41">
        <f>SUMIF('Projetos ciclo 2018-2022'!$C$8:$C$102,'Gráfico Tendência 2018-2022'!$O$78,'Projetos ciclo 2018-2022'!$T$8:$T$102)</f>
        <v>283.39999999999986</v>
      </c>
      <c r="R79" s="41">
        <f>SUMIF('Projetos ciclo 2018-2022'!$C$8:$C$102,'Gráfico Tendência 2018-2022'!$O$78,'Projetos ciclo 2018-2022'!$T$8:$T$102)</f>
        <v>283.39999999999986</v>
      </c>
      <c r="S79" s="41">
        <f>SUMIF('Projetos ciclo 2018-2022'!$C$8:$C$102,'Gráfico Tendência 2018-2022'!$O$78,'Projetos ciclo 2018-2022'!$T$8:$T$102)</f>
        <v>283.39999999999986</v>
      </c>
      <c r="T79" s="41">
        <f>SUMIF('Projetos ciclo 2018-2022'!$C$8:$C$102,'Gráfico Tendência 2018-2022'!$O$78,'Projetos ciclo 2018-2022'!$T$8:$T$102)</f>
        <v>283.39999999999986</v>
      </c>
      <c r="U79" s="41">
        <f>SUMIF('Projetos ciclo 2018-2022'!$C$8:$C$102,'Gráfico Tendência 2018-2022'!$O$78,'Projetos ciclo 2018-2022'!$T$8:$T$102)</f>
        <v>283.39999999999986</v>
      </c>
      <c r="V79" s="41">
        <f>SUMIF('Projetos ciclo 2018-2022'!$C$8:$C$102,'Gráfico Tendência 2018-2022'!$O$78,'Projetos ciclo 2018-2022'!$T$8:$T$102)</f>
        <v>283.39999999999986</v>
      </c>
      <c r="W79" s="41">
        <f>SUMIF('Projetos ciclo 2018-2022'!$C$8:$C$102,'Gráfico Tendência 2018-2022'!$O$78,'Projetos ciclo 2018-2022'!$T$8:$T$102)</f>
        <v>283.39999999999986</v>
      </c>
      <c r="X79" s="41">
        <f>SUMIF('Projetos ciclo 2018-2022'!$C$8:$C$102,'Gráfico Tendência 2018-2022'!$O$78,'Projetos ciclo 2018-2022'!$T$8:$T$102)</f>
        <v>283.39999999999986</v>
      </c>
      <c r="Y79" s="41">
        <f>SUMIF('Projetos ciclo 2018-2022'!$C$8:$C$102,'Gráfico Tendência 2018-2022'!$O$78,'Projetos ciclo 2018-2022'!$T$8:$T$102)</f>
        <v>283.39999999999986</v>
      </c>
      <c r="Z79" s="41">
        <f>SUMIF('Projetos ciclo 2018-2022'!$C$8:$C$102,'Gráfico Tendência 2018-2022'!$O$78,'Projetos ciclo 2018-2022'!$T$8:$T$102)</f>
        <v>283.39999999999986</v>
      </c>
      <c r="AA79" s="41">
        <f>SUMIF('Projetos ciclo 2018-2022'!$C$8:$C$102,'Gráfico Tendência 2018-2022'!$O$78,'Projetos ciclo 2018-2022'!$T$8:$T$102)</f>
        <v>283.39999999999986</v>
      </c>
      <c r="AB79" s="74"/>
      <c r="AC79" s="70" t="s">
        <v>947</v>
      </c>
      <c r="AD79" s="41">
        <f>SUMIF('Projetos ciclo 2018-2022'!$C$8:$C$102,'Gráfico Tendência 2018-2022'!$AC$78,'Projetos ciclo 2018-2022'!$T$8:$T$102)</f>
        <v>0</v>
      </c>
      <c r="AE79" s="41">
        <f>SUMIF('Projetos ciclo 2018-2022'!$C$8:$C$102,'Gráfico Tendência 2018-2022'!$AC$78,'Projetos ciclo 2018-2022'!$T$8:$T$102)</f>
        <v>0</v>
      </c>
      <c r="AF79" s="41">
        <f>SUMIF('Projetos ciclo 2018-2022'!$C$8:$C$102,'Gráfico Tendência 2018-2022'!$AC$78,'Projetos ciclo 2018-2022'!$T$8:$T$102)</f>
        <v>0</v>
      </c>
      <c r="AG79" s="41">
        <f>SUMIF('Projetos ciclo 2018-2022'!$C$8:$C$102,'Gráfico Tendência 2018-2022'!$AC$78,'Projetos ciclo 2018-2022'!$T$8:$T$102)</f>
        <v>0</v>
      </c>
      <c r="AH79" s="41">
        <f>SUMIF('Projetos ciclo 2018-2022'!$C$8:$C$102,'Gráfico Tendência 2018-2022'!$AC$78,'Projetos ciclo 2018-2022'!$T$8:$T$102)</f>
        <v>0</v>
      </c>
      <c r="AI79" s="41">
        <f>SUMIF('Projetos ciclo 2018-2022'!$C$8:$C$102,'Gráfico Tendência 2018-2022'!$AC$78,'Projetos ciclo 2018-2022'!$T$8:$T$102)</f>
        <v>0</v>
      </c>
      <c r="AJ79" s="41">
        <f>SUMIF('Projetos ciclo 2018-2022'!$C$8:$C$102,'Gráfico Tendência 2018-2022'!$AC$78,'Projetos ciclo 2018-2022'!$T$8:$T$102)</f>
        <v>0</v>
      </c>
      <c r="AK79" s="41">
        <f>SUMIF('Projetos ciclo 2018-2022'!$C$8:$C$102,'Gráfico Tendência 2018-2022'!$AC$78,'Projetos ciclo 2018-2022'!$T$8:$T$102)</f>
        <v>0</v>
      </c>
      <c r="AL79" s="41">
        <f>SUMIF('Projetos ciclo 2018-2022'!$C$8:$C$102,'Gráfico Tendência 2018-2022'!$AC$78,'Projetos ciclo 2018-2022'!$T$8:$T$102)</f>
        <v>0</v>
      </c>
      <c r="AM79" s="41">
        <f>SUMIF('Projetos ciclo 2018-2022'!$C$8:$C$102,'Gráfico Tendência 2018-2022'!$AC$78,'Projetos ciclo 2018-2022'!$T$8:$T$102)</f>
        <v>0</v>
      </c>
      <c r="AN79" s="41">
        <f>SUMIF('Projetos ciclo 2018-2022'!$C$8:$C$102,'Gráfico Tendência 2018-2022'!$AC$78,'Projetos ciclo 2018-2022'!$T$8:$T$102)</f>
        <v>0</v>
      </c>
      <c r="AO79" s="41">
        <f>SUMIF('Projetos ciclo 2018-2022'!$C$8:$C$102,'Gráfico Tendência 2018-2022'!$AC$78,'Projetos ciclo 2018-2022'!$T$8:$T$102)</f>
        <v>0</v>
      </c>
      <c r="AP79" s="74"/>
    </row>
    <row r="80" spans="1:42" ht="16.5" x14ac:dyDescent="0.3">
      <c r="A80" s="71" t="s">
        <v>948</v>
      </c>
      <c r="B80" s="41">
        <f>B81</f>
        <v>0</v>
      </c>
      <c r="C80" s="41">
        <f>B80+C81</f>
        <v>0</v>
      </c>
      <c r="D80" s="41">
        <f>C80+D81</f>
        <v>0</v>
      </c>
      <c r="E80" s="41">
        <f>D80+E81</f>
        <v>0</v>
      </c>
      <c r="F80" s="41">
        <f>E80+F81</f>
        <v>0</v>
      </c>
      <c r="G80" s="41">
        <f t="shared" ref="G80" si="25">F80+G81</f>
        <v>0</v>
      </c>
      <c r="H80" s="41">
        <f t="shared" ref="H80" si="26">G80+H81</f>
        <v>0</v>
      </c>
      <c r="I80" s="41">
        <f t="shared" ref="I80" si="27">H80+I81</f>
        <v>0</v>
      </c>
      <c r="J80" s="41">
        <f t="shared" ref="J80" si="28">I80+J81</f>
        <v>0</v>
      </c>
      <c r="K80" s="41">
        <f t="shared" ref="K80" si="29">J80+K81</f>
        <v>0</v>
      </c>
      <c r="L80" s="41">
        <f t="shared" ref="L80" si="30">K80+L81</f>
        <v>0</v>
      </c>
      <c r="M80" s="41">
        <f t="shared" ref="M80" si="31">L80+M81</f>
        <v>0</v>
      </c>
      <c r="N80" s="74"/>
      <c r="O80" s="71" t="s">
        <v>948</v>
      </c>
      <c r="P80" s="41">
        <f>P81</f>
        <v>0</v>
      </c>
      <c r="Q80" s="41">
        <f>P80+Q81</f>
        <v>0</v>
      </c>
      <c r="R80" s="41">
        <f>Q80+R81</f>
        <v>0</v>
      </c>
      <c r="S80" s="41">
        <f>R80+S81</f>
        <v>0</v>
      </c>
      <c r="T80" s="41">
        <f>S80+T81</f>
        <v>0</v>
      </c>
      <c r="U80" s="41">
        <f t="shared" ref="U80:AA80" si="32">T80+U81</f>
        <v>0</v>
      </c>
      <c r="V80" s="41">
        <f t="shared" si="32"/>
        <v>0</v>
      </c>
      <c r="W80" s="41">
        <f t="shared" si="32"/>
        <v>0</v>
      </c>
      <c r="X80" s="41">
        <f t="shared" si="32"/>
        <v>0</v>
      </c>
      <c r="Y80" s="41">
        <f t="shared" si="32"/>
        <v>0</v>
      </c>
      <c r="Z80" s="41">
        <f t="shared" si="32"/>
        <v>0</v>
      </c>
      <c r="AA80" s="41">
        <f t="shared" si="32"/>
        <v>0</v>
      </c>
      <c r="AB80" s="74"/>
      <c r="AC80" s="71" t="s">
        <v>948</v>
      </c>
      <c r="AD80" s="41">
        <f>AD81</f>
        <v>0</v>
      </c>
      <c r="AE80" s="41">
        <f>AD80+AE81</f>
        <v>0</v>
      </c>
      <c r="AF80" s="41">
        <f>AE80+AF81</f>
        <v>0</v>
      </c>
      <c r="AG80" s="41">
        <f>AF80+AG81</f>
        <v>0</v>
      </c>
      <c r="AH80" s="41">
        <f>AG80+AH81</f>
        <v>0</v>
      </c>
      <c r="AI80" s="41">
        <f t="shared" ref="AI80:AO80" si="33">AH80+AI81</f>
        <v>0</v>
      </c>
      <c r="AJ80" s="41">
        <f t="shared" si="33"/>
        <v>0</v>
      </c>
      <c r="AK80" s="41">
        <f t="shared" si="33"/>
        <v>0</v>
      </c>
      <c r="AL80" s="41">
        <f t="shared" si="33"/>
        <v>0</v>
      </c>
      <c r="AM80" s="41">
        <f t="shared" si="33"/>
        <v>0</v>
      </c>
      <c r="AN80" s="41">
        <f t="shared" si="33"/>
        <v>0</v>
      </c>
      <c r="AO80" s="41">
        <f t="shared" si="33"/>
        <v>0</v>
      </c>
      <c r="AP80" s="74"/>
    </row>
    <row r="81" spans="1:42" ht="16.5" x14ac:dyDescent="0.3">
      <c r="A81" s="71" t="s">
        <v>975</v>
      </c>
      <c r="B81" s="41"/>
      <c r="C81" s="41"/>
      <c r="D81" s="41"/>
      <c r="E81" s="41"/>
      <c r="F81" s="41"/>
      <c r="G81" s="73"/>
      <c r="H81" s="73"/>
      <c r="I81" s="73"/>
      <c r="J81" s="73"/>
      <c r="K81" s="73"/>
      <c r="L81" s="73"/>
      <c r="M81" s="73"/>
      <c r="N81" s="74"/>
      <c r="O81" s="71" t="s">
        <v>975</v>
      </c>
      <c r="P81" s="41"/>
      <c r="Q81" s="41"/>
      <c r="R81" s="41"/>
      <c r="S81" s="41"/>
      <c r="T81" s="41"/>
      <c r="U81" s="73"/>
      <c r="V81" s="73"/>
      <c r="W81" s="73"/>
      <c r="X81" s="73"/>
      <c r="Y81" s="73"/>
      <c r="Z81" s="73"/>
      <c r="AA81" s="73"/>
      <c r="AB81" s="74"/>
      <c r="AC81" s="71" t="s">
        <v>975</v>
      </c>
      <c r="AD81" s="41"/>
      <c r="AE81" s="41"/>
      <c r="AF81" s="41"/>
      <c r="AG81" s="41"/>
      <c r="AH81" s="41"/>
      <c r="AI81" s="73"/>
      <c r="AJ81" s="73"/>
      <c r="AK81" s="73"/>
      <c r="AL81" s="73"/>
      <c r="AM81" s="73"/>
      <c r="AN81" s="73"/>
      <c r="AO81" s="73"/>
      <c r="AP81" s="74"/>
    </row>
    <row r="82" spans="1:42" ht="16.5" x14ac:dyDescent="0.3">
      <c r="A82" s="71" t="s">
        <v>976</v>
      </c>
      <c r="B82" s="41"/>
      <c r="C82" s="41"/>
      <c r="D82" s="41"/>
      <c r="E82" s="41"/>
      <c r="F82" s="41"/>
      <c r="G82" s="41"/>
      <c r="H82" s="41"/>
      <c r="I82" s="41"/>
      <c r="J82" s="41"/>
      <c r="K82" s="41"/>
      <c r="L82" s="41"/>
      <c r="M82" s="41"/>
      <c r="N82" s="74"/>
      <c r="O82" s="71" t="s">
        <v>976</v>
      </c>
      <c r="P82" s="41"/>
      <c r="Q82" s="41"/>
      <c r="R82" s="41"/>
      <c r="S82" s="41"/>
      <c r="T82" s="41"/>
      <c r="U82" s="41"/>
      <c r="V82" s="41"/>
      <c r="W82" s="41"/>
      <c r="X82" s="41"/>
      <c r="Y82" s="41"/>
      <c r="Z82" s="41"/>
      <c r="AA82" s="41"/>
      <c r="AB82" s="74"/>
      <c r="AP82" s="74"/>
    </row>
    <row r="83" spans="1:42" x14ac:dyDescent="0.25">
      <c r="N83" s="74"/>
      <c r="AB83" s="74"/>
      <c r="AP83" s="74"/>
    </row>
    <row r="84" spans="1:42" x14ac:dyDescent="0.25">
      <c r="N84" s="74"/>
      <c r="AB84" s="74"/>
      <c r="AP84" s="74"/>
    </row>
    <row r="85" spans="1:42" x14ac:dyDescent="0.25">
      <c r="N85" s="74"/>
      <c r="AB85" s="74"/>
      <c r="AP85" s="74"/>
    </row>
    <row r="86" spans="1:42" x14ac:dyDescent="0.25">
      <c r="N86" s="74"/>
      <c r="AB86" s="74"/>
      <c r="AP86" s="74"/>
    </row>
    <row r="87" spans="1:42" x14ac:dyDescent="0.25">
      <c r="N87" s="74"/>
      <c r="AB87" s="74"/>
      <c r="AP87" s="74"/>
    </row>
    <row r="88" spans="1:42" x14ac:dyDescent="0.25">
      <c r="N88" s="74"/>
      <c r="AB88" s="74"/>
      <c r="AP88" s="74"/>
    </row>
    <row r="89" spans="1:42" x14ac:dyDescent="0.25">
      <c r="N89" s="74"/>
      <c r="AB89" s="74"/>
      <c r="AP89" s="74"/>
    </row>
    <row r="90" spans="1:42" x14ac:dyDescent="0.25">
      <c r="N90" s="74"/>
      <c r="AB90" s="74"/>
      <c r="AP90" s="74"/>
    </row>
    <row r="91" spans="1:42" x14ac:dyDescent="0.25">
      <c r="N91" s="74"/>
      <c r="AB91" s="74"/>
      <c r="AP91" s="74"/>
    </row>
    <row r="92" spans="1:42" x14ac:dyDescent="0.25">
      <c r="N92" s="74"/>
      <c r="AB92" s="74"/>
      <c r="AP92" s="74"/>
    </row>
    <row r="93" spans="1:42" x14ac:dyDescent="0.25">
      <c r="N93" s="74"/>
      <c r="AB93" s="74"/>
      <c r="AP93" s="74"/>
    </row>
    <row r="94" spans="1:42" x14ac:dyDescent="0.25">
      <c r="N94" s="74"/>
      <c r="AB94" s="74"/>
      <c r="AP94" s="74"/>
    </row>
    <row r="95" spans="1:42" x14ac:dyDescent="0.25">
      <c r="N95" s="74"/>
      <c r="AB95" s="74"/>
      <c r="AP95" s="74"/>
    </row>
    <row r="96" spans="1:42" x14ac:dyDescent="0.25">
      <c r="N96" s="74"/>
      <c r="AB96" s="74"/>
      <c r="AP96" s="74"/>
    </row>
    <row r="97" spans="1:42" x14ac:dyDescent="0.25">
      <c r="N97" s="74"/>
      <c r="AB97" s="74"/>
      <c r="AP97" s="74"/>
    </row>
    <row r="98" spans="1:42" x14ac:dyDescent="0.25">
      <c r="N98" s="74"/>
      <c r="AB98" s="74"/>
      <c r="AP98" s="74"/>
    </row>
    <row r="99" spans="1:42" x14ac:dyDescent="0.25">
      <c r="N99" s="74"/>
      <c r="AB99" s="74"/>
      <c r="AP99" s="74"/>
    </row>
    <row r="100" spans="1:42" x14ac:dyDescent="0.25">
      <c r="N100" s="74"/>
      <c r="AB100" s="74"/>
      <c r="AP100" s="74"/>
    </row>
    <row r="101" spans="1:42" x14ac:dyDescent="0.25">
      <c r="N101" s="74"/>
      <c r="AB101" s="74"/>
      <c r="AP101" s="74"/>
    </row>
    <row r="102" spans="1:42" ht="18" x14ac:dyDescent="0.25">
      <c r="A102" s="551" t="s">
        <v>953</v>
      </c>
      <c r="B102" s="551"/>
      <c r="C102" s="551"/>
      <c r="D102" s="551"/>
      <c r="E102" s="551"/>
      <c r="F102" s="551"/>
      <c r="G102" s="551"/>
      <c r="H102" s="551"/>
      <c r="I102" s="551"/>
      <c r="J102" s="551"/>
      <c r="K102" s="552" t="s">
        <v>974</v>
      </c>
      <c r="L102" s="552"/>
      <c r="M102" s="552"/>
      <c r="N102" s="74"/>
      <c r="O102" s="551" t="s">
        <v>973</v>
      </c>
      <c r="P102" s="551"/>
      <c r="Q102" s="551"/>
      <c r="R102" s="551"/>
      <c r="S102" s="551"/>
      <c r="T102" s="551"/>
      <c r="U102" s="551"/>
      <c r="V102" s="551"/>
      <c r="W102" s="551"/>
      <c r="X102" s="551"/>
      <c r="Y102" s="552" t="s">
        <v>974</v>
      </c>
      <c r="Z102" s="552"/>
      <c r="AA102" s="552"/>
      <c r="AB102" s="74"/>
      <c r="AC102" s="551" t="s">
        <v>967</v>
      </c>
      <c r="AD102" s="551"/>
      <c r="AE102" s="551"/>
      <c r="AF102" s="551"/>
      <c r="AG102" s="551"/>
      <c r="AH102" s="551"/>
      <c r="AI102" s="551"/>
      <c r="AJ102" s="551"/>
      <c r="AK102" s="551"/>
      <c r="AL102" s="551"/>
      <c r="AM102" s="552" t="s">
        <v>974</v>
      </c>
      <c r="AN102" s="552"/>
      <c r="AO102" s="552"/>
      <c r="AP102" s="74"/>
    </row>
    <row r="103" spans="1:42" ht="16.5" x14ac:dyDescent="0.3">
      <c r="A103" s="40" t="s">
        <v>42</v>
      </c>
      <c r="B103" s="72">
        <v>43101</v>
      </c>
      <c r="C103" s="72">
        <v>43132</v>
      </c>
      <c r="D103" s="72">
        <v>43160</v>
      </c>
      <c r="E103" s="72">
        <v>43191</v>
      </c>
      <c r="F103" s="72">
        <v>43221</v>
      </c>
      <c r="G103" s="72">
        <v>43252</v>
      </c>
      <c r="H103" s="72">
        <v>43282</v>
      </c>
      <c r="I103" s="72">
        <v>43313</v>
      </c>
      <c r="J103" s="72">
        <v>43344</v>
      </c>
      <c r="K103" s="72">
        <v>43374</v>
      </c>
      <c r="L103" s="72">
        <v>43405</v>
      </c>
      <c r="M103" s="72">
        <v>43435</v>
      </c>
      <c r="N103" s="74"/>
      <c r="O103" s="40" t="s">
        <v>639</v>
      </c>
      <c r="P103" s="72">
        <v>43101</v>
      </c>
      <c r="Q103" s="72">
        <v>43132</v>
      </c>
      <c r="R103" s="72">
        <v>43160</v>
      </c>
      <c r="S103" s="72">
        <v>43191</v>
      </c>
      <c r="T103" s="72">
        <v>43221</v>
      </c>
      <c r="U103" s="72">
        <v>43252</v>
      </c>
      <c r="V103" s="72">
        <v>43282</v>
      </c>
      <c r="W103" s="72">
        <v>43313</v>
      </c>
      <c r="X103" s="72">
        <v>43344</v>
      </c>
      <c r="Y103" s="72">
        <v>43374</v>
      </c>
      <c r="Z103" s="72">
        <v>43405</v>
      </c>
      <c r="AA103" s="72">
        <v>43435</v>
      </c>
      <c r="AB103" s="74"/>
      <c r="AC103" s="40" t="s">
        <v>36</v>
      </c>
      <c r="AD103" s="72">
        <v>43101</v>
      </c>
      <c r="AE103" s="72">
        <v>43132</v>
      </c>
      <c r="AF103" s="72">
        <v>43160</v>
      </c>
      <c r="AG103" s="72">
        <v>43191</v>
      </c>
      <c r="AH103" s="72">
        <v>43221</v>
      </c>
      <c r="AI103" s="72">
        <v>43252</v>
      </c>
      <c r="AJ103" s="72">
        <v>43282</v>
      </c>
      <c r="AK103" s="72">
        <v>43313</v>
      </c>
      <c r="AL103" s="72">
        <v>43344</v>
      </c>
      <c r="AM103" s="72">
        <v>43374</v>
      </c>
      <c r="AN103" s="72">
        <v>43405</v>
      </c>
      <c r="AO103" s="72">
        <v>43435</v>
      </c>
      <c r="AP103" s="74"/>
    </row>
    <row r="104" spans="1:42" ht="16.5" x14ac:dyDescent="0.3">
      <c r="A104" s="70" t="s">
        <v>947</v>
      </c>
      <c r="B104" s="41">
        <f>SUMIF('Projetos ciclo 2018-2022'!$C$8:$C$102,'Gráfico Tendência 2018-2022'!$A$103,'Projetos ciclo 2018-2022'!$T$8:$T$102)</f>
        <v>0</v>
      </c>
      <c r="C104" s="41">
        <f>SUMIF('Projetos ciclo 2018-2022'!$C$8:$C$102,'Gráfico Tendência 2018-2022'!$A$103,'Projetos ciclo 2018-2022'!$T$8:$T$102)</f>
        <v>0</v>
      </c>
      <c r="D104" s="41">
        <f>SUMIF('Projetos ciclo 2018-2022'!$C$8:$C$102,'Gráfico Tendência 2018-2022'!$A$103,'Projetos ciclo 2018-2022'!$T$8:$T$102)</f>
        <v>0</v>
      </c>
      <c r="E104" s="41">
        <f>SUMIF('Projetos ciclo 2018-2022'!$C$8:$C$102,'Gráfico Tendência 2018-2022'!$A$103,'Projetos ciclo 2018-2022'!$T$8:$T$102)</f>
        <v>0</v>
      </c>
      <c r="F104" s="41">
        <f>SUMIF('Projetos ciclo 2018-2022'!$C$8:$C$102,'Gráfico Tendência 2018-2022'!$A$103,'Projetos ciclo 2018-2022'!$T$8:$T$102)</f>
        <v>0</v>
      </c>
      <c r="G104" s="41">
        <f>SUMIF('Projetos ciclo 2018-2022'!$C$8:$C$102,'Gráfico Tendência 2018-2022'!$A$103,'Projetos ciclo 2018-2022'!$T$8:$T$102)</f>
        <v>0</v>
      </c>
      <c r="H104" s="41">
        <f>SUMIF('Projetos ciclo 2018-2022'!$C$8:$C$102,'Gráfico Tendência 2018-2022'!$A$103,'Projetos ciclo 2018-2022'!$T$8:$T$102)</f>
        <v>0</v>
      </c>
      <c r="I104" s="41">
        <f>SUMIF('Projetos ciclo 2018-2022'!$C$8:$C$102,'Gráfico Tendência 2018-2022'!$A$103,'Projetos ciclo 2018-2022'!$T$8:$T$102)</f>
        <v>0</v>
      </c>
      <c r="J104" s="41">
        <f>SUMIF('Projetos ciclo 2018-2022'!$C$8:$C$102,'Gráfico Tendência 2018-2022'!$A$103,'Projetos ciclo 2018-2022'!$T$8:$T$102)</f>
        <v>0</v>
      </c>
      <c r="K104" s="41">
        <f>SUMIF('Projetos ciclo 2018-2022'!$C$8:$C$102,'Gráfico Tendência 2018-2022'!$A$103,'Projetos ciclo 2018-2022'!$T$8:$T$102)</f>
        <v>0</v>
      </c>
      <c r="L104" s="41">
        <f>SUMIF('Projetos ciclo 2018-2022'!$C$8:$C$102,'Gráfico Tendência 2018-2022'!$A$103,'Projetos ciclo 2018-2022'!$T$8:$T$102)</f>
        <v>0</v>
      </c>
      <c r="M104" s="41">
        <f>SUMIF('Projetos ciclo 2018-2022'!$C$8:$C$102,'Gráfico Tendência 2018-2022'!$A$103,'Projetos ciclo 2018-2022'!$T$8:$T$102)</f>
        <v>0</v>
      </c>
      <c r="N104" s="74"/>
      <c r="O104" s="70" t="s">
        <v>947</v>
      </c>
      <c r="P104" s="41">
        <f>SUMIF('Projetos ciclo 2018-2022'!$C$8:$C$102,'Gráfico Tendência 2018-2022'!$O$103,'Projetos ciclo 2018-2022'!$T$8:$T$102)</f>
        <v>0</v>
      </c>
      <c r="Q104" s="41">
        <f>SUMIF('Projetos ciclo 2018-2022'!$C$8:$C$102,'Gráfico Tendência 2018-2022'!$O$103,'Projetos ciclo 2018-2022'!$T$8:$T$102)</f>
        <v>0</v>
      </c>
      <c r="R104" s="41">
        <f>SUMIF('Projetos ciclo 2018-2022'!$C$8:$C$102,'Gráfico Tendência 2018-2022'!$O$103,'Projetos ciclo 2018-2022'!$T$8:$T$102)</f>
        <v>0</v>
      </c>
      <c r="S104" s="41">
        <f>SUMIF('Projetos ciclo 2018-2022'!$C$8:$C$102,'Gráfico Tendência 2018-2022'!$O$103,'Projetos ciclo 2018-2022'!$T$8:$T$102)</f>
        <v>0</v>
      </c>
      <c r="T104" s="41">
        <f>SUMIF('Projetos ciclo 2018-2022'!$C$8:$C$102,'Gráfico Tendência 2018-2022'!$O$103,'Projetos ciclo 2018-2022'!$T$8:$T$102)</f>
        <v>0</v>
      </c>
      <c r="U104" s="41">
        <f>SUMIF('Projetos ciclo 2018-2022'!$C$8:$C$102,'Gráfico Tendência 2018-2022'!$O$103,'Projetos ciclo 2018-2022'!$T$8:$T$102)</f>
        <v>0</v>
      </c>
      <c r="V104" s="41">
        <f>SUMIF('Projetos ciclo 2018-2022'!$C$8:$C$102,'Gráfico Tendência 2018-2022'!$O$103,'Projetos ciclo 2018-2022'!$T$8:$T$102)</f>
        <v>0</v>
      </c>
      <c r="W104" s="41">
        <f>SUMIF('Projetos ciclo 2018-2022'!$C$8:$C$102,'Gráfico Tendência 2018-2022'!$O$103,'Projetos ciclo 2018-2022'!$T$8:$T$102)</f>
        <v>0</v>
      </c>
      <c r="X104" s="41">
        <f>SUMIF('Projetos ciclo 2018-2022'!$C$8:$C$102,'Gráfico Tendência 2018-2022'!$O$103,'Projetos ciclo 2018-2022'!$T$8:$T$102)</f>
        <v>0</v>
      </c>
      <c r="Y104" s="41">
        <f>SUMIF('Projetos ciclo 2018-2022'!$C$8:$C$102,'Gráfico Tendência 2018-2022'!$O$103,'Projetos ciclo 2018-2022'!$T$8:$T$102)</f>
        <v>0</v>
      </c>
      <c r="Z104" s="41">
        <f>SUMIF('Projetos ciclo 2018-2022'!$C$8:$C$102,'Gráfico Tendência 2018-2022'!$O$103,'Projetos ciclo 2018-2022'!$T$8:$T$102)</f>
        <v>0</v>
      </c>
      <c r="AA104" s="41">
        <f>SUMIF('Projetos ciclo 2018-2022'!$C$8:$C$102,'Gráfico Tendência 2018-2022'!$O$103,'Projetos ciclo 2018-2022'!$T$8:$T$102)</f>
        <v>0</v>
      </c>
      <c r="AB104" s="74"/>
      <c r="AC104" s="70" t="s">
        <v>947</v>
      </c>
      <c r="AD104" s="41">
        <f>SUMIF('Projetos ciclo 2018-2022'!$C$8:$C$102,'Gráfico Tendência 2018-2022'!$AC$103,'Projetos ciclo 2018-2022'!$T$8:$T$102)</f>
        <v>142.21934999999999</v>
      </c>
      <c r="AE104" s="41">
        <f>SUMIF('Projetos ciclo 2018-2022'!$C$8:$C$102,'Gráfico Tendência 2018-2022'!$AC$103,'Projetos ciclo 2018-2022'!$T$8:$T$102)</f>
        <v>142.21934999999999</v>
      </c>
      <c r="AF104" s="41">
        <f>SUMIF('Projetos ciclo 2018-2022'!$C$8:$C$102,'Gráfico Tendência 2018-2022'!$AC$103,'Projetos ciclo 2018-2022'!$T$8:$T$102)</f>
        <v>142.21934999999999</v>
      </c>
      <c r="AG104" s="41">
        <f>SUMIF('Projetos ciclo 2018-2022'!$C$8:$C$102,'Gráfico Tendência 2018-2022'!$AC$103,'Projetos ciclo 2018-2022'!$T$8:$T$102)</f>
        <v>142.21934999999999</v>
      </c>
      <c r="AH104" s="41">
        <f>SUMIF('Projetos ciclo 2018-2022'!$C$8:$C$102,'Gráfico Tendência 2018-2022'!$AC$103,'Projetos ciclo 2018-2022'!$T$8:$T$102)</f>
        <v>142.21934999999999</v>
      </c>
      <c r="AI104" s="41">
        <f>SUMIF('Projetos ciclo 2018-2022'!$C$8:$C$102,'Gráfico Tendência 2018-2022'!$AC$103,'Projetos ciclo 2018-2022'!$T$8:$T$102)</f>
        <v>142.21934999999999</v>
      </c>
      <c r="AJ104" s="41">
        <f>SUMIF('Projetos ciclo 2018-2022'!$C$8:$C$102,'Gráfico Tendência 2018-2022'!$AC$103,'Projetos ciclo 2018-2022'!$T$8:$T$102)</f>
        <v>142.21934999999999</v>
      </c>
      <c r="AK104" s="41">
        <f>SUMIF('Projetos ciclo 2018-2022'!$C$8:$C$102,'Gráfico Tendência 2018-2022'!$AC$103,'Projetos ciclo 2018-2022'!$T$8:$T$102)</f>
        <v>142.21934999999999</v>
      </c>
      <c r="AL104" s="41">
        <f>SUMIF('Projetos ciclo 2018-2022'!$C$8:$C$102,'Gráfico Tendência 2018-2022'!$AC$103,'Projetos ciclo 2018-2022'!$T$8:$T$102)</f>
        <v>142.21934999999999</v>
      </c>
      <c r="AM104" s="41">
        <f>SUMIF('Projetos ciclo 2018-2022'!$C$8:$C$102,'Gráfico Tendência 2018-2022'!$AC$103,'Projetos ciclo 2018-2022'!$T$8:$T$102)</f>
        <v>142.21934999999999</v>
      </c>
      <c r="AN104" s="41">
        <f>SUMIF('Projetos ciclo 2018-2022'!$C$8:$C$102,'Gráfico Tendência 2018-2022'!$AC$103,'Projetos ciclo 2018-2022'!$T$8:$T$102)</f>
        <v>142.21934999999999</v>
      </c>
      <c r="AO104" s="41">
        <f>SUMIF('Projetos ciclo 2018-2022'!$C$8:$C$102,'Gráfico Tendência 2018-2022'!$AC$103,'Projetos ciclo 2018-2022'!$T$8:$T$102)</f>
        <v>142.21934999999999</v>
      </c>
      <c r="AP104" s="74"/>
    </row>
    <row r="105" spans="1:42" ht="16.5" x14ac:dyDescent="0.3">
      <c r="A105" s="71" t="s">
        <v>948</v>
      </c>
      <c r="B105" s="41">
        <f>B106</f>
        <v>0</v>
      </c>
      <c r="C105" s="41">
        <f>B105+C106</f>
        <v>0</v>
      </c>
      <c r="D105" s="41">
        <f>C105+D106</f>
        <v>0</v>
      </c>
      <c r="E105" s="41">
        <f>D105+E106</f>
        <v>0</v>
      </c>
      <c r="F105" s="41">
        <f>E105+F106</f>
        <v>0</v>
      </c>
      <c r="G105" s="41">
        <f t="shared" ref="G105" si="34">F105+G106</f>
        <v>0</v>
      </c>
      <c r="H105" s="41">
        <f t="shared" ref="H105" si="35">G105+H106</f>
        <v>0</v>
      </c>
      <c r="I105" s="41">
        <f t="shared" ref="I105" si="36">H105+I106</f>
        <v>0</v>
      </c>
      <c r="J105" s="41">
        <f t="shared" ref="J105" si="37">I105+J106</f>
        <v>0</v>
      </c>
      <c r="K105" s="41">
        <f t="shared" ref="K105" si="38">J105+K106</f>
        <v>0</v>
      </c>
      <c r="L105" s="41">
        <f t="shared" ref="L105" si="39">K105+L106</f>
        <v>0</v>
      </c>
      <c r="M105" s="41">
        <f t="shared" ref="M105" si="40">L105+M106</f>
        <v>0</v>
      </c>
      <c r="N105" s="74"/>
      <c r="O105" s="71" t="s">
        <v>948</v>
      </c>
      <c r="P105" s="41">
        <f>P106</f>
        <v>0</v>
      </c>
      <c r="Q105" s="41">
        <f>P105+Q106</f>
        <v>0</v>
      </c>
      <c r="R105" s="41">
        <f>Q105+R106</f>
        <v>0</v>
      </c>
      <c r="S105" s="41">
        <f>R105+S106</f>
        <v>0</v>
      </c>
      <c r="T105" s="41">
        <f>S105+T106</f>
        <v>0</v>
      </c>
      <c r="U105" s="41">
        <f t="shared" ref="U105:AA105" si="41">T105+U106</f>
        <v>0</v>
      </c>
      <c r="V105" s="41">
        <f t="shared" si="41"/>
        <v>0</v>
      </c>
      <c r="W105" s="41">
        <f t="shared" si="41"/>
        <v>0</v>
      </c>
      <c r="X105" s="41">
        <f t="shared" si="41"/>
        <v>0</v>
      </c>
      <c r="Y105" s="41">
        <f t="shared" si="41"/>
        <v>0</v>
      </c>
      <c r="Z105" s="41">
        <f t="shared" si="41"/>
        <v>0</v>
      </c>
      <c r="AA105" s="41">
        <f t="shared" si="41"/>
        <v>0</v>
      </c>
      <c r="AB105" s="74"/>
      <c r="AC105" s="71" t="s">
        <v>948</v>
      </c>
      <c r="AD105" s="41">
        <f>AD106</f>
        <v>0</v>
      </c>
      <c r="AE105" s="41">
        <f>AD105+AE106</f>
        <v>0</v>
      </c>
      <c r="AF105" s="41">
        <f>AE105+AF106</f>
        <v>0</v>
      </c>
      <c r="AG105" s="41">
        <f>AF105+AG106</f>
        <v>0</v>
      </c>
      <c r="AH105" s="41">
        <f>AG105+AH106</f>
        <v>0</v>
      </c>
      <c r="AI105" s="41">
        <f t="shared" ref="AI105:AO105" si="42">AH105+AI106</f>
        <v>0</v>
      </c>
      <c r="AJ105" s="41">
        <f t="shared" si="42"/>
        <v>0</v>
      </c>
      <c r="AK105" s="41">
        <f t="shared" si="42"/>
        <v>0</v>
      </c>
      <c r="AL105" s="41">
        <f t="shared" si="42"/>
        <v>0</v>
      </c>
      <c r="AM105" s="41">
        <f t="shared" si="42"/>
        <v>0</v>
      </c>
      <c r="AN105" s="41">
        <f t="shared" si="42"/>
        <v>0</v>
      </c>
      <c r="AO105" s="41">
        <f t="shared" si="42"/>
        <v>0</v>
      </c>
      <c r="AP105" s="74"/>
    </row>
    <row r="106" spans="1:42" ht="16.5" x14ac:dyDescent="0.3">
      <c r="A106" s="71" t="s">
        <v>975</v>
      </c>
      <c r="B106" s="41"/>
      <c r="C106" s="41"/>
      <c r="D106" s="41"/>
      <c r="E106" s="41"/>
      <c r="F106" s="41"/>
      <c r="G106" s="73"/>
      <c r="H106" s="73"/>
      <c r="I106" s="73"/>
      <c r="J106" s="73"/>
      <c r="K106" s="73"/>
      <c r="L106" s="73"/>
      <c r="M106" s="73"/>
      <c r="N106" s="74"/>
      <c r="O106" s="71" t="s">
        <v>975</v>
      </c>
      <c r="P106" s="41"/>
      <c r="Q106" s="41"/>
      <c r="R106" s="41"/>
      <c r="S106" s="41"/>
      <c r="T106" s="41"/>
      <c r="U106" s="73"/>
      <c r="V106" s="73"/>
      <c r="W106" s="73"/>
      <c r="X106" s="73"/>
      <c r="Y106" s="73"/>
      <c r="Z106" s="73"/>
      <c r="AA106" s="73"/>
      <c r="AB106" s="74"/>
      <c r="AC106" s="71" t="s">
        <v>975</v>
      </c>
      <c r="AD106" s="41"/>
      <c r="AE106" s="41"/>
      <c r="AF106" s="41"/>
      <c r="AG106" s="41"/>
      <c r="AH106" s="41"/>
      <c r="AI106" s="73"/>
      <c r="AJ106" s="73"/>
      <c r="AK106" s="73"/>
      <c r="AL106" s="73"/>
      <c r="AM106" s="73"/>
      <c r="AN106" s="73"/>
      <c r="AO106" s="73"/>
      <c r="AP106" s="74"/>
    </row>
    <row r="107" spans="1:42" ht="16.5" x14ac:dyDescent="0.3">
      <c r="A107" s="71" t="s">
        <v>976</v>
      </c>
      <c r="B107" s="41"/>
      <c r="C107" s="41"/>
      <c r="D107" s="41"/>
      <c r="E107" s="41"/>
      <c r="F107" s="41"/>
      <c r="G107" s="41"/>
      <c r="H107" s="41"/>
      <c r="I107" s="41"/>
      <c r="J107" s="41"/>
      <c r="K107" s="41"/>
      <c r="L107" s="41"/>
      <c r="M107" s="41"/>
      <c r="N107" s="74"/>
      <c r="O107" s="71" t="s">
        <v>976</v>
      </c>
      <c r="P107" s="41"/>
      <c r="Q107" s="41"/>
      <c r="R107" s="41"/>
      <c r="S107" s="41"/>
      <c r="T107" s="41"/>
      <c r="U107" s="41"/>
      <c r="V107" s="41"/>
      <c r="W107" s="41"/>
      <c r="X107" s="41"/>
      <c r="Y107" s="41"/>
      <c r="Z107" s="41"/>
      <c r="AA107" s="41"/>
      <c r="AB107" s="74"/>
      <c r="AP107" s="74"/>
    </row>
    <row r="108" spans="1:42" x14ac:dyDescent="0.25">
      <c r="N108" s="74"/>
      <c r="AB108" s="74"/>
      <c r="AP108" s="74"/>
    </row>
    <row r="109" spans="1:42" x14ac:dyDescent="0.25">
      <c r="N109" s="74"/>
      <c r="AB109" s="74"/>
      <c r="AP109" s="74"/>
    </row>
    <row r="110" spans="1:42" x14ac:dyDescent="0.25">
      <c r="N110" s="74"/>
      <c r="AB110" s="74"/>
      <c r="AP110" s="74"/>
    </row>
    <row r="111" spans="1:42" x14ac:dyDescent="0.25">
      <c r="N111" s="74"/>
      <c r="AB111" s="74"/>
      <c r="AP111" s="74"/>
    </row>
    <row r="112" spans="1:42" x14ac:dyDescent="0.25">
      <c r="N112" s="74"/>
      <c r="AB112" s="74"/>
      <c r="AP112" s="74"/>
    </row>
    <row r="113" spans="1:42" x14ac:dyDescent="0.25">
      <c r="N113" s="74"/>
      <c r="AB113" s="74"/>
      <c r="AP113" s="74"/>
    </row>
    <row r="114" spans="1:42" x14ac:dyDescent="0.25">
      <c r="N114" s="74"/>
      <c r="AB114" s="74"/>
      <c r="AP114" s="74"/>
    </row>
    <row r="115" spans="1:42" x14ac:dyDescent="0.25">
      <c r="N115" s="74"/>
      <c r="AB115" s="74"/>
      <c r="AP115" s="74"/>
    </row>
    <row r="116" spans="1:42" x14ac:dyDescent="0.25">
      <c r="N116" s="74"/>
      <c r="AB116" s="74"/>
      <c r="AP116" s="74"/>
    </row>
    <row r="117" spans="1:42" x14ac:dyDescent="0.25">
      <c r="N117" s="74"/>
      <c r="AB117" s="74"/>
      <c r="AP117" s="74"/>
    </row>
    <row r="118" spans="1:42" x14ac:dyDescent="0.25">
      <c r="N118" s="74"/>
      <c r="AB118" s="74"/>
      <c r="AP118" s="74"/>
    </row>
    <row r="119" spans="1:42" x14ac:dyDescent="0.25">
      <c r="N119" s="74"/>
      <c r="AB119" s="74"/>
      <c r="AP119" s="74"/>
    </row>
    <row r="120" spans="1:42" x14ac:dyDescent="0.25">
      <c r="N120" s="74"/>
      <c r="AB120" s="74"/>
      <c r="AP120" s="74"/>
    </row>
    <row r="121" spans="1:42" x14ac:dyDescent="0.25">
      <c r="N121" s="74"/>
      <c r="AB121" s="74"/>
      <c r="AP121" s="74"/>
    </row>
    <row r="122" spans="1:42" x14ac:dyDescent="0.25">
      <c r="N122" s="74"/>
      <c r="AB122" s="74"/>
      <c r="AP122" s="74"/>
    </row>
    <row r="123" spans="1:42" x14ac:dyDescent="0.25">
      <c r="N123" s="74"/>
      <c r="AB123" s="74"/>
      <c r="AP123" s="74"/>
    </row>
    <row r="124" spans="1:42" x14ac:dyDescent="0.25">
      <c r="N124" s="74"/>
      <c r="AB124" s="74"/>
      <c r="AP124" s="74"/>
    </row>
    <row r="125" spans="1:42" x14ac:dyDescent="0.25">
      <c r="N125" s="74"/>
      <c r="AB125" s="74"/>
      <c r="AP125" s="74"/>
    </row>
    <row r="126" spans="1:42" x14ac:dyDescent="0.25">
      <c r="N126" s="74"/>
      <c r="AB126" s="74"/>
      <c r="AP126" s="74"/>
    </row>
    <row r="127" spans="1:42" ht="18" x14ac:dyDescent="0.25">
      <c r="A127" s="551" t="s">
        <v>954</v>
      </c>
      <c r="B127" s="551"/>
      <c r="C127" s="551"/>
      <c r="D127" s="551"/>
      <c r="E127" s="551"/>
      <c r="F127" s="551"/>
      <c r="G127" s="551"/>
      <c r="H127" s="551"/>
      <c r="I127" s="551"/>
      <c r="J127" s="551"/>
      <c r="K127" s="552" t="s">
        <v>974</v>
      </c>
      <c r="L127" s="552"/>
      <c r="M127" s="552"/>
      <c r="N127" s="74"/>
      <c r="O127" s="551" t="s">
        <v>960</v>
      </c>
      <c r="P127" s="551"/>
      <c r="Q127" s="551"/>
      <c r="R127" s="551"/>
      <c r="S127" s="551"/>
      <c r="T127" s="551"/>
      <c r="U127" s="551"/>
      <c r="V127" s="551"/>
      <c r="W127" s="551"/>
      <c r="X127" s="551"/>
      <c r="Y127" s="552" t="s">
        <v>974</v>
      </c>
      <c r="Z127" s="552"/>
      <c r="AA127" s="552"/>
      <c r="AB127" s="74"/>
      <c r="AC127" s="551" t="s">
        <v>968</v>
      </c>
      <c r="AD127" s="551"/>
      <c r="AE127" s="551"/>
      <c r="AF127" s="551"/>
      <c r="AG127" s="551"/>
      <c r="AH127" s="551"/>
      <c r="AI127" s="551"/>
      <c r="AJ127" s="551"/>
      <c r="AK127" s="551"/>
      <c r="AL127" s="551"/>
      <c r="AM127" s="552" t="s">
        <v>974</v>
      </c>
      <c r="AN127" s="552"/>
      <c r="AO127" s="552"/>
      <c r="AP127" s="74"/>
    </row>
    <row r="128" spans="1:42" ht="16.5" x14ac:dyDescent="0.3">
      <c r="A128" s="40" t="s">
        <v>44</v>
      </c>
      <c r="B128" s="72">
        <v>43101</v>
      </c>
      <c r="C128" s="72">
        <v>43132</v>
      </c>
      <c r="D128" s="72">
        <v>43160</v>
      </c>
      <c r="E128" s="72">
        <v>43191</v>
      </c>
      <c r="F128" s="72">
        <v>43221</v>
      </c>
      <c r="G128" s="72">
        <v>43252</v>
      </c>
      <c r="H128" s="72">
        <v>43282</v>
      </c>
      <c r="I128" s="72">
        <v>43313</v>
      </c>
      <c r="J128" s="72">
        <v>43344</v>
      </c>
      <c r="K128" s="72">
        <v>43374</v>
      </c>
      <c r="L128" s="72">
        <v>43405</v>
      </c>
      <c r="M128" s="72">
        <v>43435</v>
      </c>
      <c r="N128" s="74"/>
      <c r="O128" s="40" t="s">
        <v>30</v>
      </c>
      <c r="P128" s="72">
        <v>43101</v>
      </c>
      <c r="Q128" s="72">
        <v>43132</v>
      </c>
      <c r="R128" s="72">
        <v>43160</v>
      </c>
      <c r="S128" s="72">
        <v>43191</v>
      </c>
      <c r="T128" s="72">
        <v>43221</v>
      </c>
      <c r="U128" s="72">
        <v>43252</v>
      </c>
      <c r="V128" s="72">
        <v>43282</v>
      </c>
      <c r="W128" s="72">
        <v>43313</v>
      </c>
      <c r="X128" s="72">
        <v>43344</v>
      </c>
      <c r="Y128" s="72">
        <v>43374</v>
      </c>
      <c r="Z128" s="72">
        <v>43405</v>
      </c>
      <c r="AA128" s="72">
        <v>43435</v>
      </c>
      <c r="AB128" s="74"/>
      <c r="AC128" s="40" t="s">
        <v>38</v>
      </c>
      <c r="AD128" s="72">
        <v>43101</v>
      </c>
      <c r="AE128" s="72">
        <v>43132</v>
      </c>
      <c r="AF128" s="72">
        <v>43160</v>
      </c>
      <c r="AG128" s="72">
        <v>43191</v>
      </c>
      <c r="AH128" s="72">
        <v>43221</v>
      </c>
      <c r="AI128" s="72">
        <v>43252</v>
      </c>
      <c r="AJ128" s="72">
        <v>43282</v>
      </c>
      <c r="AK128" s="72">
        <v>43313</v>
      </c>
      <c r="AL128" s="72">
        <v>43344</v>
      </c>
      <c r="AM128" s="72">
        <v>43374</v>
      </c>
      <c r="AN128" s="72">
        <v>43405</v>
      </c>
      <c r="AO128" s="72">
        <v>43435</v>
      </c>
      <c r="AP128" s="74"/>
    </row>
    <row r="129" spans="1:42" ht="16.5" x14ac:dyDescent="0.3">
      <c r="A129" s="70" t="s">
        <v>947</v>
      </c>
      <c r="B129" s="41">
        <f>SUMIF('Projetos ciclo 2018-2022'!$C$8:$C$102,'Gráfico Tendência 2018-2022'!$A$128,'Projetos ciclo 2018-2022'!$T$8:$T$102)</f>
        <v>0</v>
      </c>
      <c r="C129" s="41">
        <f>SUMIF('Projetos ciclo 2018-2022'!$C$8:$C$102,'Gráfico Tendência 2018-2022'!$A$128,'Projetos ciclo 2018-2022'!$T$8:$T$102)</f>
        <v>0</v>
      </c>
      <c r="D129" s="41">
        <f>SUMIF('Projetos ciclo 2018-2022'!$C$8:$C$102,'Gráfico Tendência 2018-2022'!$A$128,'Projetos ciclo 2018-2022'!$T$8:$T$102)</f>
        <v>0</v>
      </c>
      <c r="E129" s="41">
        <f>SUMIF('Projetos ciclo 2018-2022'!$C$8:$C$102,'Gráfico Tendência 2018-2022'!$A$128,'Projetos ciclo 2018-2022'!$T$8:$T$102)</f>
        <v>0</v>
      </c>
      <c r="F129" s="41">
        <f>SUMIF('Projetos ciclo 2018-2022'!$C$8:$C$102,'Gráfico Tendência 2018-2022'!$A$128,'Projetos ciclo 2018-2022'!$T$8:$T$102)</f>
        <v>0</v>
      </c>
      <c r="G129" s="41">
        <f>SUMIF('Projetos ciclo 2018-2022'!$C$8:$C$102,'Gráfico Tendência 2018-2022'!$A$128,'Projetos ciclo 2018-2022'!$T$8:$T$102)</f>
        <v>0</v>
      </c>
      <c r="H129" s="41">
        <f>SUMIF('Projetos ciclo 2018-2022'!$C$8:$C$102,'Gráfico Tendência 2018-2022'!$A$128,'Projetos ciclo 2018-2022'!$T$8:$T$102)</f>
        <v>0</v>
      </c>
      <c r="I129" s="41">
        <f>SUMIF('Projetos ciclo 2018-2022'!$C$8:$C$102,'Gráfico Tendência 2018-2022'!$A$128,'Projetos ciclo 2018-2022'!$T$8:$T$102)</f>
        <v>0</v>
      </c>
      <c r="J129" s="41">
        <f>SUMIF('Projetos ciclo 2018-2022'!$C$8:$C$102,'Gráfico Tendência 2018-2022'!$A$128,'Projetos ciclo 2018-2022'!$T$8:$T$102)</f>
        <v>0</v>
      </c>
      <c r="K129" s="41">
        <f>SUMIF('Projetos ciclo 2018-2022'!$C$8:$C$102,'Gráfico Tendência 2018-2022'!$A$128,'Projetos ciclo 2018-2022'!$T$8:$T$102)</f>
        <v>0</v>
      </c>
      <c r="L129" s="41">
        <f>SUMIF('Projetos ciclo 2018-2022'!$C$8:$C$102,'Gráfico Tendência 2018-2022'!$A$128,'Projetos ciclo 2018-2022'!$T$8:$T$102)</f>
        <v>0</v>
      </c>
      <c r="M129" s="41">
        <f>SUMIF('Projetos ciclo 2018-2022'!$C$8:$C$102,'Gráfico Tendência 2018-2022'!$A$128,'Projetos ciclo 2018-2022'!$T$8:$T$102)</f>
        <v>0</v>
      </c>
      <c r="N129" s="74"/>
      <c r="O129" s="70" t="s">
        <v>947</v>
      </c>
      <c r="P129" s="41">
        <f>SUMIF('Projetos ciclo 2018-2022'!$C$8:$C$102,'Gráfico Tendência 2018-2022'!$O$128,'Projetos ciclo 2018-2022'!$T$8:$T$102)</f>
        <v>10.000000000000002</v>
      </c>
      <c r="Q129" s="41">
        <f>SUMIF('Projetos ciclo 2018-2022'!$C$8:$C$102,'Gráfico Tendência 2018-2022'!$O$128,'Projetos ciclo 2018-2022'!$T$8:$T$102)</f>
        <v>10.000000000000002</v>
      </c>
      <c r="R129" s="41">
        <f>SUMIF('Projetos ciclo 2018-2022'!$C$8:$C$102,'Gráfico Tendência 2018-2022'!$O$128,'Projetos ciclo 2018-2022'!$T$8:$T$102)</f>
        <v>10.000000000000002</v>
      </c>
      <c r="S129" s="41">
        <f>SUMIF('Projetos ciclo 2018-2022'!$C$8:$C$102,'Gráfico Tendência 2018-2022'!$O$128,'Projetos ciclo 2018-2022'!$T$8:$T$102)</f>
        <v>10.000000000000002</v>
      </c>
      <c r="T129" s="41">
        <f>SUMIF('Projetos ciclo 2018-2022'!$C$8:$C$102,'Gráfico Tendência 2018-2022'!$O$128,'Projetos ciclo 2018-2022'!$T$8:$T$102)</f>
        <v>10.000000000000002</v>
      </c>
      <c r="U129" s="41">
        <f>SUMIF('Projetos ciclo 2018-2022'!$C$8:$C$102,'Gráfico Tendência 2018-2022'!$O$128,'Projetos ciclo 2018-2022'!$T$8:$T$102)</f>
        <v>10.000000000000002</v>
      </c>
      <c r="V129" s="41">
        <f>SUMIF('Projetos ciclo 2018-2022'!$C$8:$C$102,'Gráfico Tendência 2018-2022'!$O$128,'Projetos ciclo 2018-2022'!$T$8:$T$102)</f>
        <v>10.000000000000002</v>
      </c>
      <c r="W129" s="41">
        <f>SUMIF('Projetos ciclo 2018-2022'!$C$8:$C$102,'Gráfico Tendência 2018-2022'!$O$128,'Projetos ciclo 2018-2022'!$T$8:$T$102)</f>
        <v>10.000000000000002</v>
      </c>
      <c r="X129" s="41">
        <f>SUMIF('Projetos ciclo 2018-2022'!$C$8:$C$102,'Gráfico Tendência 2018-2022'!$O$128,'Projetos ciclo 2018-2022'!$T$8:$T$102)</f>
        <v>10.000000000000002</v>
      </c>
      <c r="Y129" s="41">
        <f>SUMIF('Projetos ciclo 2018-2022'!$C$8:$C$102,'Gráfico Tendência 2018-2022'!$O$128,'Projetos ciclo 2018-2022'!$T$8:$T$102)</f>
        <v>10.000000000000002</v>
      </c>
      <c r="Z129" s="41">
        <f>SUMIF('Projetos ciclo 2018-2022'!$C$8:$C$102,'Gráfico Tendência 2018-2022'!$O$128,'Projetos ciclo 2018-2022'!$T$8:$T$102)</f>
        <v>10.000000000000002</v>
      </c>
      <c r="AA129" s="41">
        <f>SUMIF('Projetos ciclo 2018-2022'!$C$8:$C$102,'Gráfico Tendência 2018-2022'!$O$128,'Projetos ciclo 2018-2022'!$T$8:$T$102)</f>
        <v>10.000000000000002</v>
      </c>
      <c r="AB129" s="74"/>
      <c r="AC129" s="70" t="s">
        <v>947</v>
      </c>
      <c r="AD129" s="41">
        <f>SUMIF('Projetos ciclo 2018-2022'!$C$8:$C$102,'Gráfico Tendência 2018-2022'!$AC$128,'Projetos ciclo 2018-2022'!$T$8:$T$102)</f>
        <v>97.797317504882813</v>
      </c>
      <c r="AE129" s="41">
        <f>SUMIF('Projetos ciclo 2018-2022'!$C$8:$C$102,'Gráfico Tendência 2018-2022'!$AC$128,'Projetos ciclo 2018-2022'!$T$8:$T$102)</f>
        <v>97.797317504882813</v>
      </c>
      <c r="AF129" s="41">
        <f>SUMIF('Projetos ciclo 2018-2022'!$C$8:$C$102,'Gráfico Tendência 2018-2022'!$AC$128,'Projetos ciclo 2018-2022'!$T$8:$T$102)</f>
        <v>97.797317504882813</v>
      </c>
      <c r="AG129" s="41">
        <f>SUMIF('Projetos ciclo 2018-2022'!$C$8:$C$102,'Gráfico Tendência 2018-2022'!$AC$128,'Projetos ciclo 2018-2022'!$T$8:$T$102)</f>
        <v>97.797317504882813</v>
      </c>
      <c r="AH129" s="41">
        <f>SUMIF('Projetos ciclo 2018-2022'!$C$8:$C$102,'Gráfico Tendência 2018-2022'!$AC$128,'Projetos ciclo 2018-2022'!$T$8:$T$102)</f>
        <v>97.797317504882813</v>
      </c>
      <c r="AI129" s="41">
        <f>SUMIF('Projetos ciclo 2018-2022'!$C$8:$C$102,'Gráfico Tendência 2018-2022'!$AC$128,'Projetos ciclo 2018-2022'!$T$8:$T$102)</f>
        <v>97.797317504882813</v>
      </c>
      <c r="AJ129" s="41">
        <f>SUMIF('Projetos ciclo 2018-2022'!$C$8:$C$102,'Gráfico Tendência 2018-2022'!$AC$128,'Projetos ciclo 2018-2022'!$T$8:$T$102)</f>
        <v>97.797317504882813</v>
      </c>
      <c r="AK129" s="41">
        <f>SUMIF('Projetos ciclo 2018-2022'!$C$8:$C$102,'Gráfico Tendência 2018-2022'!$AC$128,'Projetos ciclo 2018-2022'!$T$8:$T$102)</f>
        <v>97.797317504882813</v>
      </c>
      <c r="AL129" s="41">
        <f>SUMIF('Projetos ciclo 2018-2022'!$C$8:$C$102,'Gráfico Tendência 2018-2022'!$AC$128,'Projetos ciclo 2018-2022'!$T$8:$T$102)</f>
        <v>97.797317504882813</v>
      </c>
      <c r="AM129" s="41">
        <f>SUMIF('Projetos ciclo 2018-2022'!$C$8:$C$102,'Gráfico Tendência 2018-2022'!$AC$128,'Projetos ciclo 2018-2022'!$T$8:$T$102)</f>
        <v>97.797317504882813</v>
      </c>
      <c r="AN129" s="41">
        <f>SUMIF('Projetos ciclo 2018-2022'!$C$8:$C$102,'Gráfico Tendência 2018-2022'!$AC$128,'Projetos ciclo 2018-2022'!$T$8:$T$102)</f>
        <v>97.797317504882813</v>
      </c>
      <c r="AO129" s="41">
        <f>SUMIF('Projetos ciclo 2018-2022'!$C$8:$C$102,'Gráfico Tendência 2018-2022'!$AC$128,'Projetos ciclo 2018-2022'!$T$8:$T$102)</f>
        <v>97.797317504882813</v>
      </c>
      <c r="AP129" s="74"/>
    </row>
    <row r="130" spans="1:42" ht="16.5" x14ac:dyDescent="0.3">
      <c r="A130" s="71" t="s">
        <v>948</v>
      </c>
      <c r="B130" s="41">
        <f>B131</f>
        <v>0</v>
      </c>
      <c r="C130" s="41">
        <f>B130+C131</f>
        <v>0</v>
      </c>
      <c r="D130" s="41">
        <f>C130+D131</f>
        <v>0</v>
      </c>
      <c r="E130" s="41">
        <f>D130+E131</f>
        <v>0</v>
      </c>
      <c r="F130" s="41">
        <f>E130+F131</f>
        <v>0</v>
      </c>
      <c r="G130" s="41">
        <f t="shared" ref="G130" si="43">F130+G131</f>
        <v>0</v>
      </c>
      <c r="H130" s="41">
        <f t="shared" ref="H130" si="44">G130+H131</f>
        <v>0</v>
      </c>
      <c r="I130" s="41">
        <f t="shared" ref="I130" si="45">H130+I131</f>
        <v>0</v>
      </c>
      <c r="J130" s="41">
        <f t="shared" ref="J130" si="46">I130+J131</f>
        <v>0</v>
      </c>
      <c r="K130" s="41">
        <f t="shared" ref="K130" si="47">J130+K131</f>
        <v>0</v>
      </c>
      <c r="L130" s="41">
        <f t="shared" ref="L130" si="48">K130+L131</f>
        <v>0</v>
      </c>
      <c r="M130" s="41">
        <f t="shared" ref="M130" si="49">L130+M131</f>
        <v>0</v>
      </c>
      <c r="N130" s="74"/>
      <c r="O130" s="71" t="s">
        <v>948</v>
      </c>
      <c r="P130" s="41">
        <f>P131</f>
        <v>0</v>
      </c>
      <c r="Q130" s="41">
        <f>P130+Q131</f>
        <v>0</v>
      </c>
      <c r="R130" s="41">
        <f>Q130+R131</f>
        <v>0</v>
      </c>
      <c r="S130" s="41">
        <f>R130+S131</f>
        <v>0</v>
      </c>
      <c r="T130" s="41">
        <f>S130+T131</f>
        <v>0</v>
      </c>
      <c r="U130" s="41">
        <f t="shared" ref="U130:AA130" si="50">T130+U131</f>
        <v>0</v>
      </c>
      <c r="V130" s="41">
        <f t="shared" si="50"/>
        <v>0</v>
      </c>
      <c r="W130" s="41">
        <f t="shared" si="50"/>
        <v>0</v>
      </c>
      <c r="X130" s="41">
        <f t="shared" si="50"/>
        <v>0</v>
      </c>
      <c r="Y130" s="41">
        <f t="shared" si="50"/>
        <v>0</v>
      </c>
      <c r="Z130" s="41">
        <f t="shared" si="50"/>
        <v>0</v>
      </c>
      <c r="AA130" s="41">
        <f t="shared" si="50"/>
        <v>0</v>
      </c>
      <c r="AB130" s="74"/>
      <c r="AC130" s="71" t="s">
        <v>948</v>
      </c>
      <c r="AD130" s="41">
        <f>AD131</f>
        <v>0</v>
      </c>
      <c r="AE130" s="41">
        <f>AD130+AE131</f>
        <v>0</v>
      </c>
      <c r="AF130" s="41">
        <f>AE130+AF131</f>
        <v>0</v>
      </c>
      <c r="AG130" s="41">
        <f>AF130+AG131</f>
        <v>0</v>
      </c>
      <c r="AH130" s="41">
        <f>AG130+AH131</f>
        <v>0</v>
      </c>
      <c r="AI130" s="41">
        <f t="shared" ref="AI130:AO130" si="51">AH130+AI131</f>
        <v>0</v>
      </c>
      <c r="AJ130" s="41">
        <f t="shared" si="51"/>
        <v>0</v>
      </c>
      <c r="AK130" s="41">
        <f t="shared" si="51"/>
        <v>0</v>
      </c>
      <c r="AL130" s="41">
        <f t="shared" si="51"/>
        <v>0</v>
      </c>
      <c r="AM130" s="41">
        <f t="shared" si="51"/>
        <v>0</v>
      </c>
      <c r="AN130" s="41">
        <f t="shared" si="51"/>
        <v>0</v>
      </c>
      <c r="AO130" s="41">
        <f t="shared" si="51"/>
        <v>0</v>
      </c>
      <c r="AP130" s="74"/>
    </row>
    <row r="131" spans="1:42" ht="16.5" x14ac:dyDescent="0.3">
      <c r="A131" s="71" t="s">
        <v>975</v>
      </c>
      <c r="B131" s="41"/>
      <c r="C131" s="41"/>
      <c r="D131" s="41"/>
      <c r="E131" s="41"/>
      <c r="F131" s="41"/>
      <c r="G131" s="73"/>
      <c r="H131" s="73"/>
      <c r="I131" s="73"/>
      <c r="J131" s="73"/>
      <c r="K131" s="73"/>
      <c r="L131" s="73"/>
      <c r="M131" s="73"/>
      <c r="N131" s="74"/>
      <c r="O131" s="71" t="s">
        <v>975</v>
      </c>
      <c r="P131" s="41"/>
      <c r="Q131" s="41"/>
      <c r="R131" s="41"/>
      <c r="S131" s="41"/>
      <c r="T131" s="41"/>
      <c r="U131" s="73"/>
      <c r="V131" s="73"/>
      <c r="W131" s="73"/>
      <c r="X131" s="73"/>
      <c r="Y131" s="73"/>
      <c r="Z131" s="73"/>
      <c r="AA131" s="73"/>
      <c r="AB131" s="74"/>
      <c r="AC131" s="71" t="s">
        <v>975</v>
      </c>
      <c r="AD131" s="41"/>
      <c r="AE131" s="41"/>
      <c r="AF131" s="41"/>
      <c r="AG131" s="41"/>
      <c r="AH131" s="41"/>
      <c r="AI131" s="73"/>
      <c r="AJ131" s="73"/>
      <c r="AK131" s="73"/>
      <c r="AL131" s="73"/>
      <c r="AM131" s="73"/>
      <c r="AN131" s="73"/>
      <c r="AO131" s="73"/>
      <c r="AP131" s="74"/>
    </row>
    <row r="132" spans="1:42" ht="16.5" x14ac:dyDescent="0.3">
      <c r="A132" s="71" t="s">
        <v>976</v>
      </c>
      <c r="B132" s="41"/>
      <c r="C132" s="41"/>
      <c r="D132" s="41"/>
      <c r="E132" s="41"/>
      <c r="F132" s="41"/>
      <c r="G132" s="41"/>
      <c r="H132" s="41"/>
      <c r="I132" s="41"/>
      <c r="J132" s="41"/>
      <c r="K132" s="41"/>
      <c r="L132" s="41"/>
      <c r="M132" s="41"/>
      <c r="N132" s="74"/>
      <c r="O132" s="71" t="s">
        <v>976</v>
      </c>
      <c r="P132" s="41"/>
      <c r="Q132" s="41"/>
      <c r="R132" s="41"/>
      <c r="S132" s="41"/>
      <c r="T132" s="41"/>
      <c r="U132" s="41"/>
      <c r="V132" s="41"/>
      <c r="W132" s="41"/>
      <c r="X132" s="41"/>
      <c r="Y132" s="41"/>
      <c r="Z132" s="41"/>
      <c r="AA132" s="41"/>
      <c r="AB132" s="74"/>
      <c r="AP132" s="74"/>
    </row>
    <row r="133" spans="1:42" x14ac:dyDescent="0.25">
      <c r="N133" s="74"/>
      <c r="AB133" s="74"/>
      <c r="AP133" s="74"/>
    </row>
    <row r="134" spans="1:42" x14ac:dyDescent="0.25">
      <c r="N134" s="74"/>
      <c r="AB134" s="74"/>
      <c r="AP134" s="74"/>
    </row>
    <row r="135" spans="1:42" x14ac:dyDescent="0.25">
      <c r="N135" s="74"/>
      <c r="AB135" s="74"/>
      <c r="AP135" s="74"/>
    </row>
    <row r="136" spans="1:42" x14ac:dyDescent="0.25">
      <c r="N136" s="74"/>
      <c r="AB136" s="74"/>
      <c r="AP136" s="74"/>
    </row>
    <row r="137" spans="1:42" x14ac:dyDescent="0.25">
      <c r="N137" s="74"/>
      <c r="AB137" s="74"/>
      <c r="AP137" s="74"/>
    </row>
    <row r="138" spans="1:42" x14ac:dyDescent="0.25">
      <c r="N138" s="74"/>
      <c r="AB138" s="74"/>
      <c r="AP138" s="74"/>
    </row>
    <row r="139" spans="1:42" x14ac:dyDescent="0.25">
      <c r="N139" s="74"/>
      <c r="AB139" s="74"/>
      <c r="AP139" s="74"/>
    </row>
    <row r="140" spans="1:42" x14ac:dyDescent="0.25">
      <c r="N140" s="74"/>
      <c r="AB140" s="74"/>
      <c r="AP140" s="74"/>
    </row>
    <row r="141" spans="1:42" x14ac:dyDescent="0.25">
      <c r="N141" s="74"/>
      <c r="AB141" s="74"/>
      <c r="AP141" s="74"/>
    </row>
    <row r="142" spans="1:42" x14ac:dyDescent="0.25">
      <c r="N142" s="74"/>
      <c r="AB142" s="74"/>
      <c r="AP142" s="74"/>
    </row>
    <row r="143" spans="1:42" x14ac:dyDescent="0.25">
      <c r="N143" s="74"/>
      <c r="AB143" s="74"/>
      <c r="AP143" s="74"/>
    </row>
    <row r="144" spans="1:42" x14ac:dyDescent="0.25">
      <c r="N144" s="74"/>
      <c r="AB144" s="74"/>
      <c r="AP144" s="74"/>
    </row>
    <row r="145" spans="1:42" x14ac:dyDescent="0.25">
      <c r="N145" s="74"/>
      <c r="AB145" s="74"/>
      <c r="AP145" s="74"/>
    </row>
    <row r="146" spans="1:42" x14ac:dyDescent="0.25">
      <c r="N146" s="74"/>
      <c r="AB146" s="74"/>
      <c r="AP146" s="74"/>
    </row>
    <row r="147" spans="1:42" x14ac:dyDescent="0.25">
      <c r="N147" s="74"/>
      <c r="AB147" s="74"/>
      <c r="AP147" s="74"/>
    </row>
    <row r="148" spans="1:42" x14ac:dyDescent="0.25">
      <c r="N148" s="74"/>
      <c r="AB148" s="74"/>
      <c r="AP148" s="74"/>
    </row>
    <row r="149" spans="1:42" x14ac:dyDescent="0.25">
      <c r="N149" s="74"/>
      <c r="AB149" s="74"/>
      <c r="AP149" s="74"/>
    </row>
    <row r="150" spans="1:42" x14ac:dyDescent="0.25">
      <c r="N150" s="74"/>
      <c r="AB150" s="74"/>
      <c r="AP150" s="74"/>
    </row>
    <row r="151" spans="1:42" x14ac:dyDescent="0.25">
      <c r="N151" s="74"/>
      <c r="AB151" s="74"/>
      <c r="AP151" s="74"/>
    </row>
    <row r="152" spans="1:42" ht="18" x14ac:dyDescent="0.25">
      <c r="A152" s="551" t="s">
        <v>955</v>
      </c>
      <c r="B152" s="551"/>
      <c r="C152" s="551"/>
      <c r="D152" s="551"/>
      <c r="E152" s="551"/>
      <c r="F152" s="551"/>
      <c r="G152" s="551"/>
      <c r="H152" s="551"/>
      <c r="I152" s="551"/>
      <c r="J152" s="551"/>
      <c r="K152" s="552" t="s">
        <v>974</v>
      </c>
      <c r="L152" s="552"/>
      <c r="M152" s="552"/>
      <c r="N152" s="74"/>
      <c r="O152" s="551" t="s">
        <v>961</v>
      </c>
      <c r="P152" s="551"/>
      <c r="Q152" s="551"/>
      <c r="R152" s="551"/>
      <c r="S152" s="551"/>
      <c r="T152" s="551"/>
      <c r="U152" s="551"/>
      <c r="V152" s="551"/>
      <c r="W152" s="551"/>
      <c r="X152" s="551"/>
      <c r="Y152" s="552" t="s">
        <v>974</v>
      </c>
      <c r="Z152" s="552"/>
      <c r="AA152" s="552"/>
      <c r="AB152" s="74"/>
      <c r="AC152" s="551" t="s">
        <v>969</v>
      </c>
      <c r="AD152" s="551"/>
      <c r="AE152" s="551"/>
      <c r="AF152" s="551"/>
      <c r="AG152" s="551"/>
      <c r="AH152" s="551"/>
      <c r="AI152" s="551"/>
      <c r="AJ152" s="551"/>
      <c r="AK152" s="551"/>
      <c r="AL152" s="551"/>
      <c r="AM152" s="552" t="s">
        <v>974</v>
      </c>
      <c r="AN152" s="552"/>
      <c r="AO152" s="552"/>
      <c r="AP152" s="74"/>
    </row>
    <row r="153" spans="1:42" ht="16.5" x14ac:dyDescent="0.3">
      <c r="A153" s="40" t="s">
        <v>43</v>
      </c>
      <c r="B153" s="72">
        <v>43101</v>
      </c>
      <c r="C153" s="72">
        <v>43132</v>
      </c>
      <c r="D153" s="72">
        <v>43160</v>
      </c>
      <c r="E153" s="72">
        <v>43191</v>
      </c>
      <c r="F153" s="72">
        <v>43221</v>
      </c>
      <c r="G153" s="72">
        <v>43252</v>
      </c>
      <c r="H153" s="72">
        <v>43282</v>
      </c>
      <c r="I153" s="72">
        <v>43313</v>
      </c>
      <c r="J153" s="72">
        <v>43344</v>
      </c>
      <c r="K153" s="72">
        <v>43374</v>
      </c>
      <c r="L153" s="72">
        <v>43405</v>
      </c>
      <c r="M153" s="72">
        <v>43435</v>
      </c>
      <c r="N153" s="74"/>
      <c r="O153" s="40" t="s">
        <v>32</v>
      </c>
      <c r="P153" s="72">
        <v>43101</v>
      </c>
      <c r="Q153" s="72">
        <v>43132</v>
      </c>
      <c r="R153" s="72">
        <v>43160</v>
      </c>
      <c r="S153" s="72">
        <v>43191</v>
      </c>
      <c r="T153" s="72">
        <v>43221</v>
      </c>
      <c r="U153" s="72">
        <v>43252</v>
      </c>
      <c r="V153" s="72">
        <v>43282</v>
      </c>
      <c r="W153" s="72">
        <v>43313</v>
      </c>
      <c r="X153" s="72">
        <v>43344</v>
      </c>
      <c r="Y153" s="72">
        <v>43374</v>
      </c>
      <c r="Z153" s="72">
        <v>43405</v>
      </c>
      <c r="AA153" s="72">
        <v>43435</v>
      </c>
      <c r="AB153" s="74"/>
      <c r="AC153" s="40" t="s">
        <v>37</v>
      </c>
      <c r="AD153" s="72">
        <v>43101</v>
      </c>
      <c r="AE153" s="72">
        <v>43132</v>
      </c>
      <c r="AF153" s="72">
        <v>43160</v>
      </c>
      <c r="AG153" s="72">
        <v>43191</v>
      </c>
      <c r="AH153" s="72">
        <v>43221</v>
      </c>
      <c r="AI153" s="72">
        <v>43252</v>
      </c>
      <c r="AJ153" s="72">
        <v>43282</v>
      </c>
      <c r="AK153" s="72">
        <v>43313</v>
      </c>
      <c r="AL153" s="72">
        <v>43344</v>
      </c>
      <c r="AM153" s="72">
        <v>43374</v>
      </c>
      <c r="AN153" s="72">
        <v>43405</v>
      </c>
      <c r="AO153" s="72">
        <v>43435</v>
      </c>
      <c r="AP153" s="74"/>
    </row>
    <row r="154" spans="1:42" ht="16.5" x14ac:dyDescent="0.3">
      <c r="A154" s="70" t="s">
        <v>947</v>
      </c>
      <c r="B154" s="41">
        <f>SUMIF('Projetos ciclo 2018-2022'!$C$8:$C$102,'Gráfico Tendência 2018-2022'!$A$153,'Projetos ciclo 2018-2022'!$T$8:$T$102)</f>
        <v>0</v>
      </c>
      <c r="C154" s="41">
        <f>SUMIF('Projetos ciclo 2018-2022'!$C$8:$C$102,'Gráfico Tendência 2018-2022'!$A$153,'Projetos ciclo 2018-2022'!$T$8:$T$102)</f>
        <v>0</v>
      </c>
      <c r="D154" s="41">
        <f>SUMIF('Projetos ciclo 2018-2022'!$C$8:$C$102,'Gráfico Tendência 2018-2022'!$A$153,'Projetos ciclo 2018-2022'!$T$8:$T$102)</f>
        <v>0</v>
      </c>
      <c r="E154" s="41">
        <f>SUMIF('Projetos ciclo 2018-2022'!$C$8:$C$102,'Gráfico Tendência 2018-2022'!$A$153,'Projetos ciclo 2018-2022'!$T$8:$T$102)</f>
        <v>0</v>
      </c>
      <c r="F154" s="41">
        <f>SUMIF('Projetos ciclo 2018-2022'!$C$8:$C$102,'Gráfico Tendência 2018-2022'!$A$153,'Projetos ciclo 2018-2022'!$T$8:$T$102)</f>
        <v>0</v>
      </c>
      <c r="G154" s="41">
        <f>SUMIF('Projetos ciclo 2018-2022'!$C$8:$C$102,'Gráfico Tendência 2018-2022'!$A$153,'Projetos ciclo 2018-2022'!$T$8:$T$102)</f>
        <v>0</v>
      </c>
      <c r="H154" s="41">
        <f>SUMIF('Projetos ciclo 2018-2022'!$C$8:$C$102,'Gráfico Tendência 2018-2022'!$A$153,'Projetos ciclo 2018-2022'!$T$8:$T$102)</f>
        <v>0</v>
      </c>
      <c r="I154" s="41">
        <f>SUMIF('Projetos ciclo 2018-2022'!$C$8:$C$102,'Gráfico Tendência 2018-2022'!$A$153,'Projetos ciclo 2018-2022'!$T$8:$T$102)</f>
        <v>0</v>
      </c>
      <c r="J154" s="41">
        <f>SUMIF('Projetos ciclo 2018-2022'!$C$8:$C$102,'Gráfico Tendência 2018-2022'!$A$153,'Projetos ciclo 2018-2022'!$T$8:$T$102)</f>
        <v>0</v>
      </c>
      <c r="K154" s="41">
        <f>SUMIF('Projetos ciclo 2018-2022'!$C$8:$C$102,'Gráfico Tendência 2018-2022'!$A$153,'Projetos ciclo 2018-2022'!$T$8:$T$102)</f>
        <v>0</v>
      </c>
      <c r="L154" s="41">
        <f>SUMIF('Projetos ciclo 2018-2022'!$C$8:$C$102,'Gráfico Tendência 2018-2022'!$A$153,'Projetos ciclo 2018-2022'!$T$8:$T$102)</f>
        <v>0</v>
      </c>
      <c r="M154" s="41">
        <f>SUMIF('Projetos ciclo 2018-2022'!$C$8:$C$102,'Gráfico Tendência 2018-2022'!$A$153,'Projetos ciclo 2018-2022'!$T$8:$T$102)</f>
        <v>0</v>
      </c>
      <c r="N154" s="74"/>
      <c r="O154" s="70" t="s">
        <v>947</v>
      </c>
      <c r="P154" s="41">
        <f>SUMIF('Projetos ciclo 2018-2022'!$C$8:$C$102,'Gráfico Tendência 2018-2022'!$O$153,'Projetos ciclo 2018-2022'!$T$8:$T$102)</f>
        <v>1613.0843323699953</v>
      </c>
      <c r="Q154" s="41">
        <f>SUMIF('Projetos ciclo 2018-2022'!$C$8:$C$102,'Gráfico Tendência 2018-2022'!$O$153,'Projetos ciclo 2018-2022'!$T$8:$T$102)</f>
        <v>1613.0843323699953</v>
      </c>
      <c r="R154" s="41">
        <f>SUMIF('Projetos ciclo 2018-2022'!$C$8:$C$102,'Gráfico Tendência 2018-2022'!$O$153,'Projetos ciclo 2018-2022'!$T$8:$T$102)</f>
        <v>1613.0843323699953</v>
      </c>
      <c r="S154" s="41">
        <f>SUMIF('Projetos ciclo 2018-2022'!$C$8:$C$102,'Gráfico Tendência 2018-2022'!$O$153,'Projetos ciclo 2018-2022'!$T$8:$T$102)</f>
        <v>1613.0843323699953</v>
      </c>
      <c r="T154" s="41">
        <f>SUMIF('Projetos ciclo 2018-2022'!$C$8:$C$102,'Gráfico Tendência 2018-2022'!$O$153,'Projetos ciclo 2018-2022'!$T$8:$T$102)</f>
        <v>1613.0843323699953</v>
      </c>
      <c r="U154" s="41">
        <f>SUMIF('Projetos ciclo 2018-2022'!$C$8:$C$102,'Gráfico Tendência 2018-2022'!$O$153,'Projetos ciclo 2018-2022'!$T$8:$T$102)</f>
        <v>1613.0843323699953</v>
      </c>
      <c r="V154" s="41">
        <f>SUMIF('Projetos ciclo 2018-2022'!$C$8:$C$102,'Gráfico Tendência 2018-2022'!$O$153,'Projetos ciclo 2018-2022'!$T$8:$T$102)</f>
        <v>1613.0843323699953</v>
      </c>
      <c r="W154" s="41">
        <f>SUMIF('Projetos ciclo 2018-2022'!$C$8:$C$102,'Gráfico Tendência 2018-2022'!$O$153,'Projetos ciclo 2018-2022'!$T$8:$T$102)</f>
        <v>1613.0843323699953</v>
      </c>
      <c r="X154" s="41">
        <f>SUMIF('Projetos ciclo 2018-2022'!$C$8:$C$102,'Gráfico Tendência 2018-2022'!$O$153,'Projetos ciclo 2018-2022'!$T$8:$T$102)</f>
        <v>1613.0843323699953</v>
      </c>
      <c r="Y154" s="41">
        <f>SUMIF('Projetos ciclo 2018-2022'!$C$8:$C$102,'Gráfico Tendência 2018-2022'!$O$153,'Projetos ciclo 2018-2022'!$T$8:$T$102)</f>
        <v>1613.0843323699953</v>
      </c>
      <c r="Z154" s="41">
        <f>SUMIF('Projetos ciclo 2018-2022'!$C$8:$C$102,'Gráfico Tendência 2018-2022'!$O$153,'Projetos ciclo 2018-2022'!$T$8:$T$102)</f>
        <v>1613.0843323699953</v>
      </c>
      <c r="AA154" s="41">
        <f>SUMIF('Projetos ciclo 2018-2022'!$C$8:$C$102,'Gráfico Tendência 2018-2022'!$O$153,'Projetos ciclo 2018-2022'!$T$8:$T$102)</f>
        <v>1613.0843323699953</v>
      </c>
      <c r="AB154" s="74"/>
      <c r="AC154" s="70" t="s">
        <v>947</v>
      </c>
      <c r="AD154" s="41">
        <f>SUMIF('Projetos ciclo 2018-2022'!$C$8:$C$102,'Gráfico Tendência 2018-2022'!$AC$153,'Projetos ciclo 2018-2022'!$T$8:$T$102)</f>
        <v>415</v>
      </c>
      <c r="AE154" s="41">
        <f>SUMIF('Projetos ciclo 2018-2022'!$C$8:$C$102,'Gráfico Tendência 2018-2022'!$AC$153,'Projetos ciclo 2018-2022'!$T$8:$T$102)</f>
        <v>415</v>
      </c>
      <c r="AF154" s="41">
        <f>SUMIF('Projetos ciclo 2018-2022'!$C$8:$C$102,'Gráfico Tendência 2018-2022'!$AC$153,'Projetos ciclo 2018-2022'!$T$8:$T$102)</f>
        <v>415</v>
      </c>
      <c r="AG154" s="41">
        <f>SUMIF('Projetos ciclo 2018-2022'!$C$8:$C$102,'Gráfico Tendência 2018-2022'!$AC$153,'Projetos ciclo 2018-2022'!$T$8:$T$102)</f>
        <v>415</v>
      </c>
      <c r="AH154" s="41">
        <f>SUMIF('Projetos ciclo 2018-2022'!$C$8:$C$102,'Gráfico Tendência 2018-2022'!$AC$153,'Projetos ciclo 2018-2022'!$T$8:$T$102)</f>
        <v>415</v>
      </c>
      <c r="AI154" s="41">
        <f>SUMIF('Projetos ciclo 2018-2022'!$C$8:$C$102,'Gráfico Tendência 2018-2022'!$AC$153,'Projetos ciclo 2018-2022'!$T$8:$T$102)</f>
        <v>415</v>
      </c>
      <c r="AJ154" s="41">
        <f>SUMIF('Projetos ciclo 2018-2022'!$C$8:$C$102,'Gráfico Tendência 2018-2022'!$AC$153,'Projetos ciclo 2018-2022'!$T$8:$T$102)</f>
        <v>415</v>
      </c>
      <c r="AK154" s="41">
        <f>SUMIF('Projetos ciclo 2018-2022'!$C$8:$C$102,'Gráfico Tendência 2018-2022'!$AC$153,'Projetos ciclo 2018-2022'!$T$8:$T$102)</f>
        <v>415</v>
      </c>
      <c r="AL154" s="41">
        <f>SUMIF('Projetos ciclo 2018-2022'!$C$8:$C$102,'Gráfico Tendência 2018-2022'!$AC$153,'Projetos ciclo 2018-2022'!$T$8:$T$102)</f>
        <v>415</v>
      </c>
      <c r="AM154" s="41">
        <f>SUMIF('Projetos ciclo 2018-2022'!$C$8:$C$102,'Gráfico Tendência 2018-2022'!$AC$153,'Projetos ciclo 2018-2022'!$T$8:$T$102)</f>
        <v>415</v>
      </c>
      <c r="AN154" s="41">
        <f>SUMIF('Projetos ciclo 2018-2022'!$C$8:$C$102,'Gráfico Tendência 2018-2022'!$AC$153,'Projetos ciclo 2018-2022'!$T$8:$T$102)</f>
        <v>415</v>
      </c>
      <c r="AO154" s="41">
        <f>SUMIF('Projetos ciclo 2018-2022'!$C$8:$C$102,'Gráfico Tendência 2018-2022'!$AC$153,'Projetos ciclo 2018-2022'!$T$8:$T$102)</f>
        <v>415</v>
      </c>
      <c r="AP154" s="74"/>
    </row>
    <row r="155" spans="1:42" ht="16.5" x14ac:dyDescent="0.3">
      <c r="A155" s="71" t="s">
        <v>948</v>
      </c>
      <c r="B155" s="41">
        <f>B156</f>
        <v>0</v>
      </c>
      <c r="C155" s="41">
        <f>B155+C156</f>
        <v>0</v>
      </c>
      <c r="D155" s="41">
        <f>C155+D156</f>
        <v>0</v>
      </c>
      <c r="E155" s="41">
        <f>D155+E156</f>
        <v>0</v>
      </c>
      <c r="F155" s="41">
        <f>E155+F156</f>
        <v>0</v>
      </c>
      <c r="G155" s="41">
        <f t="shared" ref="G155" si="52">F155+G156</f>
        <v>0</v>
      </c>
      <c r="H155" s="41">
        <f t="shared" ref="H155" si="53">G155+H156</f>
        <v>0</v>
      </c>
      <c r="I155" s="41">
        <f t="shared" ref="I155" si="54">H155+I156</f>
        <v>0</v>
      </c>
      <c r="J155" s="41">
        <f t="shared" ref="J155" si="55">I155+J156</f>
        <v>0</v>
      </c>
      <c r="K155" s="41">
        <f t="shared" ref="K155" si="56">J155+K156</f>
        <v>0</v>
      </c>
      <c r="L155" s="41">
        <f t="shared" ref="L155" si="57">K155+L156</f>
        <v>0</v>
      </c>
      <c r="M155" s="41">
        <f t="shared" ref="M155" si="58">L155+M156</f>
        <v>0</v>
      </c>
      <c r="N155" s="74"/>
      <c r="O155" s="71" t="s">
        <v>948</v>
      </c>
      <c r="P155" s="41">
        <f>P156</f>
        <v>0</v>
      </c>
      <c r="Q155" s="41">
        <f>P155+Q156</f>
        <v>0</v>
      </c>
      <c r="R155" s="41">
        <f>Q155+R156</f>
        <v>0</v>
      </c>
      <c r="S155" s="41">
        <f>R155+S156</f>
        <v>0</v>
      </c>
      <c r="T155" s="41">
        <f>S155+T156</f>
        <v>0</v>
      </c>
      <c r="U155" s="41">
        <f t="shared" ref="U155:AA155" si="59">T155+U156</f>
        <v>0</v>
      </c>
      <c r="V155" s="41">
        <f t="shared" si="59"/>
        <v>0</v>
      </c>
      <c r="W155" s="41">
        <f t="shared" si="59"/>
        <v>0</v>
      </c>
      <c r="X155" s="41">
        <f t="shared" si="59"/>
        <v>0</v>
      </c>
      <c r="Y155" s="41">
        <f t="shared" si="59"/>
        <v>0</v>
      </c>
      <c r="Z155" s="41">
        <f t="shared" si="59"/>
        <v>0</v>
      </c>
      <c r="AA155" s="41">
        <f t="shared" si="59"/>
        <v>0</v>
      </c>
      <c r="AB155" s="74"/>
      <c r="AC155" s="71" t="s">
        <v>948</v>
      </c>
      <c r="AD155" s="41">
        <f>AD156</f>
        <v>0</v>
      </c>
      <c r="AE155" s="41">
        <f>AD155+AE156</f>
        <v>0</v>
      </c>
      <c r="AF155" s="41">
        <f>AE155+AF156</f>
        <v>0</v>
      </c>
      <c r="AG155" s="41">
        <f>AF155+AG156</f>
        <v>0</v>
      </c>
      <c r="AH155" s="41">
        <f>AG155+AH156</f>
        <v>0</v>
      </c>
      <c r="AI155" s="41">
        <f t="shared" ref="AI155:AO155" si="60">AH155+AI156</f>
        <v>0</v>
      </c>
      <c r="AJ155" s="41">
        <f t="shared" si="60"/>
        <v>0</v>
      </c>
      <c r="AK155" s="41">
        <f t="shared" si="60"/>
        <v>0</v>
      </c>
      <c r="AL155" s="41">
        <f t="shared" si="60"/>
        <v>0</v>
      </c>
      <c r="AM155" s="41">
        <f t="shared" si="60"/>
        <v>0</v>
      </c>
      <c r="AN155" s="41">
        <f t="shared" si="60"/>
        <v>0</v>
      </c>
      <c r="AO155" s="41">
        <f t="shared" si="60"/>
        <v>0</v>
      </c>
      <c r="AP155" s="74"/>
    </row>
    <row r="156" spans="1:42" ht="16.5" x14ac:dyDescent="0.3">
      <c r="A156" s="71" t="s">
        <v>975</v>
      </c>
      <c r="B156" s="41"/>
      <c r="C156" s="41"/>
      <c r="D156" s="41"/>
      <c r="E156" s="41"/>
      <c r="F156" s="41"/>
      <c r="G156" s="73"/>
      <c r="H156" s="73"/>
      <c r="I156" s="73"/>
      <c r="J156" s="73"/>
      <c r="K156" s="73"/>
      <c r="L156" s="73"/>
      <c r="M156" s="73"/>
      <c r="N156" s="74"/>
      <c r="O156" s="71" t="s">
        <v>975</v>
      </c>
      <c r="P156" s="41"/>
      <c r="Q156" s="41"/>
      <c r="R156" s="41"/>
      <c r="S156" s="41"/>
      <c r="T156" s="41"/>
      <c r="U156" s="73"/>
      <c r="V156" s="73"/>
      <c r="W156" s="73"/>
      <c r="X156" s="73"/>
      <c r="Y156" s="73"/>
      <c r="Z156" s="73"/>
      <c r="AA156" s="73"/>
      <c r="AB156" s="74"/>
      <c r="AC156" s="71" t="s">
        <v>975</v>
      </c>
      <c r="AD156" s="41"/>
      <c r="AE156" s="41"/>
      <c r="AF156" s="41"/>
      <c r="AG156" s="41"/>
      <c r="AH156" s="41"/>
      <c r="AI156" s="73"/>
      <c r="AJ156" s="73"/>
      <c r="AK156" s="73"/>
      <c r="AL156" s="73"/>
      <c r="AM156" s="73"/>
      <c r="AN156" s="73"/>
      <c r="AO156" s="73"/>
      <c r="AP156" s="74"/>
    </row>
    <row r="157" spans="1:42" ht="16.5" x14ac:dyDescent="0.3">
      <c r="A157" s="71" t="s">
        <v>976</v>
      </c>
      <c r="B157" s="41"/>
      <c r="C157" s="41"/>
      <c r="D157" s="41"/>
      <c r="E157" s="41"/>
      <c r="F157" s="41"/>
      <c r="G157" s="41"/>
      <c r="H157" s="41"/>
      <c r="I157" s="41"/>
      <c r="J157" s="41"/>
      <c r="K157" s="41"/>
      <c r="L157" s="41"/>
      <c r="M157" s="41"/>
      <c r="N157" s="74"/>
      <c r="O157" s="71" t="s">
        <v>976</v>
      </c>
      <c r="P157" s="41"/>
      <c r="Q157" s="41"/>
      <c r="R157" s="41"/>
      <c r="S157" s="41"/>
      <c r="T157" s="41"/>
      <c r="U157" s="41"/>
      <c r="V157" s="41"/>
      <c r="W157" s="41"/>
      <c r="X157" s="41"/>
      <c r="Y157" s="41"/>
      <c r="Z157" s="41"/>
      <c r="AA157" s="41"/>
      <c r="AB157" s="74"/>
      <c r="AP157" s="74"/>
    </row>
    <row r="158" spans="1:42" x14ac:dyDescent="0.25">
      <c r="N158" s="74"/>
      <c r="AB158" s="74"/>
      <c r="AP158" s="74"/>
    </row>
    <row r="159" spans="1:42" x14ac:dyDescent="0.25">
      <c r="N159" s="74"/>
      <c r="AB159" s="74"/>
      <c r="AP159" s="74"/>
    </row>
    <row r="160" spans="1:42" x14ac:dyDescent="0.25">
      <c r="N160" s="74"/>
      <c r="AB160" s="74"/>
      <c r="AP160" s="74"/>
    </row>
    <row r="161" spans="14:42" x14ac:dyDescent="0.25">
      <c r="N161" s="74"/>
      <c r="AB161" s="74"/>
      <c r="AP161" s="74"/>
    </row>
    <row r="162" spans="14:42" x14ac:dyDescent="0.25">
      <c r="N162" s="74"/>
      <c r="AB162" s="74"/>
      <c r="AP162" s="74"/>
    </row>
    <row r="163" spans="14:42" x14ac:dyDescent="0.25">
      <c r="N163" s="74"/>
      <c r="AB163" s="74"/>
      <c r="AP163" s="74"/>
    </row>
    <row r="164" spans="14:42" x14ac:dyDescent="0.25">
      <c r="N164" s="74"/>
      <c r="AB164" s="74"/>
      <c r="AP164" s="74"/>
    </row>
    <row r="165" spans="14:42" x14ac:dyDescent="0.25">
      <c r="N165" s="74"/>
      <c r="AB165" s="74"/>
      <c r="AP165" s="74"/>
    </row>
    <row r="166" spans="14:42" x14ac:dyDescent="0.25">
      <c r="N166" s="74"/>
      <c r="AB166" s="74"/>
      <c r="AP166" s="74"/>
    </row>
    <row r="167" spans="14:42" x14ac:dyDescent="0.25">
      <c r="N167" s="74"/>
      <c r="AB167" s="74"/>
      <c r="AP167" s="74"/>
    </row>
    <row r="168" spans="14:42" x14ac:dyDescent="0.25">
      <c r="N168" s="74"/>
      <c r="AB168" s="74"/>
      <c r="AP168" s="74"/>
    </row>
    <row r="169" spans="14:42" x14ac:dyDescent="0.25">
      <c r="N169" s="74"/>
      <c r="AB169" s="74"/>
      <c r="AP169" s="74"/>
    </row>
    <row r="170" spans="14:42" x14ac:dyDescent="0.25">
      <c r="N170" s="74"/>
      <c r="AB170" s="74"/>
      <c r="AP170" s="74"/>
    </row>
    <row r="171" spans="14:42" x14ac:dyDescent="0.25">
      <c r="N171" s="74"/>
      <c r="AB171" s="74"/>
      <c r="AP171" s="74"/>
    </row>
    <row r="172" spans="14:42" x14ac:dyDescent="0.25">
      <c r="N172" s="74"/>
      <c r="AB172" s="74"/>
      <c r="AP172" s="74"/>
    </row>
    <row r="173" spans="14:42" x14ac:dyDescent="0.25">
      <c r="N173" s="74"/>
      <c r="AB173" s="74"/>
      <c r="AP173" s="74"/>
    </row>
    <row r="174" spans="14:42" x14ac:dyDescent="0.25">
      <c r="N174" s="74"/>
      <c r="AB174" s="74"/>
      <c r="AP174" s="74"/>
    </row>
    <row r="175" spans="14:42" x14ac:dyDescent="0.25">
      <c r="N175" s="74"/>
      <c r="AB175" s="74"/>
      <c r="AP175" s="74"/>
    </row>
    <row r="176" spans="14:42" x14ac:dyDescent="0.25">
      <c r="N176" s="74"/>
      <c r="AB176" s="74"/>
      <c r="AP176" s="74"/>
    </row>
    <row r="177" spans="14:42" ht="18" x14ac:dyDescent="0.25">
      <c r="N177" s="74"/>
      <c r="O177" s="551" t="s">
        <v>962</v>
      </c>
      <c r="P177" s="551"/>
      <c r="Q177" s="551"/>
      <c r="R177" s="551"/>
      <c r="S177" s="551"/>
      <c r="T177" s="551"/>
      <c r="U177" s="551"/>
      <c r="V177" s="551"/>
      <c r="W177" s="551"/>
      <c r="X177" s="551"/>
      <c r="Y177" s="552" t="s">
        <v>974</v>
      </c>
      <c r="Z177" s="552"/>
      <c r="AA177" s="552"/>
      <c r="AB177" s="74"/>
      <c r="AP177" s="74"/>
    </row>
    <row r="178" spans="14:42" ht="16.5" x14ac:dyDescent="0.3">
      <c r="N178" s="74"/>
      <c r="O178" s="40" t="s">
        <v>31</v>
      </c>
      <c r="P178" s="72">
        <v>43101</v>
      </c>
      <c r="Q178" s="72">
        <v>43132</v>
      </c>
      <c r="R178" s="72">
        <v>43160</v>
      </c>
      <c r="S178" s="72">
        <v>43191</v>
      </c>
      <c r="T178" s="72">
        <v>43221</v>
      </c>
      <c r="U178" s="72">
        <v>43252</v>
      </c>
      <c r="V178" s="72">
        <v>43282</v>
      </c>
      <c r="W178" s="72">
        <v>43313</v>
      </c>
      <c r="X178" s="72">
        <v>43344</v>
      </c>
      <c r="Y178" s="72">
        <v>43374</v>
      </c>
      <c r="Z178" s="72">
        <v>43405</v>
      </c>
      <c r="AA178" s="72">
        <v>43435</v>
      </c>
      <c r="AB178" s="74"/>
      <c r="AP178" s="74"/>
    </row>
    <row r="179" spans="14:42" ht="16.5" x14ac:dyDescent="0.3">
      <c r="N179" s="74"/>
      <c r="O179" s="70" t="s">
        <v>947</v>
      </c>
      <c r="P179" s="41">
        <f>SUMIF('Projetos ciclo 2018-2022'!$C$8:$C$102,'Gráfico Tendência 2018-2022'!$O$178,'Projetos ciclo 2018-2022'!$T$8:$T$102)</f>
        <v>58.6</v>
      </c>
      <c r="Q179" s="41">
        <f>SUMIF('Projetos ciclo 2018-2022'!$C$8:$C$102,'Gráfico Tendência 2018-2022'!$O$178,'Projetos ciclo 2018-2022'!$T$8:$T$102)</f>
        <v>58.6</v>
      </c>
      <c r="R179" s="41">
        <f>SUMIF('Projetos ciclo 2018-2022'!$C$8:$C$102,'Gráfico Tendência 2018-2022'!$O$178,'Projetos ciclo 2018-2022'!$T$8:$T$102)</f>
        <v>58.6</v>
      </c>
      <c r="S179" s="41">
        <f>SUMIF('Projetos ciclo 2018-2022'!$C$8:$C$102,'Gráfico Tendência 2018-2022'!$O$178,'Projetos ciclo 2018-2022'!$T$8:$T$102)</f>
        <v>58.6</v>
      </c>
      <c r="T179" s="41">
        <f>SUMIF('Projetos ciclo 2018-2022'!$C$8:$C$102,'Gráfico Tendência 2018-2022'!$O$178,'Projetos ciclo 2018-2022'!$T$8:$T$102)</f>
        <v>58.6</v>
      </c>
      <c r="U179" s="41">
        <f>SUMIF('Projetos ciclo 2018-2022'!$C$8:$C$102,'Gráfico Tendência 2018-2022'!$O$178,'Projetos ciclo 2018-2022'!$T$8:$T$102)</f>
        <v>58.6</v>
      </c>
      <c r="V179" s="41">
        <f>SUMIF('Projetos ciclo 2018-2022'!$C$8:$C$102,'Gráfico Tendência 2018-2022'!$O$178,'Projetos ciclo 2018-2022'!$T$8:$T$102)</f>
        <v>58.6</v>
      </c>
      <c r="W179" s="41">
        <f>SUMIF('Projetos ciclo 2018-2022'!$C$8:$C$102,'Gráfico Tendência 2018-2022'!$O$178,'Projetos ciclo 2018-2022'!$T$8:$T$102)</f>
        <v>58.6</v>
      </c>
      <c r="X179" s="41">
        <f>SUMIF('Projetos ciclo 2018-2022'!$C$8:$C$102,'Gráfico Tendência 2018-2022'!$O$178,'Projetos ciclo 2018-2022'!$T$8:$T$102)</f>
        <v>58.6</v>
      </c>
      <c r="Y179" s="41">
        <f>SUMIF('Projetos ciclo 2018-2022'!$C$8:$C$102,'Gráfico Tendência 2018-2022'!$O$178,'Projetos ciclo 2018-2022'!$T$8:$T$102)</f>
        <v>58.6</v>
      </c>
      <c r="Z179" s="41">
        <f>SUMIF('Projetos ciclo 2018-2022'!$C$8:$C$102,'Gráfico Tendência 2018-2022'!$O$178,'Projetos ciclo 2018-2022'!$T$8:$T$102)</f>
        <v>58.6</v>
      </c>
      <c r="AA179" s="41">
        <f>SUMIF('Projetos ciclo 2018-2022'!$C$8:$C$102,'Gráfico Tendência 2018-2022'!$O$178,'Projetos ciclo 2018-2022'!$T$8:$T$102)</f>
        <v>58.6</v>
      </c>
      <c r="AB179" s="74"/>
      <c r="AP179" s="74"/>
    </row>
    <row r="180" spans="14:42" ht="16.5" x14ac:dyDescent="0.3">
      <c r="N180" s="74"/>
      <c r="O180" s="71" t="s">
        <v>948</v>
      </c>
      <c r="P180" s="41">
        <f>P181</f>
        <v>0</v>
      </c>
      <c r="Q180" s="41">
        <f>P180+Q181</f>
        <v>0</v>
      </c>
      <c r="R180" s="41">
        <f>Q180+R181</f>
        <v>0</v>
      </c>
      <c r="S180" s="41">
        <f>R180+S181</f>
        <v>0</v>
      </c>
      <c r="T180" s="41">
        <f>S180+T181</f>
        <v>0</v>
      </c>
      <c r="U180" s="41">
        <f t="shared" ref="U180:AA180" si="61">T180+U181</f>
        <v>0</v>
      </c>
      <c r="V180" s="41">
        <f t="shared" si="61"/>
        <v>0</v>
      </c>
      <c r="W180" s="41">
        <f t="shared" si="61"/>
        <v>0</v>
      </c>
      <c r="X180" s="41">
        <f t="shared" si="61"/>
        <v>0</v>
      </c>
      <c r="Y180" s="41">
        <f t="shared" si="61"/>
        <v>0</v>
      </c>
      <c r="Z180" s="41">
        <f t="shared" si="61"/>
        <v>0</v>
      </c>
      <c r="AA180" s="41">
        <f t="shared" si="61"/>
        <v>0</v>
      </c>
      <c r="AB180" s="74"/>
      <c r="AP180" s="74"/>
    </row>
    <row r="181" spans="14:42" ht="16.5" x14ac:dyDescent="0.3">
      <c r="N181" s="74"/>
      <c r="O181" s="71" t="s">
        <v>975</v>
      </c>
      <c r="P181" s="41"/>
      <c r="Q181" s="41"/>
      <c r="R181" s="41"/>
      <c r="S181" s="41"/>
      <c r="T181" s="41"/>
      <c r="U181" s="73"/>
      <c r="V181" s="73"/>
      <c r="W181" s="73"/>
      <c r="X181" s="73"/>
      <c r="Y181" s="73"/>
      <c r="Z181" s="73"/>
      <c r="AA181" s="73"/>
      <c r="AB181" s="74"/>
      <c r="AP181" s="74"/>
    </row>
    <row r="182" spans="14:42" ht="16.5" x14ac:dyDescent="0.3">
      <c r="N182" s="74"/>
      <c r="O182" s="71" t="s">
        <v>976</v>
      </c>
      <c r="P182" s="41"/>
      <c r="Q182" s="41"/>
      <c r="R182" s="41"/>
      <c r="S182" s="41"/>
      <c r="T182" s="41"/>
      <c r="U182" s="41"/>
      <c r="V182" s="41"/>
      <c r="W182" s="41"/>
      <c r="X182" s="41"/>
      <c r="Y182" s="41"/>
      <c r="Z182" s="41"/>
      <c r="AA182" s="41"/>
      <c r="AB182" s="74"/>
      <c r="AP182" s="74"/>
    </row>
    <row r="183" spans="14:42" x14ac:dyDescent="0.25">
      <c r="N183" s="74"/>
      <c r="AB183" s="74"/>
      <c r="AP183" s="74"/>
    </row>
    <row r="184" spans="14:42" x14ac:dyDescent="0.25">
      <c r="N184" s="74"/>
      <c r="AB184" s="74"/>
      <c r="AP184" s="74"/>
    </row>
    <row r="185" spans="14:42" x14ac:dyDescent="0.25">
      <c r="N185" s="74"/>
      <c r="AB185" s="74"/>
      <c r="AP185" s="74"/>
    </row>
    <row r="186" spans="14:42" x14ac:dyDescent="0.25">
      <c r="N186" s="74"/>
      <c r="AB186" s="74"/>
      <c r="AP186" s="74"/>
    </row>
    <row r="187" spans="14:42" x14ac:dyDescent="0.25">
      <c r="N187" s="74"/>
      <c r="AB187" s="74"/>
      <c r="AP187" s="74"/>
    </row>
    <row r="188" spans="14:42" x14ac:dyDescent="0.25">
      <c r="N188" s="74"/>
      <c r="AB188" s="74"/>
      <c r="AP188" s="74"/>
    </row>
    <row r="189" spans="14:42" x14ac:dyDescent="0.25">
      <c r="N189" s="74"/>
      <c r="AB189" s="74"/>
      <c r="AP189" s="74"/>
    </row>
    <row r="190" spans="14:42" x14ac:dyDescent="0.25">
      <c r="N190" s="74"/>
      <c r="AB190" s="74"/>
      <c r="AP190" s="74"/>
    </row>
    <row r="191" spans="14:42" x14ac:dyDescent="0.25">
      <c r="N191" s="74"/>
      <c r="AB191" s="74"/>
      <c r="AP191" s="74"/>
    </row>
    <row r="192" spans="14:42" x14ac:dyDescent="0.25">
      <c r="N192" s="74"/>
      <c r="AB192" s="74"/>
      <c r="AP192" s="74"/>
    </row>
    <row r="193" spans="14:42" x14ac:dyDescent="0.25">
      <c r="N193" s="74"/>
      <c r="AB193" s="74"/>
      <c r="AP193" s="74"/>
    </row>
    <row r="194" spans="14:42" x14ac:dyDescent="0.25">
      <c r="N194" s="74"/>
      <c r="AB194" s="74"/>
      <c r="AP194" s="74"/>
    </row>
    <row r="195" spans="14:42" x14ac:dyDescent="0.25">
      <c r="N195" s="74"/>
      <c r="AB195" s="74"/>
      <c r="AP195" s="74"/>
    </row>
    <row r="196" spans="14:42" x14ac:dyDescent="0.25">
      <c r="N196" s="74"/>
      <c r="AB196" s="74"/>
      <c r="AP196" s="74"/>
    </row>
    <row r="197" spans="14:42" x14ac:dyDescent="0.25">
      <c r="N197" s="74"/>
      <c r="AB197" s="74"/>
      <c r="AP197" s="74"/>
    </row>
    <row r="198" spans="14:42" x14ac:dyDescent="0.25">
      <c r="N198" s="74"/>
      <c r="AB198" s="74"/>
      <c r="AP198" s="74"/>
    </row>
    <row r="199" spans="14:42" x14ac:dyDescent="0.25">
      <c r="N199" s="74"/>
      <c r="AB199" s="74"/>
      <c r="AP199" s="74"/>
    </row>
    <row r="200" spans="14:42" x14ac:dyDescent="0.25">
      <c r="N200" s="74"/>
      <c r="AB200" s="74"/>
      <c r="AP200" s="74"/>
    </row>
    <row r="201" spans="14:42" x14ac:dyDescent="0.25">
      <c r="N201" s="74"/>
      <c r="AB201" s="74"/>
      <c r="AP201" s="74"/>
    </row>
  </sheetData>
  <mergeCells count="50">
    <mergeCell ref="AM77:AO77"/>
    <mergeCell ref="AM1:AO1"/>
    <mergeCell ref="AM27:AO27"/>
    <mergeCell ref="AM52:AO52"/>
    <mergeCell ref="AQ1:AZ1"/>
    <mergeCell ref="BA1:BC1"/>
    <mergeCell ref="AQ27:AZ27"/>
    <mergeCell ref="BA27:BC27"/>
    <mergeCell ref="AQ52:AZ52"/>
    <mergeCell ref="BA52:BC52"/>
    <mergeCell ref="AC102:AL102"/>
    <mergeCell ref="AM102:AO102"/>
    <mergeCell ref="AC127:AL127"/>
    <mergeCell ref="AM127:AO127"/>
    <mergeCell ref="O152:X152"/>
    <mergeCell ref="Y152:AA152"/>
    <mergeCell ref="Y102:AA102"/>
    <mergeCell ref="O127:X127"/>
    <mergeCell ref="Y127:AA127"/>
    <mergeCell ref="AM152:AO152"/>
    <mergeCell ref="O177:X177"/>
    <mergeCell ref="Y177:AA177"/>
    <mergeCell ref="AC1:AL1"/>
    <mergeCell ref="AC27:AL27"/>
    <mergeCell ref="AC52:AL52"/>
    <mergeCell ref="AC77:AL77"/>
    <mergeCell ref="AC152:AL152"/>
    <mergeCell ref="O1:X1"/>
    <mergeCell ref="Y1:AA1"/>
    <mergeCell ref="O27:X27"/>
    <mergeCell ref="Y27:AA27"/>
    <mergeCell ref="O52:X52"/>
    <mergeCell ref="Y52:AA52"/>
    <mergeCell ref="O77:X77"/>
    <mergeCell ref="Y77:AA77"/>
    <mergeCell ref="O102:X102"/>
    <mergeCell ref="A102:J102"/>
    <mergeCell ref="K102:M102"/>
    <mergeCell ref="A127:J127"/>
    <mergeCell ref="K127:M127"/>
    <mergeCell ref="A152:J152"/>
    <mergeCell ref="K152:M152"/>
    <mergeCell ref="A77:J77"/>
    <mergeCell ref="K77:M77"/>
    <mergeCell ref="K1:M1"/>
    <mergeCell ref="A1:J1"/>
    <mergeCell ref="A27:J27"/>
    <mergeCell ref="K27:M27"/>
    <mergeCell ref="A52:J52"/>
    <mergeCell ref="K52:M52"/>
  </mergeCells>
  <pageMargins left="0.511811024" right="0.511811024" top="0.78740157499999996" bottom="0.78740157499999996" header="0.31496062000000002" footer="0.31496062000000002"/>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5</vt:i4>
      </vt:variant>
    </vt:vector>
  </HeadingPairs>
  <TitlesOfParts>
    <vt:vector size="29" baseType="lpstr">
      <vt:lpstr>Resumo</vt:lpstr>
      <vt:lpstr>Projetos ciclo 2018-2022</vt:lpstr>
      <vt:lpstr>2018 e 2019</vt:lpstr>
      <vt:lpstr>2018 e 2019 TD</vt:lpstr>
      <vt:lpstr>Quadros resumo</vt:lpstr>
      <vt:lpstr>Gráfico - Curva de Desembolsos</vt:lpstr>
      <vt:lpstr>CEI_032018</vt:lpstr>
      <vt:lpstr>CEI_042018</vt:lpstr>
      <vt:lpstr>CEI_052018</vt:lpstr>
      <vt:lpstr>DDC</vt:lpstr>
      <vt:lpstr>PD</vt:lpstr>
      <vt:lpstr>CEI_062018</vt:lpstr>
      <vt:lpstr>CEI_072018</vt:lpstr>
      <vt:lpstr>CEI_022018</vt:lpstr>
      <vt:lpstr>CEI_012018</vt:lpstr>
      <vt:lpstr>CEI_082018</vt:lpstr>
      <vt:lpstr>CEI_092018</vt:lpstr>
      <vt:lpstr>Junção de Projetos</vt:lpstr>
      <vt:lpstr>Plan1</vt:lpstr>
      <vt:lpstr>Macroprojetos</vt:lpstr>
      <vt:lpstr>Resultado do Seminário-D</vt:lpstr>
      <vt:lpstr>Linha do Tempo</vt:lpstr>
      <vt:lpstr>Projetos x Riscos Não Execução</vt:lpstr>
      <vt:lpstr>Gráfico Tendência 2018-2022</vt:lpstr>
      <vt:lpstr>'2018 e 2019'!Print_Area</vt:lpstr>
      <vt:lpstr>'Projetos ciclo 2018-2022'!Print_Area</vt:lpstr>
      <vt:lpstr>Resumo!Print_Area</vt:lpstr>
      <vt:lpstr>'2018 e 2019'!Print_Titles</vt:lpstr>
      <vt:lpstr>'Projetos ciclo 2018-2022'!Print_Titles</vt:lpstr>
    </vt:vector>
  </TitlesOfParts>
  <Company>CEMIG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C056191</dc:creator>
  <cp:lastModifiedBy>Paulo Patrício</cp:lastModifiedBy>
  <cp:lastPrinted>2017-12-14T10:06:35Z</cp:lastPrinted>
  <dcterms:created xsi:type="dcterms:W3CDTF">2017-04-28T19:12:27Z</dcterms:created>
  <dcterms:modified xsi:type="dcterms:W3CDTF">2018-09-13T14:28:34Z</dcterms:modified>
</cp:coreProperties>
</file>