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oud\Box\Rock Center Utility Bills\"/>
    </mc:Choice>
  </mc:AlternateContent>
  <xr:revisionPtr revIDLastSave="0" documentId="13_ncr:1_{C8530F98-1206-4701-88A6-5C2E4060A2E5}" xr6:coauthVersionLast="47" xr6:coauthVersionMax="47" xr10:uidLastSave="{00000000-0000-0000-0000-000000000000}"/>
  <bookViews>
    <workbookView xWindow="-120" yWindow="-120" windowWidth="29040" windowHeight="15840" xr2:uid="{24D7C018-3256-48FE-8056-4183BA4318AC}"/>
  </bookViews>
  <sheets>
    <sheet name="LL97 Fines" sheetId="3" r:id="rId1"/>
    <sheet name="Tishman Steam" sheetId="1" r:id="rId2"/>
    <sheet name="Tishman Electric" sheetId="2" r:id="rId3"/>
    <sheet name="LL97 30 Rock" sheetId="5" r:id="rId4"/>
    <sheet name="NBC Energy" sheetId="17" r:id="rId5"/>
    <sheet name="radio city" sheetId="18" r:id="rId6"/>
    <sheet name="LL97 Constants" sheetId="10" r:id="rId7"/>
  </sheets>
  <definedNames>
    <definedName name="cdd_2018">#REF!</definedName>
    <definedName name="cdd_2019">#REF!</definedName>
    <definedName name="cdd_2020">#REF!</definedName>
    <definedName name="cop">'LL97 Constants'!$B$16</definedName>
    <definedName name="eff">'LL97 Constants'!$B$17</definedName>
    <definedName name="elec">'LL97 Constants'!$B$5</definedName>
    <definedName name="fine">'LL97 Constants'!$B$9</definedName>
    <definedName name="gas">'LL97 Constants'!$B$6</definedName>
    <definedName name="grid_2030">'LL97 Constants'!$B$14</definedName>
    <definedName name="grid_2050">'LL97 Constants'!$B$15</definedName>
    <definedName name="hdd_2018">#REF!</definedName>
    <definedName name="hdd_2019">#REF!</definedName>
    <definedName name="hdd_2020">#REF!</definedName>
    <definedName name="kbtu_mlb">'LL97 Constants'!$B$10</definedName>
    <definedName name="lim_24">'LL97 Constants'!$B$2</definedName>
    <definedName name="lim_30">'LL97 Constants'!$B$3</definedName>
    <definedName name="lim_50">'LL97 Constants'!$B$4</definedName>
    <definedName name="steam">'LL97 Constants'!$B$7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5" l="1"/>
  <c r="H8" i="5"/>
  <c r="F8" i="5"/>
  <c r="D8" i="5"/>
  <c r="J14" i="3"/>
  <c r="H14" i="3"/>
  <c r="F14" i="3"/>
  <c r="D14" i="3"/>
  <c r="I14" i="3"/>
  <c r="G14" i="3"/>
  <c r="E14" i="3"/>
  <c r="C14" i="3"/>
  <c r="M5" i="18"/>
  <c r="M4" i="18"/>
  <c r="M3" i="18"/>
  <c r="M2" i="18"/>
  <c r="L5" i="18"/>
  <c r="L4" i="18"/>
  <c r="L3" i="18"/>
  <c r="L2" i="18"/>
  <c r="I6" i="17"/>
  <c r="I5" i="17"/>
  <c r="I4" i="17"/>
  <c r="I3" i="17"/>
  <c r="B16" i="3" l="1"/>
  <c r="J7" i="5"/>
  <c r="H7" i="5"/>
  <c r="F7" i="5"/>
  <c r="J9" i="5"/>
  <c r="H9" i="5"/>
  <c r="F9" i="5"/>
  <c r="D9" i="5"/>
  <c r="D7" i="5"/>
  <c r="I5" i="5"/>
  <c r="G5" i="5"/>
  <c r="E5" i="5"/>
  <c r="C5" i="5"/>
  <c r="M14" i="3"/>
  <c r="L14" i="3"/>
  <c r="K14" i="3"/>
  <c r="C31" i="3"/>
  <c r="E31" i="3" s="1"/>
  <c r="C47" i="3"/>
  <c r="E47" i="3" s="1"/>
  <c r="B31" i="3"/>
  <c r="B47" i="3"/>
  <c r="H9" i="18"/>
  <c r="C63" i="3"/>
  <c r="E63" i="3" s="1"/>
  <c r="B63" i="3"/>
  <c r="C79" i="3"/>
  <c r="E79" i="3" s="1"/>
  <c r="B79" i="3"/>
  <c r="F47" i="3" l="1"/>
  <c r="H47" i="3"/>
  <c r="K79" i="3"/>
  <c r="K31" i="3"/>
  <c r="K63" i="3"/>
  <c r="K47" i="3"/>
  <c r="F31" i="3"/>
  <c r="H31" i="3"/>
  <c r="F79" i="3"/>
  <c r="H79" i="3"/>
  <c r="I31" i="3"/>
  <c r="I63" i="3"/>
  <c r="I47" i="3"/>
  <c r="I79" i="3"/>
  <c r="F63" i="3"/>
  <c r="H63" i="3"/>
  <c r="J47" i="3"/>
  <c r="D31" i="3"/>
  <c r="J31" i="3" s="1"/>
  <c r="D47" i="3"/>
  <c r="G47" i="3" s="1"/>
  <c r="D63" i="3"/>
  <c r="G63" i="3" s="1"/>
  <c r="D79" i="3"/>
  <c r="G79" i="3" s="1"/>
  <c r="G31" i="3" l="1"/>
  <c r="J63" i="3"/>
  <c r="J79" i="3"/>
  <c r="D26" i="17"/>
  <c r="D18" i="17"/>
  <c r="H11" i="10" l="1"/>
  <c r="H10" i="10"/>
  <c r="H8" i="10"/>
  <c r="G8" i="10"/>
  <c r="B28" i="10"/>
  <c r="B29" i="10" s="1"/>
  <c r="B27" i="10"/>
  <c r="B26" i="10"/>
  <c r="B21" i="10"/>
  <c r="B22" i="10"/>
  <c r="I8" i="5" l="1"/>
  <c r="G8" i="5"/>
  <c r="E8" i="5"/>
  <c r="C8" i="5"/>
  <c r="E7" i="5"/>
  <c r="M5" i="5"/>
  <c r="L5" i="5"/>
  <c r="K5" i="5"/>
  <c r="G7" i="5" l="1"/>
  <c r="I7" i="5"/>
  <c r="C7" i="5"/>
  <c r="E33" i="10" l="1"/>
  <c r="K13" i="3"/>
  <c r="L13" i="3"/>
  <c r="M13" i="3"/>
  <c r="J13" i="3"/>
  <c r="C30" i="3" s="1"/>
  <c r="J12" i="3"/>
  <c r="I13" i="3"/>
  <c r="B30" i="3" s="1"/>
  <c r="I12" i="3"/>
  <c r="H13" i="3"/>
  <c r="C46" i="3" s="1"/>
  <c r="H12" i="3"/>
  <c r="G13" i="3"/>
  <c r="B46" i="3" s="1"/>
  <c r="G12" i="3"/>
  <c r="F12" i="3"/>
  <c r="F13" i="3"/>
  <c r="C62" i="3" s="1"/>
  <c r="E13" i="3"/>
  <c r="B62" i="3" s="1"/>
  <c r="D12" i="3"/>
  <c r="D13" i="3"/>
  <c r="C78" i="3" s="1"/>
  <c r="E12" i="3"/>
  <c r="C13" i="3"/>
  <c r="B78" i="3" s="1"/>
  <c r="C12" i="3"/>
  <c r="M5" i="3"/>
  <c r="M6" i="3"/>
  <c r="M7" i="3"/>
  <c r="M8" i="3"/>
  <c r="M9" i="3"/>
  <c r="M10" i="3"/>
  <c r="M11" i="3"/>
  <c r="M12" i="3"/>
  <c r="M4" i="3"/>
  <c r="L5" i="3"/>
  <c r="L6" i="3"/>
  <c r="L7" i="3"/>
  <c r="L8" i="3"/>
  <c r="L9" i="3"/>
  <c r="L10" i="3"/>
  <c r="L11" i="3"/>
  <c r="L12" i="3"/>
  <c r="L4" i="3"/>
  <c r="K5" i="3"/>
  <c r="K6" i="3"/>
  <c r="K7" i="3"/>
  <c r="K8" i="3"/>
  <c r="K9" i="3"/>
  <c r="K10" i="3"/>
  <c r="K11" i="3"/>
  <c r="K12" i="3"/>
  <c r="K4" i="3"/>
  <c r="D33" i="10"/>
  <c r="D34" i="10"/>
  <c r="E34" i="10" s="1"/>
  <c r="D35" i="10"/>
  <c r="G37" i="10"/>
  <c r="G38" i="10" s="1"/>
  <c r="G40" i="10" s="1"/>
  <c r="G41" i="10" s="1"/>
  <c r="G39" i="10"/>
  <c r="G42" i="10"/>
  <c r="G43" i="10" s="1"/>
  <c r="D43" i="10"/>
  <c r="D45" i="10" s="1"/>
  <c r="D46" i="10" s="1"/>
  <c r="D47" i="10" s="1"/>
  <c r="D49" i="10"/>
  <c r="D52" i="10" s="1"/>
  <c r="D53" i="10" s="1"/>
  <c r="D54" i="10" s="1"/>
  <c r="D50" i="10"/>
  <c r="D60" i="10"/>
  <c r="B8" i="10"/>
  <c r="B12" i="10" s="1"/>
  <c r="D5" i="5"/>
  <c r="H30" i="3" l="1"/>
  <c r="F30" i="3"/>
  <c r="F62" i="3"/>
  <c r="K78" i="3"/>
  <c r="F46" i="3"/>
  <c r="H46" i="3"/>
  <c r="F78" i="3"/>
  <c r="I78" i="3"/>
  <c r="I62" i="3"/>
  <c r="I46" i="3"/>
  <c r="I30" i="3"/>
  <c r="K16" i="3"/>
  <c r="M16" i="3"/>
  <c r="L16" i="3"/>
  <c r="F5" i="5"/>
  <c r="D62" i="3"/>
  <c r="J62" i="3" s="1"/>
  <c r="E62" i="3"/>
  <c r="H62" i="3" s="1"/>
  <c r="E30" i="3"/>
  <c r="K30" i="3" s="1"/>
  <c r="D30" i="3"/>
  <c r="G30" i="3" s="1"/>
  <c r="D78" i="3"/>
  <c r="G78" i="3" s="1"/>
  <c r="E78" i="3"/>
  <c r="H78" i="3" s="1"/>
  <c r="D46" i="3"/>
  <c r="G46" i="3" s="1"/>
  <c r="E46" i="3"/>
  <c r="K46" i="3" s="1"/>
  <c r="D6" i="3"/>
  <c r="C71" i="3" s="1"/>
  <c r="G44" i="10"/>
  <c r="D56" i="10"/>
  <c r="D58" i="10" s="1"/>
  <c r="J78" i="3" l="1"/>
  <c r="J30" i="3"/>
  <c r="G62" i="3"/>
  <c r="J46" i="3"/>
  <c r="K62" i="3"/>
  <c r="F6" i="3"/>
  <c r="C55" i="3" s="1"/>
  <c r="E55" i="3" s="1"/>
  <c r="D71" i="3"/>
  <c r="E71" i="3"/>
  <c r="H5" i="5"/>
  <c r="D55" i="3" l="1"/>
  <c r="H6" i="3"/>
  <c r="C39" i="3" s="1"/>
  <c r="J5" i="5"/>
  <c r="E39" i="3" l="1"/>
  <c r="D39" i="3"/>
  <c r="J6" i="3"/>
  <c r="C23" i="3" s="1"/>
  <c r="E23" i="3" l="1"/>
  <c r="D23" i="3"/>
  <c r="E14" i="1" l="1"/>
  <c r="D14" i="1"/>
  <c r="C14" i="1"/>
  <c r="B14" i="1"/>
  <c r="I5" i="3"/>
  <c r="B22" i="3" s="1"/>
  <c r="I6" i="3"/>
  <c r="B23" i="3" s="1"/>
  <c r="I7" i="3"/>
  <c r="B24" i="3" s="1"/>
  <c r="I8" i="3"/>
  <c r="B25" i="3" s="1"/>
  <c r="I9" i="3"/>
  <c r="B26" i="3" s="1"/>
  <c r="I10" i="3"/>
  <c r="B27" i="3" s="1"/>
  <c r="I11" i="3"/>
  <c r="B28" i="3" s="1"/>
  <c r="B29" i="3"/>
  <c r="I4" i="3"/>
  <c r="B21" i="3" s="1"/>
  <c r="H11" i="3"/>
  <c r="C44" i="3" s="1"/>
  <c r="F11" i="3"/>
  <c r="C60" i="3" s="1"/>
  <c r="D11" i="3"/>
  <c r="C76" i="3" s="1"/>
  <c r="J10" i="3"/>
  <c r="C27" i="3" s="1"/>
  <c r="H10" i="3"/>
  <c r="C43" i="3" s="1"/>
  <c r="F10" i="3"/>
  <c r="C59" i="3" s="1"/>
  <c r="D10" i="3"/>
  <c r="C75" i="3" s="1"/>
  <c r="J9" i="3"/>
  <c r="C26" i="3" s="1"/>
  <c r="H9" i="3"/>
  <c r="C42" i="3" s="1"/>
  <c r="F9" i="3"/>
  <c r="C58" i="3" s="1"/>
  <c r="D9" i="3"/>
  <c r="C74" i="3" s="1"/>
  <c r="J8" i="3"/>
  <c r="C25" i="3" s="1"/>
  <c r="H8" i="3"/>
  <c r="C41" i="3" s="1"/>
  <c r="F8" i="3"/>
  <c r="C57" i="3" s="1"/>
  <c r="D8" i="3"/>
  <c r="C73" i="3" s="1"/>
  <c r="J7" i="3"/>
  <c r="C24" i="3" s="1"/>
  <c r="H7" i="3"/>
  <c r="C40" i="3" s="1"/>
  <c r="F7" i="3"/>
  <c r="C56" i="3" s="1"/>
  <c r="D7" i="3"/>
  <c r="C72" i="3" s="1"/>
  <c r="J5" i="3"/>
  <c r="C22" i="3" s="1"/>
  <c r="H5" i="3"/>
  <c r="C38" i="3" s="1"/>
  <c r="F5" i="3"/>
  <c r="C54" i="3" s="1"/>
  <c r="D5" i="3"/>
  <c r="C70" i="3" s="1"/>
  <c r="J4" i="3"/>
  <c r="C21" i="3" s="1"/>
  <c r="H4" i="3"/>
  <c r="F4" i="3"/>
  <c r="D4" i="3"/>
  <c r="C6" i="3"/>
  <c r="B71" i="3" s="1"/>
  <c r="E6" i="3"/>
  <c r="B55" i="3" s="1"/>
  <c r="G6" i="3"/>
  <c r="B39" i="3" s="1"/>
  <c r="F55" i="3" l="1"/>
  <c r="G55" i="3"/>
  <c r="H55" i="3"/>
  <c r="I55" i="3"/>
  <c r="J55" i="3"/>
  <c r="K55" i="3"/>
  <c r="G71" i="3"/>
  <c r="F71" i="3"/>
  <c r="H71" i="3"/>
  <c r="I71" i="3"/>
  <c r="K71" i="3"/>
  <c r="J71" i="3"/>
  <c r="F25" i="3"/>
  <c r="I25" i="3"/>
  <c r="F24" i="3"/>
  <c r="H24" i="3"/>
  <c r="I24" i="3"/>
  <c r="F27" i="3"/>
  <c r="I27" i="3"/>
  <c r="F23" i="3"/>
  <c r="G23" i="3"/>
  <c r="H23" i="3"/>
  <c r="I23" i="3"/>
  <c r="K23" i="3"/>
  <c r="J23" i="3"/>
  <c r="F21" i="3"/>
  <c r="I21" i="3"/>
  <c r="J21" i="3"/>
  <c r="F22" i="3"/>
  <c r="G22" i="3"/>
  <c r="I22" i="3"/>
  <c r="F29" i="3"/>
  <c r="F39" i="3"/>
  <c r="G39" i="3"/>
  <c r="H39" i="3"/>
  <c r="K39" i="3"/>
  <c r="J39" i="3"/>
  <c r="I39" i="3"/>
  <c r="I28" i="3"/>
  <c r="F26" i="3"/>
  <c r="H26" i="3"/>
  <c r="K26" i="3"/>
  <c r="I26" i="3"/>
  <c r="C69" i="3"/>
  <c r="D69" i="3" s="1"/>
  <c r="D16" i="3"/>
  <c r="D21" i="3"/>
  <c r="G21" i="3" s="1"/>
  <c r="C53" i="3"/>
  <c r="D53" i="3" s="1"/>
  <c r="F16" i="3"/>
  <c r="C37" i="3"/>
  <c r="D37" i="3" s="1"/>
  <c r="H16" i="3"/>
  <c r="I16" i="3"/>
  <c r="B33" i="3" s="1"/>
  <c r="D24" i="3"/>
  <c r="G24" i="3" s="1"/>
  <c r="E24" i="3"/>
  <c r="K24" i="3" s="1"/>
  <c r="E73" i="3"/>
  <c r="D73" i="3"/>
  <c r="E74" i="3"/>
  <c r="D74" i="3"/>
  <c r="E59" i="3"/>
  <c r="D59" i="3"/>
  <c r="D44" i="3"/>
  <c r="E44" i="3"/>
  <c r="E75" i="3"/>
  <c r="D75" i="3"/>
  <c r="D70" i="3"/>
  <c r="E70" i="3"/>
  <c r="E41" i="3"/>
  <c r="D41" i="3"/>
  <c r="E42" i="3"/>
  <c r="D42" i="3"/>
  <c r="D27" i="3"/>
  <c r="G27" i="3" s="1"/>
  <c r="E27" i="3"/>
  <c r="H27" i="3" s="1"/>
  <c r="D43" i="3"/>
  <c r="E43" i="3"/>
  <c r="D25" i="3"/>
  <c r="J25" i="3" s="1"/>
  <c r="E25" i="3"/>
  <c r="K25" i="3" s="1"/>
  <c r="D26" i="3"/>
  <c r="G26" i="3" s="1"/>
  <c r="E26" i="3"/>
  <c r="E40" i="3"/>
  <c r="D40" i="3"/>
  <c r="E58" i="3"/>
  <c r="D58" i="3"/>
  <c r="D54" i="3"/>
  <c r="E54" i="3"/>
  <c r="D38" i="3"/>
  <c r="E38" i="3"/>
  <c r="D72" i="3"/>
  <c r="E72" i="3"/>
  <c r="D60" i="3"/>
  <c r="E60" i="3"/>
  <c r="E57" i="3"/>
  <c r="D57" i="3"/>
  <c r="E22" i="3"/>
  <c r="H22" i="3" s="1"/>
  <c r="D22" i="3"/>
  <c r="J22" i="3" s="1"/>
  <c r="E56" i="3"/>
  <c r="D56" i="3"/>
  <c r="D76" i="3"/>
  <c r="E76" i="3"/>
  <c r="C29" i="3"/>
  <c r="I29" i="3" s="1"/>
  <c r="J11" i="3"/>
  <c r="C28" i="3" s="1"/>
  <c r="F28" i="3" s="1"/>
  <c r="G5" i="3"/>
  <c r="B38" i="3" s="1"/>
  <c r="G7" i="3"/>
  <c r="B40" i="3" s="1"/>
  <c r="G8" i="3"/>
  <c r="B41" i="3" s="1"/>
  <c r="G9" i="3"/>
  <c r="B42" i="3" s="1"/>
  <c r="G10" i="3"/>
  <c r="B43" i="3" s="1"/>
  <c r="G11" i="3"/>
  <c r="B44" i="3" s="1"/>
  <c r="B45" i="3"/>
  <c r="G4" i="3"/>
  <c r="E5" i="3"/>
  <c r="B54" i="3" s="1"/>
  <c r="E7" i="3"/>
  <c r="B56" i="3" s="1"/>
  <c r="E8" i="3"/>
  <c r="B57" i="3" s="1"/>
  <c r="E9" i="3"/>
  <c r="B58" i="3" s="1"/>
  <c r="E10" i="3"/>
  <c r="B59" i="3" s="1"/>
  <c r="E11" i="3"/>
  <c r="B60" i="3" s="1"/>
  <c r="B61" i="3"/>
  <c r="E4" i="3"/>
  <c r="C5" i="3"/>
  <c r="B70" i="3" s="1"/>
  <c r="C7" i="3"/>
  <c r="B72" i="3" s="1"/>
  <c r="C8" i="3"/>
  <c r="B73" i="3" s="1"/>
  <c r="C9" i="3"/>
  <c r="B74" i="3" s="1"/>
  <c r="C10" i="3"/>
  <c r="B75" i="3" s="1"/>
  <c r="C11" i="3"/>
  <c r="B76" i="3" s="1"/>
  <c r="B77" i="3"/>
  <c r="C4" i="3"/>
  <c r="K22" i="3" l="1"/>
  <c r="F38" i="3"/>
  <c r="H38" i="3"/>
  <c r="G38" i="3"/>
  <c r="I38" i="3"/>
  <c r="J38" i="3"/>
  <c r="K38" i="3"/>
  <c r="F33" i="3"/>
  <c r="J24" i="3"/>
  <c r="I77" i="3"/>
  <c r="I61" i="3"/>
  <c r="F76" i="3"/>
  <c r="G76" i="3"/>
  <c r="H76" i="3"/>
  <c r="I76" i="3"/>
  <c r="K76" i="3"/>
  <c r="J76" i="3"/>
  <c r="H60" i="3"/>
  <c r="F60" i="3"/>
  <c r="G60" i="3"/>
  <c r="J60" i="3"/>
  <c r="K60" i="3"/>
  <c r="I60" i="3"/>
  <c r="F44" i="3"/>
  <c r="G44" i="3"/>
  <c r="H44" i="3"/>
  <c r="K44" i="3"/>
  <c r="J44" i="3"/>
  <c r="I44" i="3"/>
  <c r="J26" i="3"/>
  <c r="J27" i="3"/>
  <c r="H25" i="3"/>
  <c r="F75" i="3"/>
  <c r="H75" i="3"/>
  <c r="G75" i="3"/>
  <c r="J75" i="3"/>
  <c r="I75" i="3"/>
  <c r="K75" i="3"/>
  <c r="F59" i="3"/>
  <c r="G59" i="3"/>
  <c r="H59" i="3"/>
  <c r="I59" i="3"/>
  <c r="J59" i="3"/>
  <c r="K59" i="3"/>
  <c r="F43" i="3"/>
  <c r="G43" i="3"/>
  <c r="H43" i="3"/>
  <c r="J43" i="3"/>
  <c r="I43" i="3"/>
  <c r="K43" i="3"/>
  <c r="K27" i="3"/>
  <c r="G25" i="3"/>
  <c r="H70" i="3"/>
  <c r="F70" i="3"/>
  <c r="G70" i="3"/>
  <c r="I70" i="3"/>
  <c r="J70" i="3"/>
  <c r="K70" i="3"/>
  <c r="H74" i="3"/>
  <c r="F74" i="3"/>
  <c r="G74" i="3"/>
  <c r="J74" i="3"/>
  <c r="K74" i="3"/>
  <c r="I74" i="3"/>
  <c r="F54" i="3"/>
  <c r="G54" i="3"/>
  <c r="H54" i="3"/>
  <c r="I54" i="3"/>
  <c r="J54" i="3"/>
  <c r="K54" i="3"/>
  <c r="G42" i="3"/>
  <c r="F42" i="3"/>
  <c r="H42" i="3"/>
  <c r="I42" i="3"/>
  <c r="K42" i="3"/>
  <c r="J42" i="3"/>
  <c r="F57" i="3"/>
  <c r="H57" i="3"/>
  <c r="G57" i="3"/>
  <c r="K57" i="3"/>
  <c r="J57" i="3"/>
  <c r="I57" i="3"/>
  <c r="F58" i="3"/>
  <c r="G58" i="3"/>
  <c r="H58" i="3"/>
  <c r="K58" i="3"/>
  <c r="J58" i="3"/>
  <c r="I58" i="3"/>
  <c r="F73" i="3"/>
  <c r="G73" i="3"/>
  <c r="H73" i="3"/>
  <c r="K73" i="3"/>
  <c r="J73" i="3"/>
  <c r="I73" i="3"/>
  <c r="H41" i="3"/>
  <c r="F41" i="3"/>
  <c r="G41" i="3"/>
  <c r="K41" i="3"/>
  <c r="I41" i="3"/>
  <c r="J41" i="3"/>
  <c r="F72" i="3"/>
  <c r="G72" i="3"/>
  <c r="H72" i="3"/>
  <c r="I72" i="3"/>
  <c r="K72" i="3"/>
  <c r="J72" i="3"/>
  <c r="H56" i="3"/>
  <c r="F56" i="3"/>
  <c r="G56" i="3"/>
  <c r="I56" i="3"/>
  <c r="K56" i="3"/>
  <c r="J56" i="3"/>
  <c r="F40" i="3"/>
  <c r="G40" i="3"/>
  <c r="H40" i="3"/>
  <c r="K40" i="3"/>
  <c r="J40" i="3"/>
  <c r="I40" i="3"/>
  <c r="E53" i="3"/>
  <c r="E21" i="3"/>
  <c r="E69" i="3"/>
  <c r="J16" i="3"/>
  <c r="C33" i="3" s="1"/>
  <c r="I33" i="3" s="1"/>
  <c r="B69" i="3"/>
  <c r="C16" i="3"/>
  <c r="B81" i="3" s="1"/>
  <c r="B53" i="3"/>
  <c r="E16" i="3"/>
  <c r="B65" i="3" s="1"/>
  <c r="B37" i="3"/>
  <c r="G16" i="3"/>
  <c r="B49" i="3" s="1"/>
  <c r="E37" i="3"/>
  <c r="E28" i="3"/>
  <c r="D28" i="3"/>
  <c r="E29" i="3"/>
  <c r="D29" i="3"/>
  <c r="C65" i="3"/>
  <c r="C61" i="3"/>
  <c r="F61" i="3" s="1"/>
  <c r="C81" i="3"/>
  <c r="D81" i="3" s="1"/>
  <c r="C77" i="3"/>
  <c r="F77" i="3" s="1"/>
  <c r="C45" i="3"/>
  <c r="F45" i="3" s="1"/>
  <c r="E23" i="2"/>
  <c r="D23" i="2"/>
  <c r="C23" i="2"/>
  <c r="B23" i="2"/>
  <c r="I45" i="3" l="1"/>
  <c r="G28" i="3"/>
  <c r="J28" i="3"/>
  <c r="K28" i="3"/>
  <c r="H28" i="3"/>
  <c r="K21" i="3"/>
  <c r="H21" i="3"/>
  <c r="G69" i="3"/>
  <c r="F69" i="3"/>
  <c r="H69" i="3"/>
  <c r="I69" i="3"/>
  <c r="J69" i="3"/>
  <c r="K69" i="3"/>
  <c r="H37" i="3"/>
  <c r="G37" i="3"/>
  <c r="F37" i="3"/>
  <c r="I37" i="3"/>
  <c r="J37" i="3"/>
  <c r="K37" i="3"/>
  <c r="F65" i="3"/>
  <c r="K65" i="3"/>
  <c r="J65" i="3"/>
  <c r="I65" i="3"/>
  <c r="G29" i="3"/>
  <c r="J29" i="3"/>
  <c r="H53" i="3"/>
  <c r="G53" i="3"/>
  <c r="F53" i="3"/>
  <c r="J53" i="3"/>
  <c r="K53" i="3"/>
  <c r="I53" i="3"/>
  <c r="I64" i="3" s="1"/>
  <c r="H29" i="3"/>
  <c r="K29" i="3"/>
  <c r="G81" i="3"/>
  <c r="F81" i="3"/>
  <c r="J81" i="3"/>
  <c r="I81" i="3"/>
  <c r="I32" i="3"/>
  <c r="I80" i="3"/>
  <c r="E65" i="3"/>
  <c r="H65" i="3" s="1"/>
  <c r="D65" i="3"/>
  <c r="G65" i="3" s="1"/>
  <c r="E33" i="3"/>
  <c r="D33" i="3"/>
  <c r="D77" i="3"/>
  <c r="E77" i="3"/>
  <c r="I48" i="3"/>
  <c r="D45" i="3"/>
  <c r="E45" i="3"/>
  <c r="D61" i="3"/>
  <c r="E61" i="3"/>
  <c r="E81" i="3"/>
  <c r="H81" i="3" s="1"/>
  <c r="C49" i="3"/>
  <c r="I49" i="3" s="1"/>
  <c r="J80" i="3" l="1"/>
  <c r="J77" i="3"/>
  <c r="G77" i="3"/>
  <c r="K81" i="3"/>
  <c r="F49" i="3"/>
  <c r="K33" i="3"/>
  <c r="H33" i="3"/>
  <c r="G61" i="3"/>
  <c r="J61" i="3"/>
  <c r="J33" i="3"/>
  <c r="G33" i="3"/>
  <c r="H45" i="3"/>
  <c r="K45" i="3"/>
  <c r="G45" i="3"/>
  <c r="J45" i="3"/>
  <c r="J48" i="3" s="1"/>
  <c r="K77" i="3"/>
  <c r="K80" i="3" s="1"/>
  <c r="H77" i="3"/>
  <c r="K61" i="3"/>
  <c r="H61" i="3"/>
  <c r="K48" i="3"/>
  <c r="J32" i="3"/>
  <c r="K32" i="3"/>
  <c r="J64" i="3"/>
  <c r="D49" i="3"/>
  <c r="E49" i="3"/>
  <c r="K64" i="3"/>
  <c r="K49" i="3" l="1"/>
  <c r="H49" i="3"/>
  <c r="J49" i="3"/>
  <c r="G49" i="3"/>
</calcChain>
</file>

<file path=xl/sharedStrings.xml><?xml version="1.0" encoding="utf-8"?>
<sst xmlns="http://schemas.openxmlformats.org/spreadsheetml/2006/main" count="639" uniqueCount="213">
  <si>
    <t>2018 mlbs</t>
  </si>
  <si>
    <t>2019 mlbs</t>
  </si>
  <si>
    <t>2020 mlbs</t>
  </si>
  <si>
    <t>10 rock</t>
  </si>
  <si>
    <t>1230 6th</t>
  </si>
  <si>
    <t>30 rock</t>
  </si>
  <si>
    <t>45 Rock</t>
  </si>
  <si>
    <t>610 5th</t>
  </si>
  <si>
    <t>50 Rock</t>
  </si>
  <si>
    <t>620 5th</t>
  </si>
  <si>
    <t>1270 6th</t>
  </si>
  <si>
    <t>1 Rock and 600 5th</t>
  </si>
  <si>
    <t>2018 kwh</t>
  </si>
  <si>
    <t>2019 kwh</t>
  </si>
  <si>
    <t>2020 kwh</t>
  </si>
  <si>
    <t>1 Rock</t>
  </si>
  <si>
    <t>600 5th</t>
  </si>
  <si>
    <t>Central Plant</t>
  </si>
  <si>
    <t>sqft</t>
  </si>
  <si>
    <t>2024-2029</t>
  </si>
  <si>
    <t>2030-2034</t>
  </si>
  <si>
    <t>LL97 Constants</t>
  </si>
  <si>
    <t>from calculator</t>
  </si>
  <si>
    <t>tco2</t>
  </si>
  <si>
    <t>tco2/unit</t>
  </si>
  <si>
    <t>kbtu/unit</t>
  </si>
  <si>
    <t>Group B Limit 2024-2029</t>
  </si>
  <si>
    <t>mlb</t>
  </si>
  <si>
    <t>&lt;- too high</t>
  </si>
  <si>
    <t>electricity</t>
  </si>
  <si>
    <t>tco2 per kwh</t>
  </si>
  <si>
    <t>therms</t>
  </si>
  <si>
    <t>gas</t>
  </si>
  <si>
    <t>tc02 per kbtu</t>
  </si>
  <si>
    <t>kwh</t>
  </si>
  <si>
    <t>mmbtu heat needed</t>
  </si>
  <si>
    <t>steam</t>
  </si>
  <si>
    <t>tco2 per kbtu</t>
  </si>
  <si>
    <t>btu/lb</t>
  </si>
  <si>
    <t>electricity kbtu</t>
  </si>
  <si>
    <t>btu/mlb</t>
  </si>
  <si>
    <t>mbls</t>
  </si>
  <si>
    <t>btu/mlb ll97</t>
  </si>
  <si>
    <t>Group B limit 2030-2034</t>
  </si>
  <si>
    <t>dhw heat recovery</t>
  </si>
  <si>
    <t>kbtu</t>
  </si>
  <si>
    <t>goal 2050</t>
  </si>
  <si>
    <t>tons of co2 per 1000 mmbtu</t>
  </si>
  <si>
    <t>1 mmbtu of heating</t>
  </si>
  <si>
    <t>mmbtu of steam needed</t>
  </si>
  <si>
    <t>cop needed for electric to beat steam</t>
  </si>
  <si>
    <t>mlbs</t>
  </si>
  <si>
    <t>tons of co2</t>
  </si>
  <si>
    <t>kwh input</t>
  </si>
  <si>
    <t>cooling output</t>
  </si>
  <si>
    <t>kwh avoided</t>
  </si>
  <si>
    <t>tons of co2 avoided</t>
  </si>
  <si>
    <t>times better than steam heat ll97</t>
  </si>
  <si>
    <t>mmbtu/hr</t>
  </si>
  <si>
    <t>2018 Electric</t>
  </si>
  <si>
    <t>2019 Steam</t>
  </si>
  <si>
    <t>2019 Electric</t>
  </si>
  <si>
    <t>2020 Steam</t>
  </si>
  <si>
    <t>2020 Electric</t>
  </si>
  <si>
    <t>2024 Fine</t>
  </si>
  <si>
    <t>2030 Fine</t>
  </si>
  <si>
    <t>RCMH</t>
  </si>
  <si>
    <t>2050 Fine</t>
  </si>
  <si>
    <t>NBC</t>
  </si>
  <si>
    <t>2030 Grid</t>
  </si>
  <si>
    <t>2050 Grid</t>
  </si>
  <si>
    <t>As a Campus</t>
  </si>
  <si>
    <t>Steam/Elec Spread</t>
  </si>
  <si>
    <t>Fine</t>
  </si>
  <si>
    <t>Kbtu/mlb</t>
  </si>
  <si>
    <t>Rock Center</t>
  </si>
  <si>
    <t>2024-2029 GHG Limit</t>
  </si>
  <si>
    <t>2030-2034 Limit</t>
  </si>
  <si>
    <t>2050 Limit</t>
  </si>
  <si>
    <t>2018 Steam</t>
  </si>
  <si>
    <t>2024 Reduction Needed</t>
  </si>
  <si>
    <t>2030 Reduction Needed</t>
  </si>
  <si>
    <t>2050 Reduction Needed</t>
  </si>
  <si>
    <t>Past Energy Use</t>
  </si>
  <si>
    <t>GHG Limits</t>
  </si>
  <si>
    <t>30 rock Base</t>
  </si>
  <si>
    <t>% Change Required to Meet Goal</t>
  </si>
  <si>
    <t>All 30 Rock</t>
  </si>
  <si>
    <t>2030 grid factor</t>
  </si>
  <si>
    <t>2050 grid factor</t>
  </si>
  <si>
    <t>heat pump avg cop</t>
  </si>
  <si>
    <t>steam eff</t>
  </si>
  <si>
    <t>percent of 2018 grid ghg intensity</t>
  </si>
  <si>
    <t>2021-07-13</t>
  </si>
  <si>
    <t>2021-06-11</t>
  </si>
  <si>
    <t>2021-05-12</t>
  </si>
  <si>
    <t>2021-04-14</t>
  </si>
  <si>
    <t>2021-03-16</t>
  </si>
  <si>
    <t>2021-02-12</t>
  </si>
  <si>
    <t>2021-01-13</t>
  </si>
  <si>
    <t>2020-12-11</t>
  </si>
  <si>
    <t>2020-11-09</t>
  </si>
  <si>
    <t>2020-10-09</t>
  </si>
  <si>
    <t>2020-09-10</t>
  </si>
  <si>
    <t>2020-08-11</t>
  </si>
  <si>
    <t>2020-07-13</t>
  </si>
  <si>
    <t>2020-06-11</t>
  </si>
  <si>
    <t>2020-05-12</t>
  </si>
  <si>
    <t>2020-04-13</t>
  </si>
  <si>
    <t>2020-03-13</t>
  </si>
  <si>
    <t>2020-02-12</t>
  </si>
  <si>
    <t>2020-01-13</t>
  </si>
  <si>
    <t>2019-12-12</t>
  </si>
  <si>
    <t>2019-11-08</t>
  </si>
  <si>
    <t>2019-10-10</t>
  </si>
  <si>
    <t>2019-09-11</t>
  </si>
  <si>
    <t>2019-08-12</t>
  </si>
  <si>
    <t>2019-07-12</t>
  </si>
  <si>
    <t>2019-06-12</t>
  </si>
  <si>
    <t>2019-05-13</t>
  </si>
  <si>
    <t>2019-04-12</t>
  </si>
  <si>
    <t>2019-03-14</t>
  </si>
  <si>
    <t>2019-02-12</t>
  </si>
  <si>
    <t>2019-01-11</t>
  </si>
  <si>
    <t>2018-12-12</t>
  </si>
  <si>
    <t>2018-11-08</t>
  </si>
  <si>
    <t>2018-10-11</t>
  </si>
  <si>
    <t>2018-09-11</t>
  </si>
  <si>
    <t>2018-08-10</t>
  </si>
  <si>
    <t>2018-07-12</t>
  </si>
  <si>
    <t>2018-06-12</t>
  </si>
  <si>
    <t>2018-05-11</t>
  </si>
  <si>
    <t>2018-04-12</t>
  </si>
  <si>
    <t>2018-03-14</t>
  </si>
  <si>
    <t>2018-02-12</t>
  </si>
  <si>
    <t>2018-01-11</t>
  </si>
  <si>
    <t>2017-12-12</t>
  </si>
  <si>
    <t>nyc yearly load</t>
  </si>
  <si>
    <t>indian point</t>
  </si>
  <si>
    <t>projects online by 2030</t>
  </si>
  <si>
    <t>empire wind 1</t>
  </si>
  <si>
    <t>twh</t>
  </si>
  <si>
    <t>Champlain Hudson Power Express</t>
  </si>
  <si>
    <t>2018 baseline</t>
  </si>
  <si>
    <t>Clean Path NY</t>
  </si>
  <si>
    <t>dirty percent 2030/direct percent 2018</t>
  </si>
  <si>
    <t>percent clean 2030</t>
  </si>
  <si>
    <t>this would be my calculated value for grid factor 2030</t>
  </si>
  <si>
    <t>Energy Usage</t>
  </si>
  <si>
    <t>$/mwh</t>
  </si>
  <si>
    <t>$/kwh</t>
  </si>
  <si>
    <t>ghg/mwh</t>
  </si>
  <si>
    <t>ghg/mlb</t>
  </si>
  <si>
    <t>Start Date</t>
  </si>
  <si>
    <t>End Date</t>
  </si>
  <si>
    <t>2022-07-13</t>
  </si>
  <si>
    <t>2022-06-13</t>
  </si>
  <si>
    <t>2022-05-12</t>
  </si>
  <si>
    <t>2022-03-15</t>
  </si>
  <si>
    <t>2022-04-13</t>
  </si>
  <si>
    <t>2022-02-11</t>
  </si>
  <si>
    <t>2022-01-12</t>
  </si>
  <si>
    <t>2021-12-10</t>
  </si>
  <si>
    <t>2021-11-09</t>
  </si>
  <si>
    <t>2021-10-12</t>
  </si>
  <si>
    <t>2021-09-10</t>
  </si>
  <si>
    <t>2021-08-11</t>
  </si>
  <si>
    <t>2022-08-11</t>
  </si>
  <si>
    <t>2021-08-12</t>
  </si>
  <si>
    <t>2021-10-08</t>
  </si>
  <si>
    <t>2021-12-13</t>
  </si>
  <si>
    <t>2020-07-11</t>
  </si>
  <si>
    <t>2018-01-12</t>
  </si>
  <si>
    <t>klbs</t>
  </si>
  <si>
    <t>Energy Star</t>
  </si>
  <si>
    <t>2018-02-11</t>
  </si>
  <si>
    <t>2018-03-11</t>
  </si>
  <si>
    <t>2018-06-11</t>
  </si>
  <si>
    <t>2018-10-10</t>
  </si>
  <si>
    <t>2020-12-12</t>
  </si>
  <si>
    <t>2021-03-13</t>
  </si>
  <si>
    <t>2021-04-13</t>
  </si>
  <si>
    <t>2021-10-09</t>
  </si>
  <si>
    <t>2019-12-11</t>
  </si>
  <si>
    <t>2018-03-01</t>
  </si>
  <si>
    <t>2017-11-08</t>
  </si>
  <si>
    <t>2017-10-11</t>
  </si>
  <si>
    <t>2017-09-11</t>
  </si>
  <si>
    <t>2017-08-10</t>
  </si>
  <si>
    <t>2017-07-12</t>
  </si>
  <si>
    <t>2017-06-12</t>
  </si>
  <si>
    <t>2017-05-11</t>
  </si>
  <si>
    <t>2021 kwh</t>
  </si>
  <si>
    <t>2021 mlbs</t>
  </si>
  <si>
    <t>RCHM</t>
  </si>
  <si>
    <t>2021 Steam</t>
  </si>
  <si>
    <t>2021 Electric</t>
  </si>
  <si>
    <t>49 street sto - subway</t>
  </si>
  <si>
    <t>1240 6 ave - 1240</t>
  </si>
  <si>
    <t>fire pump - no usage</t>
  </si>
  <si>
    <t>1270 6 ave entm - subway</t>
  </si>
  <si>
    <t>49 st and 6 ave - subway</t>
  </si>
  <si>
    <t>30 rock 55th - old lazard account</t>
  </si>
  <si>
    <t>620 fire alarm - no usage</t>
  </si>
  <si>
    <t>tco2 per sqft</t>
  </si>
  <si>
    <t>2021 Electric with 2030 Grid</t>
  </si>
  <si>
    <t>2021 Electric with 2050 Grid</t>
  </si>
  <si>
    <t>GHG Emissions from 2021 Usage</t>
  </si>
  <si>
    <t>GHG Emissions from 2020 Usage</t>
  </si>
  <si>
    <t>GHG Emissions from 2019 Usage</t>
  </si>
  <si>
    <t>GHG Emissions from 2018 Usage</t>
  </si>
  <si>
    <t>Total Fines Individually</t>
  </si>
  <si>
    <t>Fine as Campus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</si>
</sst>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0000000_);_(* \(#,##0.00000000\);_(* &quot;-&quot;??_);_(@_)"/>
    <numFmt numFmtId="166" formatCode="_(* #,##0_);_(* \(#,##0\);_(* &quot;-&quot;????????_);_(@_)"/>
    <numFmt numFmtId="167" formatCode="0.00000000"/>
    <numFmt numFmtId="168" formatCode="_(* #,##0.000_);_(* \(#,##0.000\);_(* &quot;-&quot;??_);_(@_)"/>
    <numFmt numFmtId="169" formatCode="_(&quot;$&quot;* #,##0.0_);_(&quot;$&quot;* \(#,##0.0\);_(&quot;$&quot;* &quot;-&quot;??_);_(@_)"/>
    <numFmt numFmtId="170" formatCode="_(&quot;$&quot;* #,##0_);_(&quot;$&quot;* \(#,##0\);_(&quot;$&quot;* &quot;-&quot;??_);_(@_)"/>
    <numFmt numFmtId="171" formatCode="_(&quot;$&quot;* #,##0.000_);_(&quot;$&quot;* \(#,##0.000\);_(&quot;$&quot;* &quot;-&quot;??_);_(@_)"/>
    <numFmt numFmtId="172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Arial"/>
      <family val="1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4" fillId="0" borderId="0"/>
    <xf numFmtId="0" fontId="6" fillId="0" borderId="0"/>
  </cellStyleXfs>
  <cellXfs count="114">
    <xf numFmtId="0" fontId="0" fillId="0" borderId="0" xfId="0"/>
    <xf numFmtId="43" fontId="0" fillId="0" borderId="0" xfId="0" applyNumberFormat="1"/>
    <xf numFmtId="9" fontId="0" fillId="0" borderId="0" xfId="3" applyFont="1"/>
    <xf numFmtId="43" fontId="0" fillId="0" borderId="0" xfId="1" applyFont="1"/>
    <xf numFmtId="165" fontId="0" fillId="0" borderId="0" xfId="1" applyNumberFormat="1" applyFon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44" fontId="0" fillId="0" borderId="0" xfId="2" applyFont="1"/>
    <xf numFmtId="164" fontId="0" fillId="0" borderId="0" xfId="0" applyNumberFormat="1"/>
    <xf numFmtId="0" fontId="0" fillId="2" borderId="0" xfId="0" applyFill="1"/>
    <xf numFmtId="164" fontId="0" fillId="0" borderId="0" xfId="1" applyNumberFormat="1" applyFont="1"/>
    <xf numFmtId="164" fontId="0" fillId="2" borderId="0" xfId="1" applyNumberFormat="1" applyFont="1" applyFill="1"/>
    <xf numFmtId="170" fontId="0" fillId="0" borderId="0" xfId="2" applyNumberFormat="1" applyFont="1"/>
    <xf numFmtId="164" fontId="0" fillId="0" borderId="0" xfId="1" applyNumberFormat="1" applyFont="1" applyFill="1"/>
    <xf numFmtId="0" fontId="0" fillId="0" borderId="0" xfId="0" applyFill="1"/>
    <xf numFmtId="164" fontId="0" fillId="0" borderId="0" xfId="0" applyNumberFormat="1" applyFill="1"/>
    <xf numFmtId="172" fontId="0" fillId="0" borderId="0" xfId="0" applyNumberFormat="1"/>
    <xf numFmtId="0" fontId="0" fillId="0" borderId="1" xfId="0" applyBorder="1"/>
    <xf numFmtId="0" fontId="0" fillId="0" borderId="0" xfId="0" applyBorder="1"/>
    <xf numFmtId="164" fontId="0" fillId="0" borderId="0" xfId="1" applyNumberFormat="1" applyFont="1" applyBorder="1"/>
    <xf numFmtId="0" fontId="0" fillId="0" borderId="0" xfId="0" applyFill="1" applyBorder="1"/>
    <xf numFmtId="164" fontId="0" fillId="0" borderId="0" xfId="1" applyNumberFormat="1" applyFont="1" applyFill="1" applyBorder="1"/>
    <xf numFmtId="0" fontId="2" fillId="0" borderId="0" xfId="4" applyFont="1" applyFill="1"/>
    <xf numFmtId="164" fontId="0" fillId="0" borderId="4" xfId="0" applyNumberFormat="1" applyFill="1" applyBorder="1"/>
    <xf numFmtId="164" fontId="0" fillId="0" borderId="0" xfId="0" applyNumberFormat="1" applyFill="1" applyBorder="1"/>
    <xf numFmtId="9" fontId="0" fillId="0" borderId="0" xfId="3" applyFont="1" applyFill="1" applyBorder="1"/>
    <xf numFmtId="9" fontId="0" fillId="0" borderId="5" xfId="3" applyFont="1" applyFill="1" applyBorder="1"/>
    <xf numFmtId="164" fontId="0" fillId="0" borderId="6" xfId="0" applyNumberFormat="1" applyFill="1" applyBorder="1"/>
    <xf numFmtId="164" fontId="0" fillId="0" borderId="7" xfId="0" applyNumberFormat="1" applyFill="1" applyBorder="1"/>
    <xf numFmtId="9" fontId="0" fillId="0" borderId="7" xfId="3" applyFont="1" applyFill="1" applyBorder="1"/>
    <xf numFmtId="9" fontId="0" fillId="0" borderId="8" xfId="3" applyFont="1" applyFill="1" applyBorder="1"/>
    <xf numFmtId="169" fontId="0" fillId="0" borderId="0" xfId="2" applyNumberFormat="1" applyFont="1" applyFill="1" applyBorder="1"/>
    <xf numFmtId="169" fontId="0" fillId="0" borderId="7" xfId="2" applyNumberFormat="1" applyFont="1" applyFill="1" applyBorder="1"/>
    <xf numFmtId="170" fontId="0" fillId="0" borderId="5" xfId="2" applyNumberFormat="1" applyFont="1" applyFill="1" applyBorder="1"/>
    <xf numFmtId="170" fontId="0" fillId="0" borderId="8" xfId="2" applyNumberFormat="1" applyFont="1" applyFill="1" applyBorder="1"/>
    <xf numFmtId="169" fontId="0" fillId="0" borderId="10" xfId="2" applyNumberFormat="1" applyFont="1" applyFill="1" applyBorder="1"/>
    <xf numFmtId="170" fontId="0" fillId="0" borderId="11" xfId="2" applyNumberFormat="1" applyFont="1" applyFill="1" applyBorder="1"/>
    <xf numFmtId="164" fontId="0" fillId="0" borderId="5" xfId="0" applyNumberFormat="1" applyFill="1" applyBorder="1"/>
    <xf numFmtId="164" fontId="0" fillId="0" borderId="8" xfId="0" applyNumberFormat="1" applyFill="1" applyBorder="1"/>
    <xf numFmtId="0" fontId="0" fillId="0" borderId="0" xfId="0" applyAlignment="1">
      <alignment wrapText="1"/>
    </xf>
    <xf numFmtId="9" fontId="0" fillId="0" borderId="4" xfId="3" applyFont="1" applyFill="1" applyBorder="1"/>
    <xf numFmtId="9" fontId="0" fillId="0" borderId="6" xfId="3" applyFont="1" applyFill="1" applyBorder="1"/>
    <xf numFmtId="164" fontId="0" fillId="0" borderId="4" xfId="1" applyNumberFormat="1" applyFont="1" applyBorder="1"/>
    <xf numFmtId="164" fontId="0" fillId="0" borderId="5" xfId="0" applyNumberFormat="1" applyBorder="1"/>
    <xf numFmtId="164" fontId="0" fillId="0" borderId="6" xfId="1" applyNumberFormat="1" applyFont="1" applyBorder="1"/>
    <xf numFmtId="164" fontId="0" fillId="0" borderId="7" xfId="1" applyNumberFormat="1" applyFont="1" applyBorder="1"/>
    <xf numFmtId="164" fontId="0" fillId="0" borderId="8" xfId="0" applyNumberFormat="1" applyBorder="1"/>
    <xf numFmtId="164" fontId="2" fillId="0" borderId="4" xfId="1" applyNumberFormat="1" applyFont="1" applyFill="1" applyBorder="1" applyAlignment="1">
      <alignment horizontal="left"/>
    </xf>
    <xf numFmtId="164" fontId="0" fillId="0" borderId="5" xfId="1" applyNumberFormat="1" applyFont="1" applyBorder="1"/>
    <xf numFmtId="164" fontId="0" fillId="0" borderId="4" xfId="1" applyNumberFormat="1" applyFont="1" applyFill="1" applyBorder="1"/>
    <xf numFmtId="164" fontId="0" fillId="0" borderId="5" xfId="1" applyNumberFormat="1" applyFont="1" applyFill="1" applyBorder="1"/>
    <xf numFmtId="164" fontId="0" fillId="0" borderId="8" xfId="1" applyNumberFormat="1" applyFont="1" applyBorder="1"/>
    <xf numFmtId="169" fontId="0" fillId="0" borderId="9" xfId="2" applyNumberFormat="1" applyFont="1" applyFill="1" applyBorder="1"/>
    <xf numFmtId="169" fontId="0" fillId="0" borderId="4" xfId="2" applyNumberFormat="1" applyFont="1" applyFill="1" applyBorder="1"/>
    <xf numFmtId="169" fontId="0" fillId="0" borderId="6" xfId="2" applyNumberFormat="1" applyFont="1" applyFill="1" applyBorder="1"/>
    <xf numFmtId="0" fontId="0" fillId="0" borderId="10" xfId="0" applyBorder="1"/>
    <xf numFmtId="0" fontId="0" fillId="0" borderId="11" xfId="0" applyBorder="1"/>
    <xf numFmtId="164" fontId="0" fillId="0" borderId="4" xfId="0" applyNumberFormat="1" applyBorder="1"/>
    <xf numFmtId="164" fontId="0" fillId="0" borderId="0" xfId="0" applyNumberFormat="1" applyBorder="1"/>
    <xf numFmtId="0" fontId="0" fillId="0" borderId="9" xfId="0" applyBorder="1"/>
    <xf numFmtId="43" fontId="0" fillId="0" borderId="0" xfId="0" applyNumberFormat="1" applyBorder="1"/>
    <xf numFmtId="0" fontId="0" fillId="0" borderId="6" xfId="0" applyBorder="1"/>
    <xf numFmtId="0" fontId="0" fillId="0" borderId="7" xfId="0" applyBorder="1"/>
    <xf numFmtId="164" fontId="0" fillId="0" borderId="7" xfId="1" applyNumberFormat="1" applyFont="1" applyFill="1" applyBorder="1"/>
    <xf numFmtId="0" fontId="0" fillId="0" borderId="8" xfId="0" applyBorder="1"/>
    <xf numFmtId="164" fontId="0" fillId="0" borderId="11" xfId="0" applyNumberFormat="1" applyBorder="1"/>
    <xf numFmtId="0" fontId="0" fillId="3" borderId="1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3" borderId="3" xfId="0" applyFill="1" applyBorder="1" applyAlignment="1">
      <alignment wrapText="1"/>
    </xf>
    <xf numFmtId="49" fontId="0" fillId="0" borderId="0" xfId="0" applyNumberFormat="1"/>
    <xf numFmtId="170" fontId="0" fillId="0" borderId="0" xfId="2" applyNumberFormat="1" applyFont="1" applyFill="1" applyBorder="1"/>
    <xf numFmtId="164" fontId="0" fillId="2" borderId="0" xfId="0" applyNumberFormat="1" applyFill="1"/>
    <xf numFmtId="171" fontId="0" fillId="0" borderId="0" xfId="0" applyNumberFormat="1"/>
    <xf numFmtId="14" fontId="0" fillId="0" borderId="0" xfId="0" applyNumberFormat="1" applyBorder="1" applyAlignment="1">
      <alignment wrapText="1"/>
    </xf>
    <xf numFmtId="0" fontId="0" fillId="0" borderId="0" xfId="0" applyBorder="1" applyAlignment="1">
      <alignment horizontal="left" wrapText="1"/>
    </xf>
    <xf numFmtId="49" fontId="0" fillId="0" borderId="0" xfId="0" applyNumberFormat="1" applyBorder="1"/>
    <xf numFmtId="164" fontId="0" fillId="0" borderId="0" xfId="1" applyNumberFormat="1" applyFont="1" applyBorder="1" applyAlignment="1">
      <alignment wrapText="1"/>
    </xf>
    <xf numFmtId="49" fontId="0" fillId="0" borderId="0" xfId="0" applyNumberFormat="1" applyBorder="1" applyAlignment="1">
      <alignment horizontal="left" wrapText="1"/>
    </xf>
    <xf numFmtId="164" fontId="0" fillId="0" borderId="0" xfId="1" applyNumberFormat="1" applyFont="1" applyBorder="1" applyAlignment="1">
      <alignment horizontal="left" wrapText="1"/>
    </xf>
    <xf numFmtId="14" fontId="6" fillId="0" borderId="0" xfId="6" applyNumberFormat="1" applyFill="1" applyBorder="1" applyAlignment="1">
      <alignment wrapText="1"/>
    </xf>
    <xf numFmtId="0" fontId="6" fillId="0" borderId="0" xfId="6" applyFill="1" applyBorder="1" applyAlignment="1">
      <alignment horizontal="left" wrapText="1"/>
    </xf>
    <xf numFmtId="164" fontId="6" fillId="0" borderId="0" xfId="6" applyNumberFormat="1" applyFill="1" applyBorder="1" applyAlignment="1">
      <alignment wrapText="1"/>
    </xf>
    <xf numFmtId="169" fontId="0" fillId="0" borderId="0" xfId="0" applyNumberFormat="1" applyBorder="1"/>
    <xf numFmtId="0" fontId="0" fillId="0" borderId="0" xfId="0" applyFill="1" applyBorder="1" applyAlignment="1">
      <alignment wrapText="1"/>
    </xf>
    <xf numFmtId="164" fontId="0" fillId="0" borderId="9" xfId="1" applyNumberFormat="1" applyFont="1" applyBorder="1"/>
    <xf numFmtId="164" fontId="0" fillId="0" borderId="10" xfId="1" applyNumberFormat="1" applyFont="1" applyBorder="1"/>
    <xf numFmtId="164" fontId="0" fillId="0" borderId="11" xfId="1" applyNumberFormat="1" applyFont="1" applyFill="1" applyBorder="1"/>
    <xf numFmtId="0" fontId="0" fillId="3" borderId="1" xfId="0" applyNumberFormat="1" applyFill="1" applyBorder="1" applyAlignment="1">
      <alignment wrapText="1"/>
    </xf>
    <xf numFmtId="0" fontId="0" fillId="3" borderId="2" xfId="0" applyNumberFormat="1" applyFill="1" applyBorder="1" applyAlignment="1">
      <alignment wrapText="1"/>
    </xf>
    <xf numFmtId="0" fontId="0" fillId="3" borderId="3" xfId="0" applyNumberFormat="1" applyFill="1" applyBorder="1" applyAlignment="1">
      <alignment wrapText="1"/>
    </xf>
    <xf numFmtId="164" fontId="0" fillId="0" borderId="9" xfId="1" applyNumberFormat="1" applyFont="1" applyFill="1" applyBorder="1"/>
    <xf numFmtId="164" fontId="0" fillId="0" borderId="6" xfId="1" applyNumberFormat="1" applyFont="1" applyFill="1" applyBorder="1"/>
    <xf numFmtId="0" fontId="0" fillId="0" borderId="0" xfId="0" applyBorder="1" applyAlignment="1">
      <alignment wrapText="1"/>
    </xf>
    <xf numFmtId="164" fontId="3" fillId="0" borderId="0" xfId="1" applyNumberFormat="1" applyFont="1" applyFill="1" applyBorder="1" applyAlignment="1">
      <alignment horizontal="left"/>
    </xf>
    <xf numFmtId="0" fontId="0" fillId="0" borderId="0" xfId="0" applyFont="1" applyFill="1" applyBorder="1"/>
    <xf numFmtId="0" fontId="0" fillId="4" borderId="1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NumberFormat="1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4" borderId="1" xfId="0" applyNumberFormat="1" applyFill="1" applyBorder="1" applyAlignment="1">
      <alignment wrapText="1"/>
    </xf>
    <xf numFmtId="0" fontId="0" fillId="0" borderId="9" xfId="0" applyBorder="1" applyAlignment="1"/>
    <xf numFmtId="0" fontId="0" fillId="0" borderId="10" xfId="0" applyBorder="1" applyAlignment="1"/>
    <xf numFmtId="0" fontId="0" fillId="0" borderId="11" xfId="0" applyBorder="1" applyAlignment="1"/>
    <xf numFmtId="0" fontId="0" fillId="4" borderId="3" xfId="0" applyNumberFormat="1" applyFill="1" applyBorder="1" applyAlignment="1">
      <alignment wrapText="1"/>
    </xf>
    <xf numFmtId="170" fontId="0" fillId="0" borderId="0" xfId="0" applyNumberFormat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170" fontId="0" fillId="2" borderId="0" xfId="0" applyNumberFormat="1" applyFill="1" applyBorder="1"/>
    <xf numFmtId="170" fontId="0" fillId="2" borderId="0" xfId="2" applyNumberFormat="1" applyFont="1" applyFill="1" applyBorder="1"/>
  </cellXfs>
  <cellStyles count="7">
    <cellStyle name="Comma" xfId="1" builtinId="3"/>
    <cellStyle name="Currency" xfId="2" builtinId="4"/>
    <cellStyle name="Normal" xfId="0" builtinId="0"/>
    <cellStyle name="Normal 2" xfId="4" xr:uid="{B220C699-236F-4CC2-9A20-09FE9B91A100}"/>
    <cellStyle name="Normal 3" xfId="5" xr:uid="{46193BED-9D50-4344-AB7D-07206BC5DBB4}"/>
    <cellStyle name="Normal 4" xfId="6" xr:uid="{8A6FB1AA-385F-4B90-A18E-ECD09749D92E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02BF5-87C4-4A33-8E49-4C8DAB5C5E64}">
  <dimension ref="A1:BC87"/>
  <sheetViews>
    <sheetView tabSelected="1" zoomScale="90" zoomScaleNormal="90" workbookViewId="0">
      <pane xSplit="1" topLeftCell="B1" activePane="topRight" state="frozen"/>
      <selection pane="topRight" activeCell="G18" sqref="G18"/>
    </sheetView>
  </sheetViews>
  <sheetFormatPr defaultRowHeight="15" x14ac:dyDescent="0.25"/>
  <cols>
    <col min="1" max="1" width="35.42578125" customWidth="1"/>
    <col min="2" max="2" width="16.5703125" customWidth="1"/>
    <col min="3" max="3" width="20.140625" customWidth="1"/>
    <col min="4" max="4" width="20.42578125" customWidth="1"/>
    <col min="5" max="5" width="20.140625" customWidth="1"/>
    <col min="6" max="7" width="19.85546875" customWidth="1"/>
    <col min="8" max="8" width="17.7109375" customWidth="1"/>
    <col min="9" max="9" width="17.140625" customWidth="1"/>
    <col min="10" max="10" width="16.5703125" customWidth="1"/>
    <col min="11" max="11" width="23.28515625" customWidth="1"/>
    <col min="12" max="12" width="22.7109375" customWidth="1"/>
    <col min="13" max="13" width="15.28515625" customWidth="1"/>
    <col min="14" max="14" width="16.28515625" customWidth="1"/>
    <col min="15" max="17" width="13.5703125" customWidth="1"/>
    <col min="18" max="18" width="14.28515625" customWidth="1"/>
    <col min="19" max="19" width="16" customWidth="1"/>
    <col min="20" max="20" width="14.140625" customWidth="1"/>
    <col min="21" max="22" width="13.28515625" customWidth="1"/>
    <col min="23" max="26" width="13.85546875" customWidth="1"/>
    <col min="27" max="29" width="13.42578125" customWidth="1"/>
    <col min="30" max="30" width="13.140625" customWidth="1"/>
    <col min="31" max="34" width="15.85546875" customWidth="1"/>
    <col min="35" max="38" width="16.140625" customWidth="1"/>
    <col min="39" max="43" width="14.42578125" customWidth="1"/>
    <col min="44" max="44" width="13.42578125" customWidth="1"/>
    <col min="45" max="47" width="13.140625" customWidth="1"/>
    <col min="48" max="48" width="15" customWidth="1"/>
    <col min="49" max="50" width="13.5703125" customWidth="1"/>
    <col min="51" max="51" width="13.7109375" customWidth="1"/>
    <col min="52" max="52" width="13.42578125" customWidth="1"/>
    <col min="53" max="53" width="15.28515625" bestFit="1" customWidth="1"/>
  </cols>
  <sheetData>
    <row r="1" spans="1:55" ht="15.75" thickBot="1" x14ac:dyDescent="0.3"/>
    <row r="2" spans="1:55" ht="15.75" thickBot="1" x14ac:dyDescent="0.3">
      <c r="B2" s="18"/>
      <c r="C2" s="109" t="s">
        <v>148</v>
      </c>
      <c r="D2" s="109"/>
      <c r="E2" s="109"/>
      <c r="F2" s="109"/>
      <c r="G2" s="109"/>
      <c r="H2" s="109"/>
      <c r="I2" s="109"/>
      <c r="J2" s="110"/>
      <c r="K2" s="111" t="s">
        <v>84</v>
      </c>
      <c r="L2" s="109"/>
      <c r="M2" s="110"/>
    </row>
    <row r="3" spans="1:55" s="40" customFormat="1" ht="42" customHeight="1" thickBot="1" x14ac:dyDescent="0.3">
      <c r="B3" s="67" t="s">
        <v>18</v>
      </c>
      <c r="C3" s="68" t="s">
        <v>0</v>
      </c>
      <c r="D3" s="68" t="s">
        <v>12</v>
      </c>
      <c r="E3" s="68" t="s">
        <v>1</v>
      </c>
      <c r="F3" s="68" t="s">
        <v>13</v>
      </c>
      <c r="G3" s="68" t="s">
        <v>2</v>
      </c>
      <c r="H3" s="68" t="s">
        <v>14</v>
      </c>
      <c r="I3" s="68" t="s">
        <v>193</v>
      </c>
      <c r="J3" s="69" t="s">
        <v>192</v>
      </c>
      <c r="K3" s="67" t="s">
        <v>76</v>
      </c>
      <c r="L3" s="68" t="s">
        <v>77</v>
      </c>
      <c r="M3" s="69" t="s">
        <v>78</v>
      </c>
      <c r="O3" s="84"/>
      <c r="P3" s="93"/>
    </row>
    <row r="4" spans="1:55" x14ac:dyDescent="0.25">
      <c r="A4" t="s">
        <v>3</v>
      </c>
      <c r="B4" s="91">
        <v>409556</v>
      </c>
      <c r="C4" s="86">
        <f>'Tishman Steam'!B3</f>
        <v>19199.210000000003</v>
      </c>
      <c r="D4" s="86">
        <f>'Tishman Electric'!B3</f>
        <v>5573600</v>
      </c>
      <c r="E4" s="86">
        <f>'Tishman Steam'!C3</f>
        <v>17186.05</v>
      </c>
      <c r="F4" s="86">
        <f>'Tishman Electric'!C3</f>
        <v>4941600</v>
      </c>
      <c r="G4" s="86">
        <f>'Tishman Steam'!D3</f>
        <v>12307.33</v>
      </c>
      <c r="H4" s="86">
        <f>'Tishman Electric'!D3</f>
        <v>3885600</v>
      </c>
      <c r="I4" s="86">
        <f>'Tishman Steam'!E3</f>
        <v>13085.010000000002</v>
      </c>
      <c r="J4" s="87">
        <f>'Tishman Electric'!E3</f>
        <v>3983200</v>
      </c>
      <c r="K4" s="85">
        <f t="shared" ref="K4:K13" si="0">B4*lim_24</f>
        <v>3464.8437600000002</v>
      </c>
      <c r="L4" s="86">
        <f t="shared" ref="L4:L13" si="1">B4*lim_30</f>
        <v>1855.2886800000001</v>
      </c>
      <c r="M4" s="66">
        <f t="shared" ref="M4:M13" si="2">B4*lim_50</f>
        <v>573.37839999999994</v>
      </c>
      <c r="N4" t="s">
        <v>3</v>
      </c>
      <c r="O4" s="94"/>
      <c r="P4" s="19"/>
      <c r="BB4" s="15"/>
      <c r="BC4" s="15"/>
    </row>
    <row r="5" spans="1:55" x14ac:dyDescent="0.25">
      <c r="A5" t="s">
        <v>4</v>
      </c>
      <c r="B5" s="48">
        <v>730615</v>
      </c>
      <c r="C5" s="20">
        <f>'Tishman Steam'!B4</f>
        <v>15090.56</v>
      </c>
      <c r="D5" s="20">
        <f>'Tishman Electric'!B4</f>
        <v>8940800</v>
      </c>
      <c r="E5" s="20">
        <f>'Tishman Steam'!C4</f>
        <v>13869.8</v>
      </c>
      <c r="F5" s="20">
        <f>'Tishman Electric'!C4</f>
        <v>8340800</v>
      </c>
      <c r="G5" s="20">
        <f>'Tishman Steam'!D4</f>
        <v>10831.21</v>
      </c>
      <c r="H5" s="20">
        <f>'Tishman Electric'!D4</f>
        <v>6860000</v>
      </c>
      <c r="I5" s="20">
        <f>'Tishman Steam'!E4</f>
        <v>10404.58</v>
      </c>
      <c r="J5" s="49">
        <f>'Tishman Electric'!E4</f>
        <v>7150400</v>
      </c>
      <c r="K5" s="43">
        <f t="shared" si="0"/>
        <v>6181.0029000000004</v>
      </c>
      <c r="L5" s="20">
        <f t="shared" si="1"/>
        <v>3309.68595</v>
      </c>
      <c r="M5" s="44">
        <f t="shared" si="2"/>
        <v>1022.861</v>
      </c>
      <c r="N5" t="s">
        <v>4</v>
      </c>
      <c r="O5" s="22"/>
      <c r="P5" s="19"/>
      <c r="BB5" s="15"/>
      <c r="BC5" s="15"/>
    </row>
    <row r="6" spans="1:55" x14ac:dyDescent="0.25">
      <c r="A6" s="15" t="s">
        <v>5</v>
      </c>
      <c r="B6" s="50">
        <v>2911536</v>
      </c>
      <c r="C6" s="22">
        <f>'Tishman Steam'!B5</f>
        <v>172342.78</v>
      </c>
      <c r="D6" s="22">
        <f>'LL97 30 Rock'!D5</f>
        <v>104057124</v>
      </c>
      <c r="E6" s="22">
        <f>'Tishman Steam'!C5</f>
        <v>140689.78999999998</v>
      </c>
      <c r="F6" s="22">
        <f>'LL97 30 Rock'!F5</f>
        <v>103793286</v>
      </c>
      <c r="G6" s="22">
        <f>'Tishman Steam'!D5</f>
        <v>117109.90999999997</v>
      </c>
      <c r="H6" s="22">
        <f>'LL97 30 Rock'!H5</f>
        <v>89166210</v>
      </c>
      <c r="I6" s="22">
        <f>'Tishman Steam'!E5</f>
        <v>112920.4</v>
      </c>
      <c r="J6" s="51">
        <f>'LL97 30 Rock'!J5</f>
        <v>85350840</v>
      </c>
      <c r="K6" s="43">
        <f t="shared" si="0"/>
        <v>24631.594560000001</v>
      </c>
      <c r="L6" s="20">
        <f t="shared" si="1"/>
        <v>13189.25808</v>
      </c>
      <c r="M6" s="44">
        <f t="shared" si="2"/>
        <v>4076.1504</v>
      </c>
      <c r="N6" s="15" t="s">
        <v>5</v>
      </c>
      <c r="O6" s="95"/>
      <c r="P6" s="19"/>
      <c r="BB6" s="15"/>
      <c r="BC6" s="15"/>
    </row>
    <row r="7" spans="1:55" s="15" customFormat="1" x14ac:dyDescent="0.25">
      <c r="A7" s="15" t="s">
        <v>6</v>
      </c>
      <c r="B7" s="50">
        <v>1217115</v>
      </c>
      <c r="C7" s="22">
        <f>'Tishman Steam'!B6</f>
        <v>57761.279999999999</v>
      </c>
      <c r="D7" s="22">
        <f>'Tishman Electric'!B6</f>
        <v>19053600</v>
      </c>
      <c r="E7" s="22">
        <f>'Tishman Steam'!C6</f>
        <v>52828.13</v>
      </c>
      <c r="F7" s="20">
        <f>'Tishman Electric'!C6</f>
        <v>19230400</v>
      </c>
      <c r="G7" s="22">
        <f>'Tishman Steam'!D6</f>
        <v>45233.15</v>
      </c>
      <c r="H7" s="20">
        <f>'Tishman Electric'!D6</f>
        <v>14853600</v>
      </c>
      <c r="I7" s="22">
        <f>'Tishman Steam'!E6</f>
        <v>46863.199999999997</v>
      </c>
      <c r="J7" s="49">
        <f>'Tishman Electric'!E6</f>
        <v>14758400</v>
      </c>
      <c r="K7" s="43">
        <f t="shared" si="0"/>
        <v>10296.7929</v>
      </c>
      <c r="L7" s="20">
        <f t="shared" si="1"/>
        <v>5513.5309500000003</v>
      </c>
      <c r="M7" s="44">
        <f t="shared" si="2"/>
        <v>1703.961</v>
      </c>
      <c r="N7" s="15" t="s">
        <v>6</v>
      </c>
      <c r="O7" s="94"/>
      <c r="P7" s="21"/>
    </row>
    <row r="8" spans="1:55" x14ac:dyDescent="0.25">
      <c r="A8" t="s">
        <v>7</v>
      </c>
      <c r="B8" s="50">
        <v>111101</v>
      </c>
      <c r="C8" s="20">
        <f>'Tishman Steam'!B7</f>
        <v>7606.44</v>
      </c>
      <c r="D8" s="20">
        <f>'Tishman Electric'!B7</f>
        <v>1818800</v>
      </c>
      <c r="E8" s="20">
        <f>'Tishman Steam'!C7</f>
        <v>8911.81</v>
      </c>
      <c r="F8" s="20">
        <f>'Tishman Electric'!C7</f>
        <v>1740000</v>
      </c>
      <c r="G8" s="20">
        <f>'Tishman Steam'!D7</f>
        <v>6774.16</v>
      </c>
      <c r="H8" s="20">
        <f>'Tishman Electric'!D7</f>
        <v>1430800</v>
      </c>
      <c r="I8" s="20">
        <f>'Tishman Steam'!E7</f>
        <v>6439.48</v>
      </c>
      <c r="J8" s="49">
        <f>'Tishman Electric'!E7</f>
        <v>1296800</v>
      </c>
      <c r="K8" s="43">
        <f t="shared" si="0"/>
        <v>939.91446000000008</v>
      </c>
      <c r="L8" s="20">
        <f t="shared" si="1"/>
        <v>503.28753</v>
      </c>
      <c r="M8" s="44">
        <f t="shared" si="2"/>
        <v>155.54140000000001</v>
      </c>
      <c r="N8" t="s">
        <v>7</v>
      </c>
      <c r="O8" s="94"/>
      <c r="P8" s="19"/>
      <c r="BB8" s="15"/>
      <c r="BC8" s="15"/>
    </row>
    <row r="9" spans="1:55" x14ac:dyDescent="0.25">
      <c r="A9" t="s">
        <v>8</v>
      </c>
      <c r="B9" s="50">
        <v>472505</v>
      </c>
      <c r="C9" s="20">
        <f>'Tishman Steam'!B8</f>
        <v>19292.78</v>
      </c>
      <c r="D9" s="20">
        <f>'Tishman Electric'!B8</f>
        <v>6710400</v>
      </c>
      <c r="E9" s="20">
        <f>'Tishman Steam'!C8</f>
        <v>22675.57</v>
      </c>
      <c r="F9" s="20">
        <f>'Tishman Electric'!C8</f>
        <v>6523200</v>
      </c>
      <c r="G9" s="20">
        <f>'Tishman Steam'!D8</f>
        <v>17781.59</v>
      </c>
      <c r="H9" s="20">
        <f>'Tishman Electric'!D8</f>
        <v>4840800</v>
      </c>
      <c r="I9" s="20">
        <f>'Tishman Steam'!E8</f>
        <v>14896.849999999999</v>
      </c>
      <c r="J9" s="49">
        <f>'Tishman Electric'!E8</f>
        <v>3281600</v>
      </c>
      <c r="K9" s="43">
        <f t="shared" si="0"/>
        <v>3997.3923000000004</v>
      </c>
      <c r="L9" s="20">
        <f t="shared" si="1"/>
        <v>2140.4476500000001</v>
      </c>
      <c r="M9" s="44">
        <f t="shared" si="2"/>
        <v>661.50699999999995</v>
      </c>
      <c r="N9" t="s">
        <v>8</v>
      </c>
      <c r="O9" s="94"/>
      <c r="P9" s="19"/>
      <c r="BB9" s="15"/>
      <c r="BC9" s="15"/>
    </row>
    <row r="10" spans="1:55" x14ac:dyDescent="0.25">
      <c r="A10" t="s">
        <v>9</v>
      </c>
      <c r="B10" s="50">
        <v>147585</v>
      </c>
      <c r="C10" s="20">
        <f>'Tishman Steam'!B9</f>
        <v>6892.6200000000008</v>
      </c>
      <c r="D10" s="20">
        <f>'Tishman Electric'!B9</f>
        <v>3309600</v>
      </c>
      <c r="E10" s="20">
        <f>'Tishman Steam'!C9</f>
        <v>6952.23</v>
      </c>
      <c r="F10" s="20">
        <f>'Tishman Electric'!C9</f>
        <v>3189600</v>
      </c>
      <c r="G10" s="20">
        <f>'Tishman Steam'!D9</f>
        <v>5202.58</v>
      </c>
      <c r="H10" s="20">
        <f>'Tishman Electric'!D9</f>
        <v>2278400</v>
      </c>
      <c r="I10" s="20">
        <f>'Tishman Steam'!E9</f>
        <v>3981.37</v>
      </c>
      <c r="J10" s="49">
        <f>'Tishman Electric'!E9</f>
        <v>2342480</v>
      </c>
      <c r="K10" s="43">
        <f t="shared" si="0"/>
        <v>1248.5691000000002</v>
      </c>
      <c r="L10" s="20">
        <f t="shared" si="1"/>
        <v>668.56005000000005</v>
      </c>
      <c r="M10" s="44">
        <f t="shared" si="2"/>
        <v>206.619</v>
      </c>
      <c r="N10" t="s">
        <v>9</v>
      </c>
      <c r="O10" s="94"/>
      <c r="P10" s="19"/>
      <c r="BB10" s="15"/>
      <c r="BC10" s="15"/>
    </row>
    <row r="11" spans="1:55" x14ac:dyDescent="0.25">
      <c r="A11" t="s">
        <v>10</v>
      </c>
      <c r="B11" s="50">
        <v>449291</v>
      </c>
      <c r="C11" s="20">
        <f>'Tishman Steam'!B10</f>
        <v>18461.39</v>
      </c>
      <c r="D11" s="20">
        <f>'Tishman Electric'!B10</f>
        <v>4702800</v>
      </c>
      <c r="E11" s="20">
        <f>'Tishman Steam'!C10</f>
        <v>17882.849999999999</v>
      </c>
      <c r="F11" s="20">
        <f>'Tishman Electric'!C10</f>
        <v>4383200</v>
      </c>
      <c r="G11" s="20">
        <f>'Tishman Steam'!D10</f>
        <v>17206.48</v>
      </c>
      <c r="H11" s="20">
        <f>'Tishman Electric'!D10</f>
        <v>3418000</v>
      </c>
      <c r="I11" s="20">
        <f>'Tishman Steam'!E10</f>
        <v>17403.329999999998</v>
      </c>
      <c r="J11" s="49">
        <f>'Tishman Electric'!E10</f>
        <v>3217600</v>
      </c>
      <c r="K11" s="43">
        <f t="shared" si="0"/>
        <v>3801.0018600000003</v>
      </c>
      <c r="L11" s="20">
        <f t="shared" si="1"/>
        <v>2035.2882300000001</v>
      </c>
      <c r="M11" s="44">
        <f t="shared" si="2"/>
        <v>629.00739999999996</v>
      </c>
      <c r="N11" t="s">
        <v>10</v>
      </c>
      <c r="O11" s="94"/>
      <c r="P11" s="19"/>
      <c r="BB11" s="15"/>
      <c r="BC11" s="15"/>
    </row>
    <row r="12" spans="1:55" x14ac:dyDescent="0.25">
      <c r="A12" t="s">
        <v>15</v>
      </c>
      <c r="B12" s="50">
        <v>568606</v>
      </c>
      <c r="C12" s="20">
        <f>'Tishman Steam'!B11*B12/SUM(B12:B13)</f>
        <v>19020.968905303638</v>
      </c>
      <c r="D12" s="20">
        <f>'Tishman Electric'!B11</f>
        <v>7454400</v>
      </c>
      <c r="E12" s="20">
        <f>'Tishman Steam'!C11*B12/SUM(B12:B13)</f>
        <v>19835.989601301939</v>
      </c>
      <c r="F12" s="20">
        <f>'Tishman Electric'!C11</f>
        <v>7284800</v>
      </c>
      <c r="G12" s="20">
        <f>'Tishman Steam'!D11*B12/SUM(B12:B13)</f>
        <v>15805.834000798162</v>
      </c>
      <c r="H12" s="20">
        <f>'Tishman Electric'!E11</f>
        <v>5387200</v>
      </c>
      <c r="I12" s="20">
        <f>'Tishman Steam'!E11*B12/SUM(B12:B13)</f>
        <v>15961.348005556043</v>
      </c>
      <c r="J12" s="49">
        <f>'Tishman Electric'!E11</f>
        <v>5387200</v>
      </c>
      <c r="K12" s="43">
        <f t="shared" si="0"/>
        <v>4810.4067599999998</v>
      </c>
      <c r="L12" s="20">
        <f t="shared" si="1"/>
        <v>2575.7851800000003</v>
      </c>
      <c r="M12" s="44">
        <f t="shared" si="2"/>
        <v>796.04840000000002</v>
      </c>
      <c r="N12" t="s">
        <v>15</v>
      </c>
      <c r="O12" s="94"/>
      <c r="P12" s="19"/>
      <c r="BB12" s="15"/>
      <c r="BC12" s="15"/>
    </row>
    <row r="13" spans="1:55" x14ac:dyDescent="0.25">
      <c r="A13" t="s">
        <v>16</v>
      </c>
      <c r="B13" s="50">
        <v>396109</v>
      </c>
      <c r="C13" s="20">
        <f>'Tishman Steam'!B11*B13/SUM(B12:B13)</f>
        <v>13250.611094696362</v>
      </c>
      <c r="D13" s="20">
        <f>'Tishman Electric'!B12</f>
        <v>5324000</v>
      </c>
      <c r="E13" s="20">
        <f>'Tishman Steam'!C11*B13/SUM(B12:B13)</f>
        <v>13818.380398698064</v>
      </c>
      <c r="F13" s="20">
        <f>'Tishman Electric'!C12</f>
        <v>5498400</v>
      </c>
      <c r="G13" s="20">
        <f>'Tishman Steam'!D11*B13/SUM(B12:B13)</f>
        <v>11010.845999201838</v>
      </c>
      <c r="H13" s="20">
        <f>'Tishman Electric'!E12</f>
        <v>4960000</v>
      </c>
      <c r="I13" s="20">
        <f>'Tishman Steam'!E11*B13/SUM(B12:B13)</f>
        <v>11119.181994443956</v>
      </c>
      <c r="J13" s="49">
        <f>'Tishman Electric'!E12</f>
        <v>4960000</v>
      </c>
      <c r="K13" s="43">
        <f t="shared" si="0"/>
        <v>3351.08214</v>
      </c>
      <c r="L13" s="20">
        <f t="shared" si="1"/>
        <v>1794.3737700000001</v>
      </c>
      <c r="M13" s="44">
        <f t="shared" si="2"/>
        <v>554.55259999999998</v>
      </c>
      <c r="N13" t="s">
        <v>16</v>
      </c>
      <c r="O13" s="94"/>
      <c r="P13" s="19"/>
      <c r="BB13" s="15"/>
      <c r="BC13" s="15"/>
    </row>
    <row r="14" spans="1:55" ht="15.75" thickBot="1" x14ac:dyDescent="0.3">
      <c r="A14" t="s">
        <v>194</v>
      </c>
      <c r="B14" s="92">
        <v>647524</v>
      </c>
      <c r="C14" s="46">
        <f>'radio city'!M5</f>
        <v>14087.370000000003</v>
      </c>
      <c r="D14" s="46">
        <f>'radio city'!L5</f>
        <v>5743840</v>
      </c>
      <c r="E14" s="46">
        <f>'radio city'!M4</f>
        <v>14294.059999999998</v>
      </c>
      <c r="F14" s="46">
        <f>'radio city'!L4</f>
        <v>5274720</v>
      </c>
      <c r="G14" s="46">
        <f>'radio city'!M3</f>
        <v>7729.9000000000005</v>
      </c>
      <c r="H14" s="46">
        <f>'radio city'!L3</f>
        <v>2991200</v>
      </c>
      <c r="I14" s="46">
        <f>'radio city'!M2</f>
        <v>12254.593333333334</v>
      </c>
      <c r="J14" s="52">
        <f>'radio city'!L2</f>
        <v>3872000</v>
      </c>
      <c r="K14" s="45">
        <f t="shared" ref="K14" si="3">B14*lim_24</f>
        <v>5478.0530400000007</v>
      </c>
      <c r="L14" s="46">
        <f t="shared" ref="L14" si="4">B14*lim_30</f>
        <v>2933.2837199999999</v>
      </c>
      <c r="M14" s="47">
        <f t="shared" ref="M14" si="5">B14*lim_50</f>
        <v>906.53359999999998</v>
      </c>
      <c r="N14" t="s">
        <v>66</v>
      </c>
      <c r="O14" s="94"/>
      <c r="P14" s="19"/>
      <c r="BB14" s="15"/>
      <c r="BC14" s="15"/>
    </row>
    <row r="15" spans="1:55" x14ac:dyDescent="0.25">
      <c r="M15" s="1"/>
      <c r="O15" s="94"/>
      <c r="P15" s="19"/>
      <c r="BB15" s="15"/>
      <c r="BC15" s="15"/>
    </row>
    <row r="16" spans="1:55" x14ac:dyDescent="0.25">
      <c r="A16" t="s">
        <v>71</v>
      </c>
      <c r="B16" s="9">
        <f t="shared" ref="B16:M16" si="6">SUM(B4:B14)</f>
        <v>8061543</v>
      </c>
      <c r="C16" s="9">
        <f t="shared" si="6"/>
        <v>363006.00999999995</v>
      </c>
      <c r="D16" s="9">
        <f t="shared" si="6"/>
        <v>172688964</v>
      </c>
      <c r="E16" s="9">
        <f t="shared" si="6"/>
        <v>328944.65999999997</v>
      </c>
      <c r="F16" s="9">
        <f t="shared" si="6"/>
        <v>170200006</v>
      </c>
      <c r="G16" s="9">
        <f t="shared" si="6"/>
        <v>266992.99</v>
      </c>
      <c r="H16" s="9">
        <f t="shared" si="6"/>
        <v>140071810</v>
      </c>
      <c r="I16" s="9">
        <f t="shared" si="6"/>
        <v>265329.34333333332</v>
      </c>
      <c r="J16" s="9">
        <f t="shared" si="6"/>
        <v>135600520</v>
      </c>
      <c r="K16" s="9">
        <f t="shared" si="6"/>
        <v>68200.653779999993</v>
      </c>
      <c r="L16" s="9">
        <f t="shared" si="6"/>
        <v>36518.789789999995</v>
      </c>
      <c r="M16" s="9">
        <f t="shared" si="6"/>
        <v>11286.1602</v>
      </c>
      <c r="N16" t="s">
        <v>71</v>
      </c>
      <c r="O16" s="21"/>
      <c r="P16" s="19"/>
      <c r="BB16" s="15"/>
      <c r="BC16" s="15"/>
    </row>
    <row r="17" spans="1:55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O17" s="94"/>
      <c r="P17" s="19"/>
      <c r="BB17" s="15"/>
      <c r="BC17" s="15"/>
    </row>
    <row r="18" spans="1:55" ht="15.75" thickBot="1" x14ac:dyDescent="0.3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O18" s="21"/>
      <c r="P18" s="19"/>
      <c r="BB18" s="15"/>
      <c r="BC18" s="15"/>
    </row>
    <row r="19" spans="1:55" ht="15.75" thickBot="1" x14ac:dyDescent="0.3">
      <c r="B19" s="106" t="s">
        <v>207</v>
      </c>
      <c r="C19" s="107"/>
      <c r="D19" s="107"/>
      <c r="E19" s="108"/>
      <c r="F19" s="106" t="s">
        <v>86</v>
      </c>
      <c r="G19" s="107"/>
      <c r="H19" s="108"/>
      <c r="L19" s="19"/>
      <c r="M19" s="9"/>
      <c r="O19" s="21"/>
      <c r="P19" s="19"/>
      <c r="BB19" s="15"/>
      <c r="BC19" s="15"/>
    </row>
    <row r="20" spans="1:55" ht="30.75" thickBot="1" x14ac:dyDescent="0.3">
      <c r="B20" s="67" t="s">
        <v>195</v>
      </c>
      <c r="C20" s="68" t="s">
        <v>196</v>
      </c>
      <c r="D20" s="68" t="s">
        <v>205</v>
      </c>
      <c r="E20" s="69" t="s">
        <v>206</v>
      </c>
      <c r="F20" s="88" t="s">
        <v>80</v>
      </c>
      <c r="G20" s="89" t="s">
        <v>81</v>
      </c>
      <c r="H20" s="90" t="s">
        <v>82</v>
      </c>
      <c r="I20" s="68" t="s">
        <v>64</v>
      </c>
      <c r="J20" s="68" t="s">
        <v>65</v>
      </c>
      <c r="K20" s="69" t="s">
        <v>67</v>
      </c>
      <c r="L20" s="19"/>
      <c r="M20" s="9"/>
      <c r="O20" s="21"/>
      <c r="P20" s="19"/>
      <c r="BB20" s="15"/>
      <c r="BC20" s="15"/>
    </row>
    <row r="21" spans="1:55" x14ac:dyDescent="0.25">
      <c r="A21" t="s">
        <v>3</v>
      </c>
      <c r="B21" s="24">
        <f t="shared" ref="B21:B31" si="7">(I4*steam*kbtu_mlb)</f>
        <v>701.96394216420003</v>
      </c>
      <c r="C21" s="25">
        <f t="shared" ref="C21:C31" si="8">J4*elec</f>
        <v>1150.9934383999998</v>
      </c>
      <c r="D21" s="25">
        <f t="shared" ref="D21:D30" si="9">C21*grid_2030</f>
        <v>920.79475071999991</v>
      </c>
      <c r="E21" s="38">
        <f t="shared" ref="E21:E30" si="10">C21*grid_2050</f>
        <v>115.09934383999999</v>
      </c>
      <c r="F21" s="41">
        <f>IF(SUM(B21:C21)&lt;K4,0,(SUM(B21:C21)-K4)/SUM(B21:C21))</f>
        <v>0</v>
      </c>
      <c r="G21" s="26">
        <f>IF(SUM(B21,D21)&lt;L4,0,(SUM(B21,D21)-L4)/SUM(B21,D21))</f>
        <v>0</v>
      </c>
      <c r="H21" s="27">
        <f>IF( SUM(B21,E21)&lt;M4, 0, (SUM(B21,E21)-M4)/SUM(B21,E21))</f>
        <v>0.29824481185040963</v>
      </c>
      <c r="I21" s="53">
        <f t="shared" ref="I21:I31" si="11">IF((K4&gt;SUM(B21:C21)),0, (SUM(B21:C21)-K4)*fine)</f>
        <v>0</v>
      </c>
      <c r="J21" s="36">
        <f t="shared" ref="J21:J31" si="12">IF((L4&gt;SUM(B21,D21)),0,(SUM(B21,D21)-L4)*fine)</f>
        <v>0</v>
      </c>
      <c r="K21" s="37">
        <f t="shared" ref="K21:K31" si="13">IF((M4&gt;SUM(B21,E21)),0,(SUM(B21,E21)-M4)*fine)</f>
        <v>65307.54944912561</v>
      </c>
      <c r="L21" s="19" t="s">
        <v>3</v>
      </c>
      <c r="M21" s="9"/>
      <c r="BB21" s="15"/>
      <c r="BC21" s="15"/>
    </row>
    <row r="22" spans="1:55" x14ac:dyDescent="0.25">
      <c r="A22" t="s">
        <v>4</v>
      </c>
      <c r="B22" s="24">
        <f t="shared" si="7"/>
        <v>558.16846860359999</v>
      </c>
      <c r="C22" s="25">
        <f t="shared" si="8"/>
        <v>2066.1938848</v>
      </c>
      <c r="D22" s="25">
        <f t="shared" si="9"/>
        <v>1652.95510784</v>
      </c>
      <c r="E22" s="38">
        <f t="shared" si="10"/>
        <v>206.61938848</v>
      </c>
      <c r="F22" s="41">
        <f t="shared" ref="F22:F31" si="14">IF(SUM(B22:C22)&lt;K5,0,(SUM(B22:C22)-K5)/SUM(B22:C22))</f>
        <v>0</v>
      </c>
      <c r="G22" s="26">
        <f t="shared" ref="G22:G31" si="15">IF(SUM(B22,D22)&lt;L5,0,(SUM(B22,D22)-L5)/SUM(B22,D22))</f>
        <v>0</v>
      </c>
      <c r="H22" s="27">
        <f t="shared" ref="H22:H31" si="16">IF( SUM(B22,E22)&lt;M5, 0, (SUM(B22,E22)-M5)/SUM(B22,E22))</f>
        <v>0</v>
      </c>
      <c r="I22" s="54">
        <f t="shared" si="11"/>
        <v>0</v>
      </c>
      <c r="J22" s="32">
        <f t="shared" si="12"/>
        <v>0</v>
      </c>
      <c r="K22" s="34">
        <f t="shared" si="13"/>
        <v>0</v>
      </c>
      <c r="L22" s="19" t="s">
        <v>4</v>
      </c>
      <c r="M22" s="9"/>
      <c r="BB22" s="15"/>
      <c r="BC22" s="15"/>
    </row>
    <row r="23" spans="1:55" x14ac:dyDescent="0.25">
      <c r="A23" s="15" t="s">
        <v>5</v>
      </c>
      <c r="B23" s="24">
        <f t="shared" si="7"/>
        <v>6057.7752049679993</v>
      </c>
      <c r="C23" s="25">
        <f t="shared" si="8"/>
        <v>24663.149428079996</v>
      </c>
      <c r="D23" s="25">
        <f t="shared" si="9"/>
        <v>19730.519542463997</v>
      </c>
      <c r="E23" s="38">
        <f t="shared" si="10"/>
        <v>2466.3149428079996</v>
      </c>
      <c r="F23" s="41">
        <f t="shared" si="14"/>
        <v>0.19821441397949996</v>
      </c>
      <c r="G23" s="26">
        <f t="shared" si="15"/>
        <v>0.48855640866624617</v>
      </c>
      <c r="H23" s="27">
        <f t="shared" si="16"/>
        <v>0.52180815437956152</v>
      </c>
      <c r="I23" s="54">
        <f t="shared" si="11"/>
        <v>1631940.4595768622</v>
      </c>
      <c r="J23" s="32">
        <f t="shared" si="12"/>
        <v>3376541.8268717751</v>
      </c>
      <c r="K23" s="34">
        <f t="shared" si="13"/>
        <v>1192047.8524039674</v>
      </c>
      <c r="L23" s="21" t="s">
        <v>5</v>
      </c>
      <c r="M23" s="9"/>
      <c r="BB23" s="15"/>
      <c r="BC23" s="15"/>
    </row>
    <row r="24" spans="1:55" x14ac:dyDescent="0.25">
      <c r="A24" s="15" t="s">
        <v>6</v>
      </c>
      <c r="B24" s="24">
        <f t="shared" si="7"/>
        <v>2514.0429097439996</v>
      </c>
      <c r="C24" s="25">
        <f t="shared" si="8"/>
        <v>4264.6167808</v>
      </c>
      <c r="D24" s="25">
        <f t="shared" si="9"/>
        <v>3411.6934246400001</v>
      </c>
      <c r="E24" s="38">
        <f t="shared" si="10"/>
        <v>426.46167808000001</v>
      </c>
      <c r="F24" s="41">
        <f t="shared" si="14"/>
        <v>0</v>
      </c>
      <c r="G24" s="26">
        <f t="shared" si="15"/>
        <v>6.9561884147997549E-2</v>
      </c>
      <c r="H24" s="27">
        <f t="shared" si="16"/>
        <v>0.42052088370964025</v>
      </c>
      <c r="I24" s="54">
        <f t="shared" si="11"/>
        <v>0</v>
      </c>
      <c r="J24" s="32">
        <f t="shared" si="12"/>
        <v>110471.04301491185</v>
      </c>
      <c r="K24" s="34">
        <f t="shared" si="13"/>
        <v>331393.68153683195</v>
      </c>
      <c r="L24" s="21" t="s">
        <v>6</v>
      </c>
      <c r="M24" s="9"/>
      <c r="BB24" s="15"/>
      <c r="BC24" s="15"/>
    </row>
    <row r="25" spans="1:55" x14ac:dyDescent="0.25">
      <c r="A25" t="s">
        <v>7</v>
      </c>
      <c r="B25" s="24">
        <f t="shared" si="7"/>
        <v>345.45504866159996</v>
      </c>
      <c r="C25" s="25">
        <f t="shared" si="8"/>
        <v>374.72592159999999</v>
      </c>
      <c r="D25" s="25">
        <f t="shared" si="9"/>
        <v>299.78073727999998</v>
      </c>
      <c r="E25" s="38">
        <f t="shared" si="10"/>
        <v>37.472592159999998</v>
      </c>
      <c r="F25" s="41">
        <f t="shared" si="14"/>
        <v>0</v>
      </c>
      <c r="G25" s="26">
        <f t="shared" si="15"/>
        <v>0.21999439435066862</v>
      </c>
      <c r="H25" s="27">
        <f t="shared" si="16"/>
        <v>0.59380994365861317</v>
      </c>
      <c r="I25" s="54">
        <f t="shared" si="11"/>
        <v>0</v>
      </c>
      <c r="J25" s="32">
        <f t="shared" si="12"/>
        <v>38042.132592348782</v>
      </c>
      <c r="K25" s="34">
        <f t="shared" si="13"/>
        <v>60939.512540188778</v>
      </c>
      <c r="L25" s="19" t="s">
        <v>7</v>
      </c>
      <c r="M25" s="9"/>
      <c r="BB25" s="15"/>
      <c r="BC25" s="15"/>
    </row>
    <row r="26" spans="1:55" x14ac:dyDescent="0.25">
      <c r="A26" t="s">
        <v>8</v>
      </c>
      <c r="B26" s="24">
        <f t="shared" si="7"/>
        <v>799.1626717769999</v>
      </c>
      <c r="C26" s="25">
        <f t="shared" si="8"/>
        <v>948.25769919999993</v>
      </c>
      <c r="D26" s="25">
        <f t="shared" si="9"/>
        <v>758.60615935999999</v>
      </c>
      <c r="E26" s="38">
        <f t="shared" si="10"/>
        <v>94.825769919999999</v>
      </c>
      <c r="F26" s="41">
        <f t="shared" si="14"/>
        <v>0</v>
      </c>
      <c r="G26" s="26">
        <f t="shared" si="15"/>
        <v>0</v>
      </c>
      <c r="H26" s="27">
        <f t="shared" si="16"/>
        <v>0.26004971748370215</v>
      </c>
      <c r="I26" s="54">
        <f t="shared" si="11"/>
        <v>0</v>
      </c>
      <c r="J26" s="32">
        <f t="shared" si="12"/>
        <v>0</v>
      </c>
      <c r="K26" s="34">
        <f t="shared" si="13"/>
        <v>62305.026374795976</v>
      </c>
      <c r="L26" s="19" t="s">
        <v>8</v>
      </c>
      <c r="M26" s="9"/>
      <c r="BB26" s="15"/>
      <c r="BC26" s="15"/>
    </row>
    <row r="27" spans="1:55" x14ac:dyDescent="0.25">
      <c r="A27" t="s">
        <v>9</v>
      </c>
      <c r="B27" s="24">
        <f t="shared" si="7"/>
        <v>213.58624719539998</v>
      </c>
      <c r="C27" s="25">
        <f t="shared" si="8"/>
        <v>676.8877057599999</v>
      </c>
      <c r="D27" s="25">
        <f t="shared" si="9"/>
        <v>541.51016460799997</v>
      </c>
      <c r="E27" s="38">
        <f t="shared" si="10"/>
        <v>67.688770575999996</v>
      </c>
      <c r="F27" s="41">
        <f t="shared" si="14"/>
        <v>0</v>
      </c>
      <c r="G27" s="26">
        <f t="shared" si="15"/>
        <v>0.11460306319920759</v>
      </c>
      <c r="H27" s="27">
        <f t="shared" si="16"/>
        <v>0.2654200090819121</v>
      </c>
      <c r="I27" s="54">
        <f t="shared" si="11"/>
        <v>0</v>
      </c>
      <c r="J27" s="32">
        <f t="shared" si="12"/>
        <v>23191.744963311179</v>
      </c>
      <c r="K27" s="34">
        <f t="shared" si="13"/>
        <v>20007.812762735193</v>
      </c>
      <c r="L27" s="19" t="s">
        <v>9</v>
      </c>
      <c r="M27" s="9"/>
      <c r="BB27" s="15"/>
      <c r="BC27" s="15"/>
    </row>
    <row r="28" spans="1:55" x14ac:dyDescent="0.25">
      <c r="A28" t="s">
        <v>10</v>
      </c>
      <c r="B28" s="24">
        <f t="shared" si="7"/>
        <v>933.62635057859984</v>
      </c>
      <c r="C28" s="25">
        <f t="shared" si="8"/>
        <v>929.76413119999995</v>
      </c>
      <c r="D28" s="25">
        <f t="shared" si="9"/>
        <v>743.81130496000003</v>
      </c>
      <c r="E28" s="38">
        <f t="shared" si="10"/>
        <v>92.976413120000004</v>
      </c>
      <c r="F28" s="41">
        <f t="shared" si="14"/>
        <v>0</v>
      </c>
      <c r="G28" s="26">
        <f t="shared" si="15"/>
        <v>0</v>
      </c>
      <c r="H28" s="27">
        <f t="shared" si="16"/>
        <v>0.38729231768884059</v>
      </c>
      <c r="I28" s="54">
        <f t="shared" si="11"/>
        <v>0</v>
      </c>
      <c r="J28" s="32">
        <f t="shared" si="12"/>
        <v>0</v>
      </c>
      <c r="K28" s="34">
        <f t="shared" si="13"/>
        <v>106555.55747122476</v>
      </c>
      <c r="L28" s="19" t="s">
        <v>10</v>
      </c>
      <c r="M28" s="9"/>
      <c r="BB28" s="15"/>
      <c r="BC28" s="15"/>
    </row>
    <row r="29" spans="1:55" x14ac:dyDescent="0.25">
      <c r="A29" t="s">
        <v>15</v>
      </c>
      <c r="B29" s="24">
        <f t="shared" si="7"/>
        <v>856.2691788722218</v>
      </c>
      <c r="C29" s="25">
        <f t="shared" si="8"/>
        <v>1556.6960863999998</v>
      </c>
      <c r="D29" s="25">
        <f t="shared" si="9"/>
        <v>1245.3568691199998</v>
      </c>
      <c r="E29" s="38">
        <f t="shared" si="10"/>
        <v>155.66960863999998</v>
      </c>
      <c r="F29" s="41">
        <f t="shared" si="14"/>
        <v>0</v>
      </c>
      <c r="G29" s="26">
        <f t="shared" si="15"/>
        <v>0</v>
      </c>
      <c r="H29" s="27">
        <f t="shared" si="16"/>
        <v>0.21334332686562263</v>
      </c>
      <c r="I29" s="54">
        <f t="shared" si="11"/>
        <v>0</v>
      </c>
      <c r="J29" s="32">
        <f t="shared" si="12"/>
        <v>0</v>
      </c>
      <c r="K29" s="34">
        <f t="shared" si="13"/>
        <v>57858.623853275436</v>
      </c>
      <c r="L29" s="19" t="s">
        <v>15</v>
      </c>
      <c r="M29" s="9"/>
      <c r="BB29" s="15"/>
      <c r="BC29" s="15"/>
    </row>
    <row r="30" spans="1:55" x14ac:dyDescent="0.25">
      <c r="A30" t="s">
        <v>16</v>
      </c>
      <c r="B30" s="24">
        <f t="shared" si="7"/>
        <v>596.50430733037808</v>
      </c>
      <c r="C30" s="25">
        <f t="shared" si="8"/>
        <v>1433.2515199999998</v>
      </c>
      <c r="D30" s="25">
        <f t="shared" si="9"/>
        <v>1146.6012159999998</v>
      </c>
      <c r="E30" s="38">
        <f t="shared" si="10"/>
        <v>143.32515199999997</v>
      </c>
      <c r="F30" s="41">
        <f t="shared" si="14"/>
        <v>0</v>
      </c>
      <c r="G30" s="26">
        <f t="shared" si="15"/>
        <v>0</v>
      </c>
      <c r="H30" s="27">
        <f t="shared" si="16"/>
        <v>0.2504318488453714</v>
      </c>
      <c r="I30" s="54">
        <f t="shared" si="11"/>
        <v>0</v>
      </c>
      <c r="J30" s="32">
        <f t="shared" si="12"/>
        <v>0</v>
      </c>
      <c r="K30" s="34">
        <f t="shared" si="13"/>
        <v>49654.198300541335</v>
      </c>
      <c r="L30" s="19" t="s">
        <v>16</v>
      </c>
      <c r="M30" s="9"/>
      <c r="BB30" s="15"/>
      <c r="BC30" s="15"/>
    </row>
    <row r="31" spans="1:55" ht="15.75" thickBot="1" x14ac:dyDescent="0.3">
      <c r="A31" t="s">
        <v>194</v>
      </c>
      <c r="B31" s="28">
        <f t="shared" si="7"/>
        <v>657.41506088920005</v>
      </c>
      <c r="C31" s="29">
        <f t="shared" si="8"/>
        <v>1118.860864</v>
      </c>
      <c r="D31" s="29">
        <f t="shared" ref="D31" si="17">C31*grid_2030</f>
        <v>895.08869120000008</v>
      </c>
      <c r="E31" s="39">
        <f t="shared" ref="E31" si="18">C31*grid_2050</f>
        <v>111.88608640000001</v>
      </c>
      <c r="F31" s="42">
        <f t="shared" si="14"/>
        <v>0</v>
      </c>
      <c r="G31" s="30">
        <f t="shared" si="15"/>
        <v>0</v>
      </c>
      <c r="H31" s="31">
        <f t="shared" si="16"/>
        <v>0</v>
      </c>
      <c r="I31" s="55">
        <f t="shared" si="11"/>
        <v>0</v>
      </c>
      <c r="J31" s="33">
        <f t="shared" si="12"/>
        <v>0</v>
      </c>
      <c r="K31" s="35">
        <f t="shared" si="13"/>
        <v>0</v>
      </c>
      <c r="L31" s="19"/>
      <c r="M31" s="9"/>
      <c r="BB31" s="15"/>
      <c r="BC31" s="15"/>
    </row>
    <row r="32" spans="1:55" x14ac:dyDescent="0.25">
      <c r="B32" s="19"/>
      <c r="C32" s="19"/>
      <c r="D32" s="19"/>
      <c r="E32" s="19"/>
      <c r="F32" s="19"/>
      <c r="G32" s="19"/>
      <c r="H32" s="19"/>
      <c r="I32" s="112">
        <f>SUM(I21:I31)</f>
        <v>1631940.4595768622</v>
      </c>
      <c r="J32" s="105">
        <f>SUM(J21:J31)</f>
        <v>3548246.747442347</v>
      </c>
      <c r="K32" s="105">
        <f>SUM(K21:K31)</f>
        <v>1946069.8146926863</v>
      </c>
      <c r="L32" s="21" t="s">
        <v>211</v>
      </c>
    </row>
    <row r="33" spans="1:55" x14ac:dyDescent="0.25">
      <c r="A33" t="s">
        <v>71</v>
      </c>
      <c r="B33" s="25">
        <f>(I16*steam*kbtu_mlb)</f>
        <v>14233.969390784197</v>
      </c>
      <c r="C33" s="25">
        <f>J16*elec</f>
        <v>39183.397460239998</v>
      </c>
      <c r="D33" s="25">
        <f>C33*grid_2030</f>
        <v>31346.717968191999</v>
      </c>
      <c r="E33" s="25">
        <f>C33*grid_2050</f>
        <v>3918.3397460239999</v>
      </c>
      <c r="F33" s="26">
        <f t="shared" ref="F33" si="19">IF(SUM(B33:C33)&lt;K16,0,(SUM(B33:C33)-K16)/SUM(B33:C33))</f>
        <v>0</v>
      </c>
      <c r="G33" s="26">
        <f t="shared" ref="G33" si="20">IF(SUM(B33,D33)&lt;L16,0,(SUM(B33,D33)-L16)/SUM(B33,D33))</f>
        <v>0.1988100244651454</v>
      </c>
      <c r="H33" s="26">
        <f t="shared" ref="H33" si="21">IF( SUM(B33,E33)&lt;M16, 0, (SUM(B33,E33)-M16)/SUM(B33,E33))</f>
        <v>0.37825209371767587</v>
      </c>
      <c r="I33" s="113">
        <f>IF((K16&gt;SUM(B33:C33)),0, (SUM(B33:C33)-K16)*fine)</f>
        <v>0</v>
      </c>
      <c r="J33" s="71">
        <f>IF((L16&gt;SUM(B33,D33)),0,(SUM(B33,D33)-L16)*fine)</f>
        <v>2428588.5484856218</v>
      </c>
      <c r="K33" s="71">
        <f>IF((M16&gt;SUM(B33,E33)),0,(SUM(B33,E33)-M16)*fine)</f>
        <v>1840127.9150645973</v>
      </c>
      <c r="L33" s="19" t="s">
        <v>212</v>
      </c>
      <c r="M33" s="9"/>
      <c r="BB33" s="15"/>
      <c r="BC33" s="15"/>
    </row>
    <row r="34" spans="1:55" ht="15.75" thickBot="1" x14ac:dyDescent="0.3"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9"/>
      <c r="BB34" s="15"/>
      <c r="BC34" s="15"/>
    </row>
    <row r="35" spans="1:55" ht="15.75" thickBot="1" x14ac:dyDescent="0.3">
      <c r="A35" s="23"/>
      <c r="B35" s="106" t="s">
        <v>208</v>
      </c>
      <c r="C35" s="107"/>
      <c r="D35" s="107"/>
      <c r="E35" s="108"/>
      <c r="F35" s="106" t="s">
        <v>86</v>
      </c>
      <c r="G35" s="107"/>
      <c r="H35" s="108"/>
      <c r="L35" s="19"/>
      <c r="M35" s="9"/>
      <c r="BB35" s="15"/>
      <c r="BC35" s="15"/>
    </row>
    <row r="36" spans="1:55" ht="30.75" thickBot="1" x14ac:dyDescent="0.3">
      <c r="A36" s="23"/>
      <c r="B36" s="96" t="s">
        <v>62</v>
      </c>
      <c r="C36" s="97" t="s">
        <v>63</v>
      </c>
      <c r="D36" s="97" t="s">
        <v>69</v>
      </c>
      <c r="E36" s="99" t="s">
        <v>70</v>
      </c>
      <c r="F36" s="100" t="s">
        <v>80</v>
      </c>
      <c r="G36" s="98" t="s">
        <v>81</v>
      </c>
      <c r="H36" s="104" t="s">
        <v>82</v>
      </c>
      <c r="I36" s="97" t="s">
        <v>64</v>
      </c>
      <c r="J36" s="97" t="s">
        <v>65</v>
      </c>
      <c r="K36" s="99" t="s">
        <v>67</v>
      </c>
      <c r="L36" s="19"/>
      <c r="M36" s="9"/>
      <c r="BB36" s="15"/>
      <c r="BC36" s="15"/>
    </row>
    <row r="37" spans="1:55" x14ac:dyDescent="0.25">
      <c r="A37" t="s">
        <v>3</v>
      </c>
      <c r="B37" s="24">
        <f t="shared" ref="B37:B47" si="22">(G4*steam*kbtu_mlb)</f>
        <v>660.24419425860003</v>
      </c>
      <c r="C37" s="25">
        <f t="shared" ref="C37:C47" si="23">H4*elec</f>
        <v>1122.7907471999999</v>
      </c>
      <c r="D37" s="25">
        <f t="shared" ref="D37:D46" si="24">C37*grid_2030</f>
        <v>898.23259775999998</v>
      </c>
      <c r="E37" s="38">
        <f t="shared" ref="E37:E46" si="25">C37*grid_2050</f>
        <v>112.27907472</v>
      </c>
      <c r="F37" s="41">
        <f>IF(SUM(B37:C37)&lt;K4,0,(SUM(B37:C37)-K4)/SUM(B37:C37))</f>
        <v>0</v>
      </c>
      <c r="G37" s="26">
        <f>IF(SUM(B37,D37)&lt;L4,0,(SUM(B37,D37)-L4)/SUM(B37,D37))</f>
        <v>0</v>
      </c>
      <c r="H37" s="27">
        <f>IF( SUM(B37,E37)&lt;M4, 0, (SUM(B37,E37)-M4)/SUM(B37,E37))</f>
        <v>0.25778494574267213</v>
      </c>
      <c r="I37" s="53">
        <f t="shared" ref="I37:I47" si="26">IF((K4&gt;SUM(B37:C37)),0, (SUM(B37:C37)-K4)*fine)</f>
        <v>0</v>
      </c>
      <c r="J37" s="36">
        <f t="shared" ref="J37:J47" si="27">IF((L4&gt;SUM(B37,D37)),0,(SUM(B37,D37)-L4)*fine)</f>
        <v>0</v>
      </c>
      <c r="K37" s="37">
        <f t="shared" ref="K37:K47" si="28">IF((M4&gt;SUM(B37,E37)),0,(SUM(B37,E37)-M4)*fine)</f>
        <v>53370.824886264832</v>
      </c>
      <c r="L37" s="19" t="s">
        <v>3</v>
      </c>
      <c r="M37" s="9"/>
      <c r="BB37" s="15"/>
      <c r="BC37" s="15"/>
    </row>
    <row r="38" spans="1:55" x14ac:dyDescent="0.25">
      <c r="A38" s="15" t="s">
        <v>4</v>
      </c>
      <c r="B38" s="24">
        <f t="shared" si="22"/>
        <v>581.05564076819996</v>
      </c>
      <c r="C38" s="25">
        <f t="shared" si="23"/>
        <v>1982.2793199999999</v>
      </c>
      <c r="D38" s="25">
        <f t="shared" si="24"/>
        <v>1585.8234560000001</v>
      </c>
      <c r="E38" s="38">
        <f t="shared" si="25"/>
        <v>198.22793200000001</v>
      </c>
      <c r="F38" s="41">
        <f t="shared" ref="F38:F47" si="29">IF(SUM(B38:C38)&lt;K5,0,(SUM(B38:C38)-K5)/SUM(B38:C38))</f>
        <v>0</v>
      </c>
      <c r="G38" s="26">
        <f t="shared" ref="G38:G47" si="30">IF(SUM(B38,D38)&lt;L5,0,(SUM(B38,D38)-L5)/SUM(B38,D38))</f>
        <v>0</v>
      </c>
      <c r="H38" s="27">
        <f t="shared" ref="H38:H47" si="31">IF( SUM(B38,E38)&lt;M5, 0, (SUM(B38,E38)-M5)/SUM(B38,E38))</f>
        <v>0</v>
      </c>
      <c r="I38" s="54">
        <f t="shared" si="26"/>
        <v>0</v>
      </c>
      <c r="J38" s="32">
        <f t="shared" si="27"/>
        <v>0</v>
      </c>
      <c r="K38" s="34">
        <f t="shared" si="28"/>
        <v>0</v>
      </c>
      <c r="L38" s="21" t="s">
        <v>4</v>
      </c>
      <c r="M38" s="9"/>
      <c r="BB38" s="15"/>
      <c r="BC38" s="15"/>
    </row>
    <row r="39" spans="1:55" x14ac:dyDescent="0.25">
      <c r="A39" s="15" t="s">
        <v>5</v>
      </c>
      <c r="B39" s="24">
        <f t="shared" si="22"/>
        <v>6282.5274180221986</v>
      </c>
      <c r="C39" s="25">
        <f t="shared" si="23"/>
        <v>25765.646374019998</v>
      </c>
      <c r="D39" s="25">
        <f t="shared" si="24"/>
        <v>20612.517099215998</v>
      </c>
      <c r="E39" s="38">
        <f t="shared" si="25"/>
        <v>2576.5646374019998</v>
      </c>
      <c r="F39" s="41">
        <f t="shared" si="29"/>
        <v>0.23141971458866048</v>
      </c>
      <c r="G39" s="26">
        <f t="shared" si="30"/>
        <v>0.50960266782431107</v>
      </c>
      <c r="H39" s="27">
        <f t="shared" si="31"/>
        <v>0.53989072757131173</v>
      </c>
      <c r="I39" s="54">
        <f t="shared" si="26"/>
        <v>1987643.2341873078</v>
      </c>
      <c r="J39" s="32">
        <f t="shared" si="27"/>
        <v>3673150.7651798362</v>
      </c>
      <c r="K39" s="34">
        <f t="shared" si="28"/>
        <v>1281828.363653685</v>
      </c>
      <c r="L39" s="21" t="s">
        <v>5</v>
      </c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</row>
    <row r="40" spans="1:55" x14ac:dyDescent="0.25">
      <c r="A40" s="15" t="s">
        <v>6</v>
      </c>
      <c r="B40" s="24">
        <f t="shared" si="22"/>
        <v>2426.5965628230001</v>
      </c>
      <c r="C40" s="25">
        <f t="shared" si="23"/>
        <v>4292.1259631999992</v>
      </c>
      <c r="D40" s="25">
        <f t="shared" si="24"/>
        <v>3433.7007705599995</v>
      </c>
      <c r="E40" s="38">
        <f t="shared" si="25"/>
        <v>429.21259631999993</v>
      </c>
      <c r="F40" s="41">
        <f t="shared" si="29"/>
        <v>0</v>
      </c>
      <c r="G40" s="26">
        <f t="shared" si="30"/>
        <v>5.9172148383607681E-2</v>
      </c>
      <c r="H40" s="27">
        <f t="shared" si="31"/>
        <v>0.4033351302398156</v>
      </c>
      <c r="I40" s="54">
        <f t="shared" si="26"/>
        <v>0</v>
      </c>
      <c r="J40" s="32">
        <f t="shared" si="27"/>
        <v>92933.390746643796</v>
      </c>
      <c r="K40" s="34">
        <f t="shared" si="28"/>
        <v>308695.30665032403</v>
      </c>
      <c r="L40" s="21" t="s">
        <v>6</v>
      </c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</row>
    <row r="41" spans="1:55" x14ac:dyDescent="0.25">
      <c r="A41" s="15" t="s">
        <v>7</v>
      </c>
      <c r="B41" s="24">
        <f t="shared" si="22"/>
        <v>363.40943250719999</v>
      </c>
      <c r="C41" s="25">
        <f t="shared" si="23"/>
        <v>413.44682959999994</v>
      </c>
      <c r="D41" s="25">
        <f t="shared" si="24"/>
        <v>330.75746368</v>
      </c>
      <c r="E41" s="38">
        <f t="shared" si="25"/>
        <v>41.34468296</v>
      </c>
      <c r="F41" s="41">
        <f t="shared" si="29"/>
        <v>0</v>
      </c>
      <c r="G41" s="26">
        <f t="shared" si="30"/>
        <v>0.2749761869020681</v>
      </c>
      <c r="H41" s="27">
        <f t="shared" si="31"/>
        <v>0.61571385180244176</v>
      </c>
      <c r="I41" s="54">
        <f t="shared" si="26"/>
        <v>0</v>
      </c>
      <c r="J41" s="32">
        <f t="shared" si="27"/>
        <v>51155.670138169597</v>
      </c>
      <c r="K41" s="34">
        <f t="shared" si="28"/>
        <v>66789.007745209601</v>
      </c>
      <c r="L41" s="21" t="s">
        <v>7</v>
      </c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</row>
    <row r="42" spans="1:55" x14ac:dyDescent="0.25">
      <c r="A42" s="15" t="s">
        <v>8</v>
      </c>
      <c r="B42" s="24">
        <f t="shared" si="22"/>
        <v>953.9186454078</v>
      </c>
      <c r="C42" s="25">
        <f t="shared" si="23"/>
        <v>1398.8072496</v>
      </c>
      <c r="D42" s="25">
        <f t="shared" si="24"/>
        <v>1119.0457996800001</v>
      </c>
      <c r="E42" s="38">
        <f t="shared" si="25"/>
        <v>139.88072496000001</v>
      </c>
      <c r="F42" s="41">
        <f t="shared" si="29"/>
        <v>0</v>
      </c>
      <c r="G42" s="26">
        <f t="shared" si="30"/>
        <v>0</v>
      </c>
      <c r="H42" s="27">
        <f t="shared" si="31"/>
        <v>0.39522089889523143</v>
      </c>
      <c r="I42" s="54">
        <f t="shared" si="26"/>
        <v>0</v>
      </c>
      <c r="J42" s="32">
        <f t="shared" si="27"/>
        <v>0</v>
      </c>
      <c r="K42" s="34">
        <f t="shared" si="28"/>
        <v>115854.35525857043</v>
      </c>
      <c r="L42" s="21" t="s">
        <v>8</v>
      </c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</row>
    <row r="43" spans="1:55" x14ac:dyDescent="0.25">
      <c r="A43" s="15" t="s">
        <v>9</v>
      </c>
      <c r="B43" s="24">
        <f t="shared" si="22"/>
        <v>279.09979176359997</v>
      </c>
      <c r="C43" s="25">
        <f t="shared" si="23"/>
        <v>658.3710208</v>
      </c>
      <c r="D43" s="25">
        <f t="shared" si="24"/>
        <v>526.69681664000007</v>
      </c>
      <c r="E43" s="38">
        <f t="shared" si="25"/>
        <v>65.837102080000008</v>
      </c>
      <c r="F43" s="41">
        <f t="shared" si="29"/>
        <v>0</v>
      </c>
      <c r="G43" s="26">
        <f t="shared" si="30"/>
        <v>0.17031166050138319</v>
      </c>
      <c r="H43" s="27">
        <f t="shared" si="31"/>
        <v>0.40099477995043226</v>
      </c>
      <c r="I43" s="54">
        <f t="shared" si="26"/>
        <v>0</v>
      </c>
      <c r="J43" s="32">
        <f t="shared" si="27"/>
        <v>36779.397652164778</v>
      </c>
      <c r="K43" s="34">
        <f t="shared" si="28"/>
        <v>37069.195550084798</v>
      </c>
      <c r="L43" s="21" t="s">
        <v>9</v>
      </c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</row>
    <row r="44" spans="1:55" x14ac:dyDescent="0.25">
      <c r="A44" s="15" t="s">
        <v>10</v>
      </c>
      <c r="B44" s="24">
        <f t="shared" si="22"/>
        <v>923.06605280159999</v>
      </c>
      <c r="C44" s="25">
        <f t="shared" si="23"/>
        <v>987.67211599999996</v>
      </c>
      <c r="D44" s="25">
        <f t="shared" si="24"/>
        <v>790.13769279999997</v>
      </c>
      <c r="E44" s="38">
        <f t="shared" si="25"/>
        <v>98.767211599999996</v>
      </c>
      <c r="F44" s="41">
        <f t="shared" si="29"/>
        <v>0</v>
      </c>
      <c r="G44" s="26">
        <f t="shared" si="30"/>
        <v>0</v>
      </c>
      <c r="H44" s="27">
        <f t="shared" si="31"/>
        <v>0.38443244909593388</v>
      </c>
      <c r="I44" s="54">
        <f t="shared" si="26"/>
        <v>0</v>
      </c>
      <c r="J44" s="32">
        <f t="shared" si="27"/>
        <v>0</v>
      </c>
      <c r="K44" s="34">
        <f t="shared" si="28"/>
        <v>105277.33165962881</v>
      </c>
      <c r="L44" s="21" t="s">
        <v>10</v>
      </c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</row>
    <row r="45" spans="1:55" x14ac:dyDescent="0.25">
      <c r="A45" s="15" t="s">
        <v>15</v>
      </c>
      <c r="B45" s="24">
        <f t="shared" si="22"/>
        <v>847.9264092570985</v>
      </c>
      <c r="C45" s="25">
        <f t="shared" si="23"/>
        <v>1556.6960863999998</v>
      </c>
      <c r="D45" s="25">
        <f t="shared" si="24"/>
        <v>1245.3568691199998</v>
      </c>
      <c r="E45" s="38">
        <f t="shared" si="25"/>
        <v>155.66960863999998</v>
      </c>
      <c r="F45" s="41">
        <f t="shared" si="29"/>
        <v>0</v>
      </c>
      <c r="G45" s="26">
        <f t="shared" si="30"/>
        <v>0</v>
      </c>
      <c r="H45" s="27">
        <f t="shared" si="31"/>
        <v>0.20680394720177028</v>
      </c>
      <c r="I45" s="54">
        <f t="shared" si="26"/>
        <v>0</v>
      </c>
      <c r="J45" s="32">
        <f t="shared" si="27"/>
        <v>0</v>
      </c>
      <c r="K45" s="34">
        <f t="shared" si="28"/>
        <v>55622.761596422388</v>
      </c>
      <c r="L45" s="21" t="s">
        <v>15</v>
      </c>
    </row>
    <row r="46" spans="1:55" x14ac:dyDescent="0.25">
      <c r="A46" s="15" t="s">
        <v>16</v>
      </c>
      <c r="B46" s="24">
        <f t="shared" si="22"/>
        <v>590.69246902850148</v>
      </c>
      <c r="C46" s="25">
        <f t="shared" si="23"/>
        <v>1433.2515199999998</v>
      </c>
      <c r="D46" s="25">
        <f t="shared" si="24"/>
        <v>1146.6012159999998</v>
      </c>
      <c r="E46" s="38">
        <f t="shared" si="25"/>
        <v>143.32515199999997</v>
      </c>
      <c r="F46" s="41">
        <f t="shared" si="29"/>
        <v>0</v>
      </c>
      <c r="G46" s="26">
        <f t="shared" si="30"/>
        <v>0</v>
      </c>
      <c r="H46" s="27">
        <f t="shared" si="31"/>
        <v>0.24449688384460866</v>
      </c>
      <c r="I46" s="54">
        <f t="shared" si="26"/>
        <v>0</v>
      </c>
      <c r="J46" s="32">
        <f t="shared" si="27"/>
        <v>0</v>
      </c>
      <c r="K46" s="34">
        <f t="shared" si="28"/>
        <v>48096.625635638404</v>
      </c>
      <c r="L46" s="19" t="s">
        <v>16</v>
      </c>
    </row>
    <row r="47" spans="1:55" ht="15.75" thickBot="1" x14ac:dyDescent="0.3">
      <c r="A47" t="s">
        <v>194</v>
      </c>
      <c r="B47" s="28">
        <f t="shared" si="22"/>
        <v>414.68146195800006</v>
      </c>
      <c r="C47" s="29">
        <f t="shared" si="23"/>
        <v>864.34313439999994</v>
      </c>
      <c r="D47" s="29">
        <f t="shared" ref="D47" si="32">C47*grid_2030</f>
        <v>691.47450751999997</v>
      </c>
      <c r="E47" s="39">
        <f t="shared" ref="E47" si="33">C47*grid_2050</f>
        <v>86.434313439999997</v>
      </c>
      <c r="F47" s="42">
        <f t="shared" si="29"/>
        <v>0</v>
      </c>
      <c r="G47" s="30">
        <f t="shared" si="30"/>
        <v>0</v>
      </c>
      <c r="H47" s="31">
        <f t="shared" si="31"/>
        <v>0</v>
      </c>
      <c r="I47" s="55">
        <f t="shared" si="26"/>
        <v>0</v>
      </c>
      <c r="J47" s="33">
        <f t="shared" si="27"/>
        <v>0</v>
      </c>
      <c r="K47" s="35">
        <f t="shared" si="28"/>
        <v>0</v>
      </c>
      <c r="L47" s="19"/>
    </row>
    <row r="48" spans="1:55" x14ac:dyDescent="0.25">
      <c r="B48" s="19"/>
      <c r="C48" s="19"/>
      <c r="D48" s="19"/>
      <c r="E48" s="19"/>
      <c r="F48" s="19"/>
      <c r="G48" s="19"/>
      <c r="H48" s="19"/>
      <c r="I48" s="105">
        <f>SUM(I37:I47)</f>
        <v>1987643.2341873078</v>
      </c>
      <c r="J48" s="105">
        <f>SUM(J37:J47)</f>
        <v>3854019.2237168141</v>
      </c>
      <c r="K48" s="105">
        <f>SUM(K37:K47)</f>
        <v>2072603.7726358282</v>
      </c>
      <c r="L48" s="21" t="s">
        <v>211</v>
      </c>
    </row>
    <row r="49" spans="1:15" x14ac:dyDescent="0.25">
      <c r="A49" t="s">
        <v>71</v>
      </c>
      <c r="B49" s="25">
        <f>(G16*steam*kbtu_mlb)</f>
        <v>14323.218078595799</v>
      </c>
      <c r="C49" s="25">
        <f>H16*elec</f>
        <v>40475.430361219995</v>
      </c>
      <c r="D49" s="25">
        <f>C49*grid_2030</f>
        <v>32380.344288975997</v>
      </c>
      <c r="E49" s="25">
        <f>C49*grid_2050</f>
        <v>4047.5430361219996</v>
      </c>
      <c r="F49" s="26">
        <f t="shared" ref="F49" si="34">IF(SUM(B49:C49)&lt;K16,0,(SUM(B49:C49)-K16)/SUM(B49:C49))</f>
        <v>0</v>
      </c>
      <c r="G49" s="26">
        <f t="shared" ref="G49" si="35">IF(SUM(B49,D49)&lt;L16,0,(SUM(B49,D49)-L16)/SUM(B49,D49))</f>
        <v>0.21807271354194399</v>
      </c>
      <c r="H49" s="26">
        <f t="shared" ref="H49" si="36">IF( SUM(B49,E49)&lt;M16, 0, (SUM(B49,E49)-M16)/SUM(B49,E49))</f>
        <v>0.385645476008174</v>
      </c>
      <c r="I49" s="71">
        <f>IF((K16&gt;SUM(B49:C49)),0, (SUM(B49:C49)-K16)*fine)</f>
        <v>0</v>
      </c>
      <c r="J49" s="71">
        <f>IF((L16&gt;SUM(B49,D49)),0,(SUM(B49,D49)-L16)*fine)</f>
        <v>2729519.0507892421</v>
      </c>
      <c r="K49" s="71">
        <f>IF((M16&gt;SUM(B49,E49)),0,(SUM(B49,E49)-M16)*fine)</f>
        <v>1898673.0451443703</v>
      </c>
      <c r="L49" s="19" t="s">
        <v>212</v>
      </c>
    </row>
    <row r="50" spans="1:15" ht="15.75" thickBot="1" x14ac:dyDescent="0.3"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</row>
    <row r="51" spans="1:15" ht="15.75" thickBot="1" x14ac:dyDescent="0.3">
      <c r="A51" s="21"/>
      <c r="B51" s="106" t="s">
        <v>209</v>
      </c>
      <c r="C51" s="107"/>
      <c r="D51" s="107"/>
      <c r="E51" s="108"/>
      <c r="F51" s="101"/>
      <c r="G51" s="102" t="s">
        <v>86</v>
      </c>
      <c r="H51" s="103"/>
      <c r="L51" s="19"/>
    </row>
    <row r="52" spans="1:15" ht="30.75" thickBot="1" x14ac:dyDescent="0.3">
      <c r="A52" s="21"/>
      <c r="B52" s="67" t="s">
        <v>60</v>
      </c>
      <c r="C52" s="68" t="s">
        <v>61</v>
      </c>
      <c r="D52" s="68" t="s">
        <v>69</v>
      </c>
      <c r="E52" s="69" t="s">
        <v>70</v>
      </c>
      <c r="F52" s="88" t="s">
        <v>80</v>
      </c>
      <c r="G52" s="89" t="s">
        <v>81</v>
      </c>
      <c r="H52" s="90" t="s">
        <v>82</v>
      </c>
      <c r="I52" s="68" t="s">
        <v>64</v>
      </c>
      <c r="J52" s="68" t="s">
        <v>65</v>
      </c>
      <c r="K52" s="69" t="s">
        <v>67</v>
      </c>
      <c r="L52" s="19"/>
    </row>
    <row r="53" spans="1:15" x14ac:dyDescent="0.25">
      <c r="A53" s="15" t="s">
        <v>3</v>
      </c>
      <c r="B53" s="24">
        <f t="shared" ref="B53:B63" si="37">(E4*steam*kbtu_mlb)</f>
        <v>921.970056441</v>
      </c>
      <c r="C53" s="25">
        <f t="shared" ref="C53:C63" si="38">F4*elec</f>
        <v>1427.9346191999998</v>
      </c>
      <c r="D53" s="25">
        <f t="shared" ref="D53:D62" si="39">C53*grid_2030</f>
        <v>1142.34769536</v>
      </c>
      <c r="E53" s="38">
        <f t="shared" ref="E53:E62" si="40">C53*grid_2050</f>
        <v>142.79346192</v>
      </c>
      <c r="F53" s="41">
        <f>IF(SUM(B53:C53)&lt;K4,0,(SUM(B53:C53)-K4)/SUM(B53:C53))</f>
        <v>0</v>
      </c>
      <c r="G53" s="26">
        <f>IF(SUM(B53,D53)&lt;L4,0,(SUM(B53,D53)-L4)/SUM(B53,D53))</f>
        <v>0.10125818644858994</v>
      </c>
      <c r="H53" s="27">
        <f>IF( SUM(B53,E53)&lt;M4, 0, (SUM(B53,E53)-M4)/SUM(B53,E53))</f>
        <v>0.46149695203437618</v>
      </c>
      <c r="I53" s="32">
        <f t="shared" ref="I53:I63" si="41">IF((K4&gt;SUM(B53:C53)),0, (SUM(B53:C53)-K4)*fine)</f>
        <v>0</v>
      </c>
      <c r="J53" s="32">
        <f t="shared" ref="J53:J63" si="42">IF((L4&gt;SUM(B53,D53)),0,(SUM(B53,D53)-L4)*fine)</f>
        <v>56019.791242667903</v>
      </c>
      <c r="K53" s="71">
        <f t="shared" ref="K53:K63" si="43">IF((M4&gt;SUM(B53,E53)),0,(SUM(B53,E53)-M4)*fine)</f>
        <v>131691.21172074802</v>
      </c>
      <c r="L53" s="19" t="s">
        <v>3</v>
      </c>
    </row>
    <row r="54" spans="1:15" x14ac:dyDescent="0.25">
      <c r="A54" s="15" t="s">
        <v>4</v>
      </c>
      <c r="B54" s="24">
        <f t="shared" si="37"/>
        <v>744.06511611600001</v>
      </c>
      <c r="C54" s="25">
        <f t="shared" si="38"/>
        <v>2410.1742495999997</v>
      </c>
      <c r="D54" s="25">
        <f t="shared" si="39"/>
        <v>1928.1393996799998</v>
      </c>
      <c r="E54" s="38">
        <f t="shared" si="40"/>
        <v>241.01742495999997</v>
      </c>
      <c r="F54" s="41">
        <f t="shared" ref="F54:F63" si="44">IF(SUM(B54:C54)&lt;K5,0,(SUM(B54:C54)-K5)/SUM(B54:C54))</f>
        <v>0</v>
      </c>
      <c r="G54" s="26">
        <f t="shared" ref="G54:G63" si="45">IF(SUM(B54,D54)&lt;L5,0,(SUM(B54,D54)-L5)/SUM(B54,D54))</f>
        <v>0</v>
      </c>
      <c r="H54" s="27">
        <f t="shared" ref="H54:H63" si="46">IF( SUM(B54,E54)&lt;M5, 0, (SUM(B54,E54)-M5)/SUM(B54,E54))</f>
        <v>0</v>
      </c>
      <c r="I54" s="32">
        <f t="shared" si="41"/>
        <v>0</v>
      </c>
      <c r="J54" s="32">
        <f t="shared" si="42"/>
        <v>0</v>
      </c>
      <c r="K54" s="71">
        <f t="shared" si="43"/>
        <v>0</v>
      </c>
      <c r="L54" s="19" t="s">
        <v>4</v>
      </c>
    </row>
    <row r="55" spans="1:15" x14ac:dyDescent="0.25">
      <c r="A55" s="15" t="s">
        <v>5</v>
      </c>
      <c r="B55" s="24">
        <f t="shared" si="37"/>
        <v>7547.5035640517981</v>
      </c>
      <c r="C55" s="25">
        <f t="shared" si="38"/>
        <v>29992.315509131997</v>
      </c>
      <c r="D55" s="25">
        <f t="shared" si="39"/>
        <v>23993.8524073056</v>
      </c>
      <c r="E55" s="38">
        <f t="shared" si="40"/>
        <v>2999.2315509132</v>
      </c>
      <c r="F55" s="41">
        <f t="shared" si="44"/>
        <v>0.34385420153515495</v>
      </c>
      <c r="G55" s="26">
        <f t="shared" si="45"/>
        <v>0.58184238838757851</v>
      </c>
      <c r="H55" s="27">
        <f t="shared" si="46"/>
        <v>0.61351542865466879</v>
      </c>
      <c r="I55" s="32">
        <f t="shared" si="41"/>
        <v>3459404.1695332574</v>
      </c>
      <c r="J55" s="32">
        <f t="shared" si="42"/>
        <v>4918362.2348837834</v>
      </c>
      <c r="K55" s="71">
        <f t="shared" si="43"/>
        <v>1734116.7036106195</v>
      </c>
      <c r="L55" s="21" t="s">
        <v>5</v>
      </c>
      <c r="N55" s="19"/>
      <c r="O55" s="19"/>
    </row>
    <row r="56" spans="1:15" x14ac:dyDescent="0.25">
      <c r="A56" s="15" t="s">
        <v>6</v>
      </c>
      <c r="B56" s="24">
        <f t="shared" si="37"/>
        <v>2834.0400497945993</v>
      </c>
      <c r="C56" s="25">
        <f t="shared" si="38"/>
        <v>5556.8548447999992</v>
      </c>
      <c r="D56" s="25">
        <f t="shared" si="39"/>
        <v>4445.4838758399992</v>
      </c>
      <c r="E56" s="38">
        <f t="shared" si="40"/>
        <v>555.6854844799999</v>
      </c>
      <c r="F56" s="41">
        <f t="shared" si="44"/>
        <v>0</v>
      </c>
      <c r="G56" s="26">
        <f t="shared" si="45"/>
        <v>0.24259731730748399</v>
      </c>
      <c r="H56" s="27">
        <f t="shared" si="46"/>
        <v>0.49731593818711717</v>
      </c>
      <c r="I56" s="32">
        <f t="shared" si="41"/>
        <v>0</v>
      </c>
      <c r="J56" s="32">
        <f t="shared" si="42"/>
        <v>473286.11747007235</v>
      </c>
      <c r="K56" s="71">
        <f t="shared" si="43"/>
        <v>451784.89518559264</v>
      </c>
      <c r="L56" s="21" t="s">
        <v>6</v>
      </c>
      <c r="N56" s="83"/>
      <c r="O56" s="19"/>
    </row>
    <row r="57" spans="1:15" x14ac:dyDescent="0.25">
      <c r="A57" s="15" t="s">
        <v>7</v>
      </c>
      <c r="B57" s="24">
        <f t="shared" si="37"/>
        <v>478.08670222019992</v>
      </c>
      <c r="C57" s="25">
        <f t="shared" si="38"/>
        <v>502.79387999999994</v>
      </c>
      <c r="D57" s="25">
        <f t="shared" si="39"/>
        <v>402.23510399999998</v>
      </c>
      <c r="E57" s="38">
        <f t="shared" si="40"/>
        <v>50.279387999999997</v>
      </c>
      <c r="F57" s="41">
        <f t="shared" si="44"/>
        <v>4.1764637778305178E-2</v>
      </c>
      <c r="G57" s="26">
        <f t="shared" si="45"/>
        <v>0.4282914197468945</v>
      </c>
      <c r="H57" s="27">
        <f t="shared" si="46"/>
        <v>0.70561812561593962</v>
      </c>
      <c r="I57" s="32">
        <f t="shared" si="41"/>
        <v>10978.920755013529</v>
      </c>
      <c r="J57" s="32">
        <f t="shared" si="42"/>
        <v>101045.18602701359</v>
      </c>
      <c r="K57" s="71">
        <f t="shared" si="43"/>
        <v>99917.01697901357</v>
      </c>
      <c r="L57" s="19" t="s">
        <v>7</v>
      </c>
      <c r="N57" s="84"/>
      <c r="O57" s="19"/>
    </row>
    <row r="58" spans="1:15" x14ac:dyDescent="0.25">
      <c r="A58" s="15" t="s">
        <v>8</v>
      </c>
      <c r="B58" s="24">
        <f t="shared" si="37"/>
        <v>1216.4631519594</v>
      </c>
      <c r="C58" s="25">
        <f t="shared" si="38"/>
        <v>1884.9569183999999</v>
      </c>
      <c r="D58" s="25">
        <f t="shared" si="39"/>
        <v>1507.9655347200001</v>
      </c>
      <c r="E58" s="38">
        <f t="shared" si="40"/>
        <v>188.49569184000001</v>
      </c>
      <c r="F58" s="41">
        <f t="shared" si="44"/>
        <v>0</v>
      </c>
      <c r="G58" s="26">
        <f t="shared" si="45"/>
        <v>0.21434990738963708</v>
      </c>
      <c r="H58" s="27">
        <f t="shared" si="46"/>
        <v>0.52916272037471168</v>
      </c>
      <c r="I58" s="32">
        <f t="shared" si="41"/>
        <v>0</v>
      </c>
      <c r="J58" s="32">
        <f t="shared" si="42"/>
        <v>156506.91783007918</v>
      </c>
      <c r="K58" s="71">
        <f t="shared" si="43"/>
        <v>199245.09413823922</v>
      </c>
      <c r="L58" s="19" t="s">
        <v>8</v>
      </c>
      <c r="N58" s="32"/>
      <c r="O58" s="19"/>
    </row>
    <row r="59" spans="1:15" x14ac:dyDescent="0.25">
      <c r="A59" s="15" t="s">
        <v>9</v>
      </c>
      <c r="B59" s="24">
        <f t="shared" si="37"/>
        <v>372.96225051659997</v>
      </c>
      <c r="C59" s="25">
        <f t="shared" si="38"/>
        <v>921.6731951999999</v>
      </c>
      <c r="D59" s="25">
        <f t="shared" si="39"/>
        <v>737.33855615999994</v>
      </c>
      <c r="E59" s="38">
        <f t="shared" si="40"/>
        <v>92.167319519999992</v>
      </c>
      <c r="F59" s="41">
        <f t="shared" si="44"/>
        <v>3.5582484527991037E-2</v>
      </c>
      <c r="G59" s="26">
        <f t="shared" si="45"/>
        <v>0.39785682764550739</v>
      </c>
      <c r="H59" s="27">
        <f t="shared" si="46"/>
        <v>0.55578184379087814</v>
      </c>
      <c r="I59" s="32">
        <f t="shared" si="41"/>
        <v>12345.780652048719</v>
      </c>
      <c r="J59" s="32">
        <f t="shared" si="42"/>
        <v>118386.52278932877</v>
      </c>
      <c r="K59" s="71">
        <f t="shared" si="43"/>
        <v>69280.832769808781</v>
      </c>
      <c r="L59" s="19" t="s">
        <v>9</v>
      </c>
      <c r="N59" s="32"/>
      <c r="O59" s="19"/>
    </row>
    <row r="60" spans="1:15" x14ac:dyDescent="0.25">
      <c r="A60" s="15" t="s">
        <v>10</v>
      </c>
      <c r="B60" s="24">
        <f t="shared" si="37"/>
        <v>959.35088189699991</v>
      </c>
      <c r="C60" s="25">
        <f t="shared" si="38"/>
        <v>1266.5782383999999</v>
      </c>
      <c r="D60" s="25">
        <f t="shared" si="39"/>
        <v>1013.2625907199999</v>
      </c>
      <c r="E60" s="38">
        <f t="shared" si="40"/>
        <v>126.65782383999999</v>
      </c>
      <c r="F60" s="41">
        <f t="shared" si="44"/>
        <v>0</v>
      </c>
      <c r="G60" s="26">
        <f t="shared" si="45"/>
        <v>0</v>
      </c>
      <c r="H60" s="27">
        <f t="shared" si="46"/>
        <v>0.42080814207365341</v>
      </c>
      <c r="I60" s="32">
        <f t="shared" si="41"/>
        <v>0</v>
      </c>
      <c r="J60" s="32">
        <f t="shared" si="42"/>
        <v>0</v>
      </c>
      <c r="K60" s="71">
        <f t="shared" si="43"/>
        <v>122476.34993751599</v>
      </c>
      <c r="L60" s="19" t="s">
        <v>10</v>
      </c>
      <c r="N60" s="32"/>
      <c r="O60" s="19"/>
    </row>
    <row r="61" spans="1:15" x14ac:dyDescent="0.25">
      <c r="A61" s="15" t="s">
        <v>15</v>
      </c>
      <c r="B61" s="24">
        <f t="shared" si="37"/>
        <v>1064.1298292670763</v>
      </c>
      <c r="C61" s="25">
        <f t="shared" si="38"/>
        <v>2105.0303775999996</v>
      </c>
      <c r="D61" s="25">
        <f t="shared" si="39"/>
        <v>1684.0243020799999</v>
      </c>
      <c r="E61" s="38">
        <f t="shared" si="40"/>
        <v>210.50303775999998</v>
      </c>
      <c r="F61" s="41">
        <f t="shared" si="44"/>
        <v>0</v>
      </c>
      <c r="G61" s="26">
        <f t="shared" si="45"/>
        <v>6.2721719055322742E-2</v>
      </c>
      <c r="H61" s="27">
        <f t="shared" si="46"/>
        <v>0.37546848147993822</v>
      </c>
      <c r="I61" s="32">
        <f t="shared" si="41"/>
        <v>0</v>
      </c>
      <c r="J61" s="32">
        <f t="shared" si="42"/>
        <v>46194.878961016322</v>
      </c>
      <c r="K61" s="71">
        <f t="shared" si="43"/>
        <v>128260.63716325647</v>
      </c>
      <c r="L61" s="19" t="s">
        <v>15</v>
      </c>
      <c r="N61" s="32"/>
      <c r="O61" s="19"/>
    </row>
    <row r="62" spans="1:15" x14ac:dyDescent="0.25">
      <c r="A62" t="s">
        <v>16</v>
      </c>
      <c r="B62" s="24">
        <f t="shared" si="37"/>
        <v>741.30663858832372</v>
      </c>
      <c r="C62" s="25">
        <f t="shared" si="38"/>
        <v>1588.8286607999999</v>
      </c>
      <c r="D62" s="25">
        <f t="shared" si="39"/>
        <v>1271.0629286399999</v>
      </c>
      <c r="E62" s="38">
        <f t="shared" si="40"/>
        <v>158.88286607999999</v>
      </c>
      <c r="F62" s="41">
        <f t="shared" si="44"/>
        <v>0</v>
      </c>
      <c r="G62" s="26">
        <f t="shared" si="45"/>
        <v>0.1083279139072717</v>
      </c>
      <c r="H62" s="27">
        <f t="shared" si="46"/>
        <v>0.38396015825098317</v>
      </c>
      <c r="I62" s="32">
        <f t="shared" si="41"/>
        <v>0</v>
      </c>
      <c r="J62" s="32">
        <f t="shared" si="42"/>
        <v>58422.873657190685</v>
      </c>
      <c r="K62" s="71">
        <f t="shared" si="43"/>
        <v>92630.690451110757</v>
      </c>
      <c r="L62" s="19" t="s">
        <v>16</v>
      </c>
      <c r="N62" s="32"/>
      <c r="O62" s="19"/>
    </row>
    <row r="63" spans="1:15" ht="15.75" thickBot="1" x14ac:dyDescent="0.3">
      <c r="A63" t="s">
        <v>194</v>
      </c>
      <c r="B63" s="28">
        <f t="shared" si="37"/>
        <v>766.82514626519981</v>
      </c>
      <c r="C63" s="29">
        <f t="shared" si="38"/>
        <v>1524.1936406399998</v>
      </c>
      <c r="D63" s="29">
        <f t="shared" ref="D63" si="47">C63*grid_2030</f>
        <v>1219.3549125119998</v>
      </c>
      <c r="E63" s="39">
        <f t="shared" ref="E63" si="48">C63*grid_2050</f>
        <v>152.41936406399998</v>
      </c>
      <c r="F63" s="42">
        <f t="shared" si="44"/>
        <v>0</v>
      </c>
      <c r="G63" s="30">
        <f t="shared" si="45"/>
        <v>0</v>
      </c>
      <c r="H63" s="31">
        <f t="shared" si="46"/>
        <v>1.3827561857995514E-2</v>
      </c>
      <c r="I63" s="32">
        <f t="shared" si="41"/>
        <v>0</v>
      </c>
      <c r="J63" s="32">
        <f t="shared" si="42"/>
        <v>0</v>
      </c>
      <c r="K63" s="71">
        <f t="shared" si="43"/>
        <v>3406.5239682255478</v>
      </c>
      <c r="L63" s="19"/>
      <c r="N63" s="32"/>
      <c r="O63" s="19"/>
    </row>
    <row r="64" spans="1:15" x14ac:dyDescent="0.25">
      <c r="B64" s="19"/>
      <c r="C64" s="19"/>
      <c r="D64" s="19"/>
      <c r="E64" s="19"/>
      <c r="F64" s="19"/>
      <c r="G64" s="19"/>
      <c r="H64" s="19"/>
      <c r="I64" s="105">
        <f>SUM(I53:I63)</f>
        <v>3482728.8709403193</v>
      </c>
      <c r="J64" s="105">
        <f>SUM(J53:J63)</f>
        <v>5928224.522861151</v>
      </c>
      <c r="K64" s="105">
        <f>SUM(K53:K63)</f>
        <v>3032809.95592413</v>
      </c>
      <c r="L64" s="21" t="s">
        <v>211</v>
      </c>
    </row>
    <row r="65" spans="1:15" x14ac:dyDescent="0.25">
      <c r="A65" t="s">
        <v>71</v>
      </c>
      <c r="B65" s="25">
        <f>(E16*steam*kbtu_mlb)</f>
        <v>17646.703387117199</v>
      </c>
      <c r="C65" s="25">
        <f>F16*elec</f>
        <v>49181.334133771998</v>
      </c>
      <c r="D65" s="25">
        <f>C65*grid_2030</f>
        <v>39345.067307017598</v>
      </c>
      <c r="E65" s="25">
        <f>C65*grid_2050</f>
        <v>4918.1334133771998</v>
      </c>
      <c r="F65" s="26">
        <f t="shared" ref="F65" si="49">IF(SUM(B65:C65)&lt;K16,0,(SUM(B65:C65)-K16)/SUM(B65:C65))</f>
        <v>0</v>
      </c>
      <c r="G65" s="26">
        <f t="shared" ref="G65" si="50">IF(SUM(B65,D65)&lt;L16,0,(SUM(B65,D65)-L16)/SUM(B65,D65))</f>
        <v>0.35922696653890318</v>
      </c>
      <c r="H65" s="26">
        <f t="shared" ref="H65" si="51">IF( SUM(B65,E65)&lt;M16, 0, (SUM(B65,E65)-M16)/SUM(B65,E65))</f>
        <v>0.49983417563415666</v>
      </c>
      <c r="I65" s="32">
        <f>IF((K16&gt;SUM(B65:C65)),0, (SUM(B65:C65)-K16)*fine)</f>
        <v>0</v>
      </c>
      <c r="J65" s="32">
        <f>IF((L16&gt;SUM(B65,D65)),0,(SUM(B65,D65)-L16)*fine)</f>
        <v>5486758.8823081274</v>
      </c>
      <c r="K65" s="71">
        <f>IF((M16&gt;SUM(B65,E65)),0,(SUM(B65,E65)-M16)*fine)</f>
        <v>3022685.3289324986</v>
      </c>
      <c r="L65" s="19" t="s">
        <v>212</v>
      </c>
      <c r="N65" s="32"/>
      <c r="O65" s="19"/>
    </row>
    <row r="66" spans="1:15" ht="15.75" thickBot="1" x14ac:dyDescent="0.3"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</row>
    <row r="67" spans="1:15" ht="15.75" thickBot="1" x14ac:dyDescent="0.3">
      <c r="B67" s="106" t="s">
        <v>210</v>
      </c>
      <c r="C67" s="107"/>
      <c r="D67" s="107"/>
      <c r="E67" s="108"/>
      <c r="F67" s="106" t="s">
        <v>86</v>
      </c>
      <c r="G67" s="107"/>
      <c r="H67" s="108"/>
      <c r="L67" s="19"/>
    </row>
    <row r="68" spans="1:15" ht="30.75" thickBot="1" x14ac:dyDescent="0.3">
      <c r="B68" s="96" t="s">
        <v>79</v>
      </c>
      <c r="C68" s="97" t="s">
        <v>59</v>
      </c>
      <c r="D68" s="97" t="s">
        <v>69</v>
      </c>
      <c r="E68" s="99" t="s">
        <v>70</v>
      </c>
      <c r="F68" s="100" t="s">
        <v>80</v>
      </c>
      <c r="G68" s="98" t="s">
        <v>81</v>
      </c>
      <c r="H68" s="99" t="s">
        <v>82</v>
      </c>
      <c r="I68" s="97" t="s">
        <v>64</v>
      </c>
      <c r="J68" s="97" t="s">
        <v>65</v>
      </c>
      <c r="K68" s="99" t="s">
        <v>67</v>
      </c>
      <c r="L68" s="19"/>
    </row>
    <row r="69" spans="1:15" x14ac:dyDescent="0.25">
      <c r="A69" t="s">
        <v>3</v>
      </c>
      <c r="B69" s="24">
        <f t="shared" ref="B69:B79" si="52">(C4*steam*kbtu_mlb)</f>
        <v>1029.9688833282</v>
      </c>
      <c r="C69" s="25">
        <f t="shared" ref="C69:C79" si="53">D4*elec</f>
        <v>1610.5586031999999</v>
      </c>
      <c r="D69" s="25">
        <f t="shared" ref="D69:D78" si="54">C69*grid_2030</f>
        <v>1288.4468825599999</v>
      </c>
      <c r="E69" s="38">
        <f t="shared" ref="E69:E78" si="55">C69*grid_2050</f>
        <v>161.05586031999999</v>
      </c>
      <c r="F69" s="41">
        <f>IF(SUM(B69:C69)&lt;K4,0,(SUM(B69:C69)-K4)/SUM(B69:C69))</f>
        <v>0</v>
      </c>
      <c r="G69" s="26">
        <f>IF(SUM(B69,D69)&lt;L4,0,(SUM(B69,D69)-L4)/SUM(B69,D69))</f>
        <v>0.19976015204105244</v>
      </c>
      <c r="H69" s="27">
        <f>IF( SUM(B69,E69)&lt;M4, 0, (SUM(B69,E69)-M4)/SUM(B69,E69))</f>
        <v>0.51858397312242399</v>
      </c>
      <c r="I69" s="53">
        <f t="shared" ref="I69:I79" si="56">IF((K4&gt;SUM(B69:C69)),0, (SUM(B69:C69)-K4)*fine)</f>
        <v>0</v>
      </c>
      <c r="J69" s="36">
        <f t="shared" ref="J69:J79" si="57">IF((L4&gt;SUM(B69,D69)),0,(SUM(B69,D69)-L4)*fine)</f>
        <v>124118.05901803757</v>
      </c>
      <c r="K69" s="37">
        <f t="shared" ref="K69:K79" si="58">IF((M4&gt;SUM(B69,E69)),0,(SUM(B69,E69)-M4)*fine)</f>
        <v>165529.22009771763</v>
      </c>
      <c r="L69" s="19"/>
    </row>
    <row r="70" spans="1:15" x14ac:dyDescent="0.25">
      <c r="A70" t="s">
        <v>4</v>
      </c>
      <c r="B70" s="24">
        <f t="shared" si="52"/>
        <v>809.55451979519989</v>
      </c>
      <c r="C70" s="25">
        <f t="shared" si="53"/>
        <v>2583.5514495999996</v>
      </c>
      <c r="D70" s="25">
        <f t="shared" si="54"/>
        <v>2066.8411596799997</v>
      </c>
      <c r="E70" s="38">
        <f t="shared" si="55"/>
        <v>258.35514495999996</v>
      </c>
      <c r="F70" s="41">
        <f t="shared" ref="F70:F79" si="59">IF(SUM(B70:C70)&lt;K5,0,(SUM(B70:C70)-K5)/SUM(B70:C70))</f>
        <v>0</v>
      </c>
      <c r="G70" s="26">
        <f t="shared" ref="G70:G79" si="60">IF(SUM(B70,D70)&lt;L5,0,(SUM(B70,D70)-L5)/SUM(B70,D70))</f>
        <v>0</v>
      </c>
      <c r="H70" s="27">
        <f t="shared" ref="H70:H79" si="61">IF( SUM(B70,E70)&lt;M5, 0, (SUM(B70,E70)-M5)/SUM(B70,E70))</f>
        <v>4.2183965780969411E-2</v>
      </c>
      <c r="I70" s="54">
        <f t="shared" si="56"/>
        <v>0</v>
      </c>
      <c r="J70" s="32">
        <f t="shared" si="57"/>
        <v>0</v>
      </c>
      <c r="K70" s="34">
        <f t="shared" si="58"/>
        <v>12073.042154393564</v>
      </c>
      <c r="L70" s="19"/>
    </row>
    <row r="71" spans="1:15" x14ac:dyDescent="0.25">
      <c r="A71" s="15" t="s">
        <v>5</v>
      </c>
      <c r="B71" s="24">
        <f t="shared" si="52"/>
        <v>9245.5731598475995</v>
      </c>
      <c r="C71" s="25">
        <f t="shared" si="53"/>
        <v>30068.554665287997</v>
      </c>
      <c r="D71" s="25">
        <f t="shared" si="54"/>
        <v>24054.843732230398</v>
      </c>
      <c r="E71" s="38">
        <f t="shared" si="55"/>
        <v>3006.8554665287998</v>
      </c>
      <c r="F71" s="41">
        <f t="shared" si="59"/>
        <v>0.37346709891267837</v>
      </c>
      <c r="G71" s="26">
        <f t="shared" si="60"/>
        <v>0.60393114228135514</v>
      </c>
      <c r="H71" s="27">
        <f t="shared" si="61"/>
        <v>0.66731898431751946</v>
      </c>
      <c r="I71" s="54">
        <f t="shared" si="56"/>
        <v>3934918.9150563399</v>
      </c>
      <c r="J71" s="32">
        <f t="shared" si="57"/>
        <v>5389790.5616369043</v>
      </c>
      <c r="K71" s="34">
        <f t="shared" si="58"/>
        <v>2191242.5646688747</v>
      </c>
      <c r="L71" s="19"/>
    </row>
    <row r="72" spans="1:15" x14ac:dyDescent="0.25">
      <c r="A72" s="15" t="s">
        <v>6</v>
      </c>
      <c r="B72" s="24">
        <f t="shared" si="52"/>
        <v>3098.6858866175999</v>
      </c>
      <c r="C72" s="25">
        <f t="shared" si="53"/>
        <v>5505.7663631999994</v>
      </c>
      <c r="D72" s="25">
        <f t="shared" si="54"/>
        <v>4404.6130905599994</v>
      </c>
      <c r="E72" s="38">
        <f t="shared" si="55"/>
        <v>550.57663631999992</v>
      </c>
      <c r="F72" s="41">
        <f t="shared" si="59"/>
        <v>0</v>
      </c>
      <c r="G72" s="26">
        <f t="shared" si="60"/>
        <v>0.2651857580551934</v>
      </c>
      <c r="H72" s="27">
        <f t="shared" si="61"/>
        <v>0.53306702675138384</v>
      </c>
      <c r="I72" s="54">
        <f t="shared" si="56"/>
        <v>0</v>
      </c>
      <c r="J72" s="32">
        <f t="shared" si="57"/>
        <v>533257.83128359646</v>
      </c>
      <c r="K72" s="34">
        <f t="shared" si="58"/>
        <v>521340.80814727675</v>
      </c>
      <c r="L72" s="19"/>
    </row>
    <row r="73" spans="1:15" x14ac:dyDescent="0.25">
      <c r="A73" t="s">
        <v>7</v>
      </c>
      <c r="B73" s="24">
        <f t="shared" si="52"/>
        <v>408.05827494479996</v>
      </c>
      <c r="C73" s="25">
        <f t="shared" si="53"/>
        <v>525.5640856</v>
      </c>
      <c r="D73" s="25">
        <f t="shared" si="54"/>
        <v>420.45126848000001</v>
      </c>
      <c r="E73" s="38">
        <f t="shared" si="55"/>
        <v>52.556408560000001</v>
      </c>
      <c r="F73" s="41">
        <f t="shared" si="59"/>
        <v>0</v>
      </c>
      <c r="G73" s="26">
        <f t="shared" si="60"/>
        <v>0.39253864485426881</v>
      </c>
      <c r="H73" s="27">
        <f t="shared" si="61"/>
        <v>0.6623177558811385</v>
      </c>
      <c r="I73" s="54">
        <f t="shared" si="56"/>
        <v>0</v>
      </c>
      <c r="J73" s="32">
        <f t="shared" si="57"/>
        <v>87159.499597846385</v>
      </c>
      <c r="K73" s="34">
        <f t="shared" si="58"/>
        <v>81759.639979286396</v>
      </c>
      <c r="L73" s="19"/>
    </row>
    <row r="74" spans="1:15" x14ac:dyDescent="0.25">
      <c r="A74" t="s">
        <v>8</v>
      </c>
      <c r="B74" s="24">
        <f t="shared" si="52"/>
        <v>1034.9885788475999</v>
      </c>
      <c r="C74" s="25">
        <f t="shared" si="53"/>
        <v>1939.0506047999997</v>
      </c>
      <c r="D74" s="25">
        <f t="shared" si="54"/>
        <v>1551.2404838399998</v>
      </c>
      <c r="E74" s="38">
        <f t="shared" si="55"/>
        <v>193.90506047999997</v>
      </c>
      <c r="F74" s="41">
        <f t="shared" si="59"/>
        <v>0</v>
      </c>
      <c r="G74" s="26">
        <f t="shared" si="60"/>
        <v>0.17236733556166337</v>
      </c>
      <c r="H74" s="27">
        <f t="shared" si="61"/>
        <v>0.46170524540923702</v>
      </c>
      <c r="I74" s="54">
        <f t="shared" si="56"/>
        <v>0</v>
      </c>
      <c r="J74" s="32">
        <f t="shared" si="57"/>
        <v>119469.41860027671</v>
      </c>
      <c r="K74" s="34">
        <f t="shared" si="58"/>
        <v>152059.61933979677</v>
      </c>
      <c r="L74" s="19"/>
    </row>
    <row r="75" spans="1:15" x14ac:dyDescent="0.25">
      <c r="A75" t="s">
        <v>9</v>
      </c>
      <c r="B75" s="24">
        <f t="shared" si="52"/>
        <v>369.76438742040006</v>
      </c>
      <c r="C75" s="25">
        <f t="shared" si="53"/>
        <v>956.34863519999988</v>
      </c>
      <c r="D75" s="25">
        <f t="shared" si="54"/>
        <v>765.07890815999997</v>
      </c>
      <c r="E75" s="38">
        <f t="shared" si="55"/>
        <v>95.634863519999996</v>
      </c>
      <c r="F75" s="41">
        <f t="shared" si="59"/>
        <v>5.8474595526686705E-2</v>
      </c>
      <c r="G75" s="26">
        <f t="shared" si="60"/>
        <v>0.41087897104060156</v>
      </c>
      <c r="H75" s="27">
        <f t="shared" si="61"/>
        <v>0.55603925106776753</v>
      </c>
      <c r="I75" s="54">
        <f t="shared" si="56"/>
        <v>20781.771262267153</v>
      </c>
      <c r="J75" s="32">
        <f t="shared" si="57"/>
        <v>124963.9098155472</v>
      </c>
      <c r="K75" s="34">
        <f t="shared" si="58"/>
        <v>69353.107252027214</v>
      </c>
      <c r="L75" s="19"/>
    </row>
    <row r="76" spans="1:15" x14ac:dyDescent="0.25">
      <c r="A76" t="s">
        <v>10</v>
      </c>
      <c r="B76" s="24">
        <f t="shared" si="52"/>
        <v>990.38748172379997</v>
      </c>
      <c r="C76" s="25">
        <f t="shared" si="53"/>
        <v>1358.9304935999999</v>
      </c>
      <c r="D76" s="25">
        <f t="shared" si="54"/>
        <v>1087.1443948799999</v>
      </c>
      <c r="E76" s="38">
        <f t="shared" si="55"/>
        <v>135.89304935999999</v>
      </c>
      <c r="F76" s="41">
        <f t="shared" si="59"/>
        <v>0</v>
      </c>
      <c r="G76" s="26">
        <f t="shared" si="60"/>
        <v>2.033357325561554E-2</v>
      </c>
      <c r="H76" s="27">
        <f t="shared" si="61"/>
        <v>0.44151800316150619</v>
      </c>
      <c r="I76" s="54">
        <f t="shared" si="56"/>
        <v>0</v>
      </c>
      <c r="J76" s="32">
        <f t="shared" si="57"/>
        <v>11321.297289818343</v>
      </c>
      <c r="K76" s="34">
        <f t="shared" si="58"/>
        <v>133269.19913045841</v>
      </c>
      <c r="L76" s="19"/>
    </row>
    <row r="77" spans="1:15" x14ac:dyDescent="0.25">
      <c r="A77" t="s">
        <v>15</v>
      </c>
      <c r="B77" s="24">
        <f t="shared" si="52"/>
        <v>1020.4068867008592</v>
      </c>
      <c r="C77" s="25">
        <f t="shared" si="53"/>
        <v>2154.0383327999998</v>
      </c>
      <c r="D77" s="25">
        <f t="shared" si="54"/>
        <v>1723.2306662399999</v>
      </c>
      <c r="E77" s="38">
        <f t="shared" si="55"/>
        <v>215.40383327999999</v>
      </c>
      <c r="F77" s="41">
        <f t="shared" si="59"/>
        <v>0</v>
      </c>
      <c r="G77" s="26">
        <f t="shared" si="60"/>
        <v>6.1178770774930079E-2</v>
      </c>
      <c r="H77" s="27">
        <f t="shared" si="61"/>
        <v>0.35584925172656734</v>
      </c>
      <c r="I77" s="54">
        <f t="shared" si="56"/>
        <v>0</v>
      </c>
      <c r="J77" s="32">
        <f t="shared" si="57"/>
        <v>44984.435948150189</v>
      </c>
      <c r="K77" s="34">
        <f t="shared" si="58"/>
        <v>117856.30175487025</v>
      </c>
      <c r="L77" s="19"/>
    </row>
    <row r="78" spans="1:15" x14ac:dyDescent="0.25">
      <c r="A78" t="s">
        <v>16</v>
      </c>
      <c r="B78" s="24">
        <f t="shared" si="52"/>
        <v>710.84784804274079</v>
      </c>
      <c r="C78" s="25">
        <f t="shared" si="53"/>
        <v>1538.4336879999998</v>
      </c>
      <c r="D78" s="25">
        <f t="shared" si="54"/>
        <v>1230.7469504000001</v>
      </c>
      <c r="E78" s="38">
        <f t="shared" si="55"/>
        <v>153.84336880000001</v>
      </c>
      <c r="F78" s="41">
        <f t="shared" si="59"/>
        <v>0</v>
      </c>
      <c r="G78" s="26">
        <f t="shared" si="60"/>
        <v>7.5824795452078597E-2</v>
      </c>
      <c r="H78" s="27">
        <f t="shared" si="61"/>
        <v>0.35866978963329166</v>
      </c>
      <c r="I78" s="54">
        <f t="shared" si="56"/>
        <v>0</v>
      </c>
      <c r="J78" s="32">
        <f t="shared" si="57"/>
        <v>39455.23562265448</v>
      </c>
      <c r="K78" s="34">
        <f t="shared" si="58"/>
        <v>83117.149313854534</v>
      </c>
      <c r="L78" s="19"/>
    </row>
    <row r="79" spans="1:15" ht="15.75" thickBot="1" x14ac:dyDescent="0.3">
      <c r="A79" t="s">
        <v>194</v>
      </c>
      <c r="B79" s="28">
        <f t="shared" si="52"/>
        <v>755.73696771540017</v>
      </c>
      <c r="C79" s="29">
        <f t="shared" si="53"/>
        <v>1659.7514940799999</v>
      </c>
      <c r="D79" s="29">
        <f t="shared" ref="D79" si="62">C79*grid_2030</f>
        <v>1327.8011952639999</v>
      </c>
      <c r="E79" s="39">
        <f t="shared" ref="E79" si="63">C79*grid_2050</f>
        <v>165.97514940799999</v>
      </c>
      <c r="F79" s="42">
        <f t="shared" si="59"/>
        <v>0</v>
      </c>
      <c r="G79" s="30">
        <f t="shared" si="60"/>
        <v>0</v>
      </c>
      <c r="H79" s="31">
        <f t="shared" si="61"/>
        <v>1.6467741761680737E-2</v>
      </c>
      <c r="I79" s="55">
        <f t="shared" si="56"/>
        <v>0</v>
      </c>
      <c r="J79" s="33">
        <f t="shared" si="57"/>
        <v>0</v>
      </c>
      <c r="K79" s="35">
        <f t="shared" si="58"/>
        <v>4067.8425890712492</v>
      </c>
      <c r="L79" s="19"/>
    </row>
    <row r="80" spans="1:15" x14ac:dyDescent="0.25">
      <c r="B80" s="19"/>
      <c r="C80" s="19"/>
      <c r="D80" s="19"/>
      <c r="E80" s="19"/>
      <c r="F80" s="19"/>
      <c r="G80" s="19"/>
      <c r="H80" s="19"/>
      <c r="I80" s="105">
        <f>SUM(I69:I79)</f>
        <v>3955700.6863186071</v>
      </c>
      <c r="J80" s="105">
        <f>SUM(J69:J79)</f>
        <v>6474520.2488128319</v>
      </c>
      <c r="K80" s="105">
        <f>SUM(K69:K79)</f>
        <v>3531668.4944276274</v>
      </c>
      <c r="L80" s="21" t="s">
        <v>211</v>
      </c>
    </row>
    <row r="81" spans="1:12" x14ac:dyDescent="0.25">
      <c r="A81" t="s">
        <v>71</v>
      </c>
      <c r="B81" s="25">
        <f>(C16*steam*kbtu_mlb)</f>
        <v>19473.972874984196</v>
      </c>
      <c r="C81" s="25">
        <f>D16*elec</f>
        <v>49900.548415367994</v>
      </c>
      <c r="D81" s="25">
        <f>C81*grid_2030</f>
        <v>39920.438732294395</v>
      </c>
      <c r="E81" s="25">
        <f t="shared" ref="E81" si="64">C81*0.1</f>
        <v>4990.0548415367994</v>
      </c>
      <c r="F81" s="26">
        <f t="shared" ref="F81" si="65">IF(SUM(B81:C81)&lt;K16,0,(SUM(B81:C81)-K16)/SUM(B81:C81))</f>
        <v>1.6920729520269056E-2</v>
      </c>
      <c r="G81" s="26">
        <f t="shared" ref="G81" si="66">IF(SUM(B81,D81)&lt;L16,0,(SUM(B81,D81)-L16)/SUM(B81,D81))</f>
        <v>0.3851477133662734</v>
      </c>
      <c r="H81" s="26">
        <f t="shared" ref="H81" si="67">IF( SUM(B81,E81)&lt;M16, 0, (SUM(B81,E81)-M16)/SUM(B81,E81))</f>
        <v>0.53866303902287294</v>
      </c>
      <c r="I81" s="32">
        <f>IF((K16&gt;SUM(B81:C81)),0, (SUM(B81:C81)-K16)*fine)</f>
        <v>314596.49277438864</v>
      </c>
      <c r="J81" s="32">
        <f>IF((L16&gt;SUM(B81,D81)),0,(SUM(B81,D81)-L16)*fine)</f>
        <v>6130666.6470306637</v>
      </c>
      <c r="K81" s="71">
        <f>IF((M16&gt;SUM(B81,E81)),0,(SUM(B81,E81)-M16)*fine)</f>
        <v>3531668.4944276265</v>
      </c>
      <c r="L81" s="19" t="s">
        <v>212</v>
      </c>
    </row>
    <row r="82" spans="1:12" x14ac:dyDescent="0.25">
      <c r="B82" s="19"/>
      <c r="C82" s="59"/>
      <c r="D82" s="19"/>
      <c r="E82" s="19"/>
      <c r="F82" s="19"/>
      <c r="G82" s="19"/>
      <c r="H82" s="19"/>
      <c r="I82" s="19"/>
      <c r="J82" s="19"/>
      <c r="K82" s="19"/>
      <c r="L82" s="19"/>
    </row>
    <row r="83" spans="1:12" x14ac:dyDescent="0.25"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</row>
    <row r="84" spans="1:12" x14ac:dyDescent="0.25"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</row>
    <row r="85" spans="1:12" x14ac:dyDescent="0.25"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</row>
    <row r="86" spans="1:12" x14ac:dyDescent="0.25"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</row>
    <row r="87" spans="1:12" x14ac:dyDescent="0.25"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</row>
  </sheetData>
  <mergeCells count="9">
    <mergeCell ref="B19:E19"/>
    <mergeCell ref="F19:H19"/>
    <mergeCell ref="C2:J2"/>
    <mergeCell ref="K2:M2"/>
    <mergeCell ref="B67:E67"/>
    <mergeCell ref="F67:H67"/>
    <mergeCell ref="B35:E35"/>
    <mergeCell ref="F35:H35"/>
    <mergeCell ref="B51:E5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8620E-CDEC-4CBB-B125-4BE56E2B92AA}">
  <dimension ref="A2:E16"/>
  <sheetViews>
    <sheetView workbookViewId="0">
      <pane xSplit="1" topLeftCell="B1" activePane="topRight" state="frozen"/>
      <selection pane="topRight" activeCell="H21" sqref="H21"/>
    </sheetView>
  </sheetViews>
  <sheetFormatPr defaultRowHeight="15" x14ac:dyDescent="0.25"/>
  <cols>
    <col min="1" max="1" width="17.7109375" customWidth="1"/>
    <col min="2" max="4" width="12.140625" bestFit="1" customWidth="1"/>
    <col min="5" max="5" width="15.5703125" customWidth="1"/>
  </cols>
  <sheetData>
    <row r="2" spans="1:5" x14ac:dyDescent="0.25">
      <c r="A2" s="15"/>
      <c r="B2" t="s">
        <v>0</v>
      </c>
      <c r="C2" t="s">
        <v>1</v>
      </c>
      <c r="D2" t="s">
        <v>2</v>
      </c>
      <c r="E2" t="s">
        <v>193</v>
      </c>
    </row>
    <row r="3" spans="1:5" x14ac:dyDescent="0.25">
      <c r="A3" s="15" t="s">
        <v>3</v>
      </c>
      <c r="B3" s="11">
        <v>19199.210000000003</v>
      </c>
      <c r="C3" s="11">
        <v>17186.05</v>
      </c>
      <c r="D3" s="11">
        <v>12307.33</v>
      </c>
      <c r="E3" s="11">
        <v>13085.010000000002</v>
      </c>
    </row>
    <row r="4" spans="1:5" x14ac:dyDescent="0.25">
      <c r="A4" s="15" t="s">
        <v>4</v>
      </c>
      <c r="B4" s="11">
        <v>15090.56</v>
      </c>
      <c r="C4" s="11">
        <v>13869.8</v>
      </c>
      <c r="D4" s="11">
        <v>10831.21</v>
      </c>
      <c r="E4" s="11">
        <v>10404.58</v>
      </c>
    </row>
    <row r="5" spans="1:5" x14ac:dyDescent="0.25">
      <c r="A5" s="15" t="s">
        <v>5</v>
      </c>
      <c r="B5" s="11">
        <v>172342.78</v>
      </c>
      <c r="C5" s="11">
        <v>140689.78999999998</v>
      </c>
      <c r="D5" s="11">
        <v>117109.90999999997</v>
      </c>
      <c r="E5" s="11">
        <v>112920.4</v>
      </c>
    </row>
    <row r="6" spans="1:5" x14ac:dyDescent="0.25">
      <c r="A6" s="15" t="s">
        <v>6</v>
      </c>
      <c r="B6" s="11">
        <v>57761.279999999999</v>
      </c>
      <c r="C6" s="11">
        <v>52828.13</v>
      </c>
      <c r="D6" s="11">
        <v>45233.15</v>
      </c>
      <c r="E6" s="11">
        <v>46863.199999999997</v>
      </c>
    </row>
    <row r="7" spans="1:5" x14ac:dyDescent="0.25">
      <c r="A7" s="15" t="s">
        <v>7</v>
      </c>
      <c r="B7" s="11">
        <v>7606.44</v>
      </c>
      <c r="C7" s="11">
        <v>8911.81</v>
      </c>
      <c r="D7" s="11">
        <v>6774.16</v>
      </c>
      <c r="E7" s="11">
        <v>6439.48</v>
      </c>
    </row>
    <row r="8" spans="1:5" x14ac:dyDescent="0.25">
      <c r="A8" s="15" t="s">
        <v>8</v>
      </c>
      <c r="B8" s="11">
        <v>19292.78</v>
      </c>
      <c r="C8" s="11">
        <v>22675.57</v>
      </c>
      <c r="D8" s="11">
        <v>17781.59</v>
      </c>
      <c r="E8" s="11">
        <v>14896.849999999999</v>
      </c>
    </row>
    <row r="9" spans="1:5" x14ac:dyDescent="0.25">
      <c r="A9" s="15" t="s">
        <v>9</v>
      </c>
      <c r="B9" s="11">
        <v>6892.6200000000008</v>
      </c>
      <c r="C9" s="11">
        <v>6952.23</v>
      </c>
      <c r="D9" s="11">
        <v>5202.58</v>
      </c>
      <c r="E9" s="11">
        <v>3981.37</v>
      </c>
    </row>
    <row r="10" spans="1:5" x14ac:dyDescent="0.25">
      <c r="A10" s="15" t="s">
        <v>10</v>
      </c>
      <c r="B10" s="11">
        <v>18461.39</v>
      </c>
      <c r="C10" s="11">
        <v>17882.849999999999</v>
      </c>
      <c r="D10" s="11">
        <v>17206.48</v>
      </c>
      <c r="E10" s="11">
        <v>17403.329999999998</v>
      </c>
    </row>
    <row r="11" spans="1:5" x14ac:dyDescent="0.25">
      <c r="A11" s="15" t="s">
        <v>11</v>
      </c>
      <c r="B11" s="11">
        <v>32271.58</v>
      </c>
      <c r="C11" s="11">
        <v>33654.370000000003</v>
      </c>
      <c r="D11" s="11">
        <v>26816.68</v>
      </c>
      <c r="E11" s="11">
        <v>27080.53</v>
      </c>
    </row>
    <row r="12" spans="1:5" x14ac:dyDescent="0.25">
      <c r="A12" s="15"/>
    </row>
    <row r="13" spans="1:5" x14ac:dyDescent="0.25">
      <c r="A13" s="15"/>
    </row>
    <row r="14" spans="1:5" x14ac:dyDescent="0.25">
      <c r="A14" s="15" t="s">
        <v>75</v>
      </c>
      <c r="B14" s="11">
        <f>SUM(B3:B11)</f>
        <v>348918.63999999996</v>
      </c>
      <c r="C14" s="11">
        <f>SUM(C3:C11)</f>
        <v>314650.59999999998</v>
      </c>
      <c r="D14" s="11">
        <f>SUM(D3:D11)</f>
        <v>259263.08999999997</v>
      </c>
      <c r="E14" s="11">
        <f>SUM(E3:E11)</f>
        <v>253074.75</v>
      </c>
    </row>
    <row r="15" spans="1:5" x14ac:dyDescent="0.25">
      <c r="A15" s="15"/>
    </row>
    <row r="16" spans="1:5" x14ac:dyDescent="0.25">
      <c r="A16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4FD88-89AA-4E9F-A8B4-38EBC7D51487}">
  <dimension ref="A2:E23"/>
  <sheetViews>
    <sheetView workbookViewId="0">
      <pane xSplit="1" topLeftCell="B1" activePane="topRight" state="frozen"/>
      <selection pane="topRight" activeCell="A21" sqref="A21"/>
    </sheetView>
  </sheetViews>
  <sheetFormatPr defaultRowHeight="15" x14ac:dyDescent="0.25"/>
  <cols>
    <col min="1" max="1" width="29.42578125" customWidth="1"/>
    <col min="2" max="2" width="15.42578125" customWidth="1"/>
    <col min="3" max="3" width="13" customWidth="1"/>
    <col min="4" max="4" width="14.140625" customWidth="1"/>
    <col min="5" max="5" width="13" customWidth="1"/>
  </cols>
  <sheetData>
    <row r="2" spans="1:5" x14ac:dyDescent="0.25">
      <c r="B2" t="s">
        <v>12</v>
      </c>
      <c r="C2" t="s">
        <v>13</v>
      </c>
      <c r="D2" t="s">
        <v>14</v>
      </c>
      <c r="E2" t="s">
        <v>192</v>
      </c>
    </row>
    <row r="3" spans="1:5" x14ac:dyDescent="0.25">
      <c r="A3" t="s">
        <v>3</v>
      </c>
      <c r="B3" s="14">
        <v>5573600</v>
      </c>
      <c r="C3" s="14">
        <v>4941600</v>
      </c>
      <c r="D3" s="14">
        <v>3885600</v>
      </c>
      <c r="E3" s="14">
        <v>3983200</v>
      </c>
    </row>
    <row r="4" spans="1:5" x14ac:dyDescent="0.25">
      <c r="A4" t="s">
        <v>4</v>
      </c>
      <c r="B4" s="14">
        <v>8940800</v>
      </c>
      <c r="C4" s="14">
        <v>8340800</v>
      </c>
      <c r="D4" s="14">
        <v>6860000</v>
      </c>
      <c r="E4" s="14">
        <v>7150400</v>
      </c>
    </row>
    <row r="5" spans="1:5" x14ac:dyDescent="0.25">
      <c r="A5" t="s">
        <v>5</v>
      </c>
      <c r="B5" s="14">
        <v>38390160</v>
      </c>
      <c r="C5" s="14">
        <v>38301120</v>
      </c>
      <c r="D5" s="14">
        <v>29725760</v>
      </c>
      <c r="E5" s="14">
        <v>29362080</v>
      </c>
    </row>
    <row r="6" spans="1:5" x14ac:dyDescent="0.25">
      <c r="A6" t="s">
        <v>6</v>
      </c>
      <c r="B6" s="14">
        <v>19053600</v>
      </c>
      <c r="C6" s="14">
        <v>19230400</v>
      </c>
      <c r="D6" s="14">
        <v>14853600</v>
      </c>
      <c r="E6" s="14">
        <v>14758400</v>
      </c>
    </row>
    <row r="7" spans="1:5" x14ac:dyDescent="0.25">
      <c r="A7" t="s">
        <v>7</v>
      </c>
      <c r="B7" s="14">
        <v>1818800</v>
      </c>
      <c r="C7" s="14">
        <v>1740000</v>
      </c>
      <c r="D7" s="14">
        <v>1430800</v>
      </c>
      <c r="E7" s="14">
        <v>1296800</v>
      </c>
    </row>
    <row r="8" spans="1:5" x14ac:dyDescent="0.25">
      <c r="A8" t="s">
        <v>8</v>
      </c>
      <c r="B8" s="14">
        <v>6710400</v>
      </c>
      <c r="C8" s="14">
        <v>6523200</v>
      </c>
      <c r="D8" s="14">
        <v>4840800</v>
      </c>
      <c r="E8" s="14">
        <v>3281600</v>
      </c>
    </row>
    <row r="9" spans="1:5" x14ac:dyDescent="0.25">
      <c r="A9" t="s">
        <v>9</v>
      </c>
      <c r="B9" s="14">
        <v>3309600</v>
      </c>
      <c r="C9" s="14">
        <v>3189600</v>
      </c>
      <c r="D9" s="14">
        <v>2278400</v>
      </c>
      <c r="E9" s="14">
        <v>2342480</v>
      </c>
    </row>
    <row r="10" spans="1:5" x14ac:dyDescent="0.25">
      <c r="A10" t="s">
        <v>10</v>
      </c>
      <c r="B10" s="14">
        <v>4702800</v>
      </c>
      <c r="C10" s="14">
        <v>4383200</v>
      </c>
      <c r="D10" s="14">
        <v>3418000</v>
      </c>
      <c r="E10" s="14">
        <v>3217600</v>
      </c>
    </row>
    <row r="11" spans="1:5" x14ac:dyDescent="0.25">
      <c r="A11" t="s">
        <v>15</v>
      </c>
      <c r="B11" s="14">
        <v>7454400</v>
      </c>
      <c r="C11" s="14">
        <v>7284800</v>
      </c>
      <c r="D11" s="14">
        <v>5735600</v>
      </c>
      <c r="E11" s="14">
        <v>5387200</v>
      </c>
    </row>
    <row r="12" spans="1:5" x14ac:dyDescent="0.25">
      <c r="A12" t="s">
        <v>16</v>
      </c>
      <c r="B12" s="14">
        <v>5324000</v>
      </c>
      <c r="C12" s="14">
        <v>5498400</v>
      </c>
      <c r="D12" s="14">
        <v>4772800</v>
      </c>
      <c r="E12" s="14">
        <v>4960000</v>
      </c>
    </row>
    <row r="13" spans="1:5" x14ac:dyDescent="0.25">
      <c r="A13" t="s">
        <v>17</v>
      </c>
      <c r="B13" s="14">
        <v>32990400</v>
      </c>
      <c r="C13" s="14">
        <v>33216000</v>
      </c>
      <c r="D13" s="14">
        <v>30028800</v>
      </c>
      <c r="E13" s="14">
        <v>29500800</v>
      </c>
    </row>
    <row r="14" spans="1:5" x14ac:dyDescent="0.25">
      <c r="A14" t="s">
        <v>197</v>
      </c>
      <c r="B14" s="11"/>
      <c r="C14" s="11"/>
      <c r="D14" s="11"/>
      <c r="E14" s="11"/>
    </row>
    <row r="15" spans="1:5" x14ac:dyDescent="0.25">
      <c r="A15" t="s">
        <v>198</v>
      </c>
    </row>
    <row r="16" spans="1:5" x14ac:dyDescent="0.25">
      <c r="A16" t="s">
        <v>199</v>
      </c>
    </row>
    <row r="17" spans="1:5" x14ac:dyDescent="0.25">
      <c r="A17" t="s">
        <v>200</v>
      </c>
    </row>
    <row r="18" spans="1:5" x14ac:dyDescent="0.25">
      <c r="A18" t="s">
        <v>201</v>
      </c>
    </row>
    <row r="19" spans="1:5" x14ac:dyDescent="0.25">
      <c r="A19" t="s">
        <v>202</v>
      </c>
      <c r="B19" s="11">
        <v>412960</v>
      </c>
      <c r="C19" s="11">
        <v>290560</v>
      </c>
      <c r="D19" s="11">
        <v>296050</v>
      </c>
      <c r="E19" s="11">
        <v>344160</v>
      </c>
    </row>
    <row r="20" spans="1:5" x14ac:dyDescent="0.25">
      <c r="A20" t="s">
        <v>203</v>
      </c>
    </row>
    <row r="23" spans="1:5" x14ac:dyDescent="0.25">
      <c r="A23" t="s">
        <v>75</v>
      </c>
      <c r="B23" s="14">
        <f>SUM(B3:B18)</f>
        <v>134268560</v>
      </c>
      <c r="C23" s="14">
        <f>SUM(C3:C18)</f>
        <v>132649120</v>
      </c>
      <c r="D23" s="14">
        <f>SUM(D3:D18)</f>
        <v>107830160</v>
      </c>
      <c r="E23" s="14">
        <f>SUM(E3:E18)</f>
        <v>105240560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8A9C-F745-4FD9-A09C-427BDCADA20B}">
  <dimension ref="A2:BC105"/>
  <sheetViews>
    <sheetView workbookViewId="0">
      <selection activeCell="G25" sqref="G25"/>
    </sheetView>
  </sheetViews>
  <sheetFormatPr defaultRowHeight="15" x14ac:dyDescent="0.25"/>
  <cols>
    <col min="1" max="1" width="22.85546875" customWidth="1"/>
    <col min="2" max="2" width="21.140625" customWidth="1"/>
    <col min="3" max="3" width="14.7109375" customWidth="1"/>
    <col min="4" max="4" width="16.42578125" customWidth="1"/>
    <col min="5" max="5" width="14.85546875" customWidth="1"/>
    <col min="6" max="6" width="17.85546875" customWidth="1"/>
    <col min="7" max="7" width="12.28515625" customWidth="1"/>
    <col min="8" max="8" width="14.85546875" customWidth="1"/>
    <col min="9" max="9" width="14.42578125" customWidth="1"/>
    <col min="10" max="10" width="15.140625" customWidth="1"/>
    <col min="11" max="11" width="13.28515625" customWidth="1"/>
    <col min="12" max="12" width="11.140625" customWidth="1"/>
    <col min="13" max="13" width="12" customWidth="1"/>
    <col min="15" max="15" width="17.140625" customWidth="1"/>
    <col min="16" max="16" width="9.85546875" customWidth="1"/>
    <col min="17" max="17" width="10.85546875" customWidth="1"/>
    <col min="18" max="18" width="10.28515625" customWidth="1"/>
    <col min="21" max="21" width="11.42578125" customWidth="1"/>
    <col min="22" max="22" width="16.140625" customWidth="1"/>
    <col min="23" max="23" width="13.85546875" customWidth="1"/>
    <col min="24" max="24" width="12.28515625" customWidth="1"/>
    <col min="32" max="32" width="13.5703125" bestFit="1" customWidth="1"/>
    <col min="33" max="33" width="14.42578125" customWidth="1"/>
    <col min="34" max="34" width="15.85546875" customWidth="1"/>
    <col min="42" max="42" width="12.5703125" bestFit="1" customWidth="1"/>
    <col min="43" max="43" width="16.42578125" customWidth="1"/>
    <col min="44" max="44" width="18.42578125" customWidth="1"/>
    <col min="52" max="52" width="12.5703125" bestFit="1" customWidth="1"/>
    <col min="53" max="53" width="13.42578125" customWidth="1"/>
    <col min="54" max="54" width="14.7109375" customWidth="1"/>
  </cols>
  <sheetData>
    <row r="2" spans="1:55" ht="15.75" thickBot="1" x14ac:dyDescent="0.3"/>
    <row r="3" spans="1:55" ht="23.1" customHeight="1" thickBot="1" x14ac:dyDescent="0.3">
      <c r="B3" s="111" t="s">
        <v>83</v>
      </c>
      <c r="C3" s="109"/>
      <c r="D3" s="109"/>
      <c r="E3" s="109"/>
      <c r="F3" s="109"/>
      <c r="G3" s="109"/>
      <c r="H3" s="109"/>
      <c r="I3" s="109"/>
      <c r="J3" s="110"/>
      <c r="K3" s="111" t="s">
        <v>84</v>
      </c>
      <c r="L3" s="109"/>
      <c r="M3" s="110"/>
    </row>
    <row r="4" spans="1:55" x14ac:dyDescent="0.25">
      <c r="B4" s="60" t="s">
        <v>18</v>
      </c>
      <c r="C4" s="56" t="s">
        <v>0</v>
      </c>
      <c r="D4" s="56" t="s">
        <v>12</v>
      </c>
      <c r="E4" s="56" t="s">
        <v>1</v>
      </c>
      <c r="F4" s="56" t="s">
        <v>13</v>
      </c>
      <c r="G4" s="56" t="s">
        <v>2</v>
      </c>
      <c r="H4" s="56" t="s">
        <v>14</v>
      </c>
      <c r="I4" s="56" t="s">
        <v>193</v>
      </c>
      <c r="J4" s="56" t="s">
        <v>192</v>
      </c>
      <c r="K4" s="60" t="s">
        <v>19</v>
      </c>
      <c r="L4" s="56" t="s">
        <v>20</v>
      </c>
      <c r="M4" s="57">
        <v>2050</v>
      </c>
    </row>
    <row r="5" spans="1:55" x14ac:dyDescent="0.25">
      <c r="A5" t="s">
        <v>87</v>
      </c>
      <c r="B5" s="50">
        <v>2911536</v>
      </c>
      <c r="C5" s="22">
        <f>'Tishman Steam'!B5</f>
        <v>172342.78</v>
      </c>
      <c r="D5" s="25">
        <f>SUM(D7:D9)</f>
        <v>104057124</v>
      </c>
      <c r="E5" s="22">
        <f>'Tishman Steam'!C5</f>
        <v>140689.78999999998</v>
      </c>
      <c r="F5" s="25">
        <f>SUM(F7:F9)</f>
        <v>103793286</v>
      </c>
      <c r="G5" s="22">
        <f>'Tishman Steam'!D5</f>
        <v>117109.90999999997</v>
      </c>
      <c r="H5" s="25">
        <f>SUM(H7:H9)</f>
        <v>89166210</v>
      </c>
      <c r="I5" s="22">
        <f>'Tishman Steam'!E5</f>
        <v>112920.4</v>
      </c>
      <c r="J5" s="59">
        <f>SUM(J7:J9)</f>
        <v>85350840</v>
      </c>
      <c r="K5" s="50">
        <f>B5*lim_24</f>
        <v>24631.594560000001</v>
      </c>
      <c r="L5" s="22">
        <f>B5*lim_30</f>
        <v>13189.25808</v>
      </c>
      <c r="M5" s="38">
        <f>B5*lim_50</f>
        <v>4076.1504</v>
      </c>
      <c r="BC5" s="15"/>
    </row>
    <row r="6" spans="1:55" x14ac:dyDescent="0.25">
      <c r="B6" s="50"/>
      <c r="C6" s="22"/>
      <c r="D6" s="59"/>
      <c r="E6" s="22"/>
      <c r="F6" s="59"/>
      <c r="G6" s="22"/>
      <c r="H6" s="59"/>
      <c r="I6" s="22"/>
      <c r="J6" s="59"/>
      <c r="K6" s="50"/>
      <c r="L6" s="22"/>
      <c r="M6" s="38"/>
      <c r="BC6" s="15"/>
    </row>
    <row r="7" spans="1:55" x14ac:dyDescent="0.25">
      <c r="A7" s="15" t="s">
        <v>85</v>
      </c>
      <c r="B7" s="58"/>
      <c r="C7" s="61">
        <f>$B7/$B$5*C$5</f>
        <v>0</v>
      </c>
      <c r="D7" s="22">
        <f>SUM('Tishman Electric'!B5,'Tishman Electric'!B19)</f>
        <v>38803120</v>
      </c>
      <c r="E7" s="61">
        <f>$B7/$B$5*E$5</f>
        <v>0</v>
      </c>
      <c r="F7" s="22">
        <f>SUM('Tishman Electric'!C5,'Tishman Electric'!C19)</f>
        <v>38591680</v>
      </c>
      <c r="G7" s="61">
        <f>$B7/$B$5*G$5</f>
        <v>0</v>
      </c>
      <c r="H7" s="22">
        <f>SUM('Tishman Electric'!D5,'Tishman Electric'!D19)</f>
        <v>30021810</v>
      </c>
      <c r="I7" s="61">
        <f>$B7/$B$5*I$5</f>
        <v>0</v>
      </c>
      <c r="J7" s="22">
        <f>SUM('Tishman Electric'!E5,'Tishman Electric'!E19)</f>
        <v>29706240</v>
      </c>
      <c r="K7" s="50"/>
      <c r="L7" s="22"/>
      <c r="M7" s="38"/>
      <c r="BC7" s="15"/>
    </row>
    <row r="8" spans="1:55" x14ac:dyDescent="0.25">
      <c r="A8" t="s">
        <v>68</v>
      </c>
      <c r="B8" s="43"/>
      <c r="C8" s="61">
        <f>$B8/$B$5*C$5</f>
        <v>0</v>
      </c>
      <c r="D8" s="20">
        <f>'NBC Energy'!I6</f>
        <v>32263604</v>
      </c>
      <c r="E8" s="61">
        <f>$B8/$B$5*E$5</f>
        <v>0</v>
      </c>
      <c r="F8" s="59">
        <f>'NBC Energy'!I5</f>
        <v>31985606</v>
      </c>
      <c r="G8" s="61">
        <f>$B8/$B$5*G$5</f>
        <v>0</v>
      </c>
      <c r="H8" s="59">
        <f>'NBC Energy'!I4</f>
        <v>29115600</v>
      </c>
      <c r="I8" s="61">
        <f>$B8/$B$5*I$5</f>
        <v>0</v>
      </c>
      <c r="J8" s="59">
        <f>'NBC Energy'!I3</f>
        <v>26143800</v>
      </c>
      <c r="K8" s="50"/>
      <c r="L8" s="22"/>
      <c r="M8" s="38"/>
      <c r="BC8" s="15"/>
    </row>
    <row r="9" spans="1:55" ht="15.75" thickBot="1" x14ac:dyDescent="0.3">
      <c r="A9" t="s">
        <v>17</v>
      </c>
      <c r="B9" s="62"/>
      <c r="C9" s="63"/>
      <c r="D9" s="64">
        <f>'Tishman Electric'!B13</f>
        <v>32990400</v>
      </c>
      <c r="E9" s="63"/>
      <c r="F9" s="64">
        <f>'Tishman Electric'!C13</f>
        <v>33216000</v>
      </c>
      <c r="G9" s="63"/>
      <c r="H9" s="64">
        <f>'Tishman Electric'!D13</f>
        <v>30028800</v>
      </c>
      <c r="I9" s="63"/>
      <c r="J9" s="64">
        <f>'Tishman Electric'!E13</f>
        <v>29500800</v>
      </c>
      <c r="K9" s="62"/>
      <c r="L9" s="63"/>
      <c r="M9" s="65"/>
      <c r="O9" s="9"/>
      <c r="Z9" s="9"/>
      <c r="AA9" s="9"/>
      <c r="AB9" s="9"/>
      <c r="AW9" s="15"/>
      <c r="AX9" s="15"/>
      <c r="AY9" s="15"/>
      <c r="AZ9" s="15"/>
      <c r="BA9" s="15"/>
      <c r="BB9" s="15"/>
      <c r="BC9" s="15"/>
    </row>
    <row r="11" spans="1:55" x14ac:dyDescent="0.25">
      <c r="AW11" s="15"/>
      <c r="AX11" s="15"/>
      <c r="AY11" s="15"/>
      <c r="AZ11" s="15"/>
      <c r="BA11" s="15"/>
      <c r="BB11" s="15"/>
      <c r="BC11" s="15"/>
    </row>
    <row r="12" spans="1:55" x14ac:dyDescent="0.25">
      <c r="AW12" s="15"/>
      <c r="AX12" s="15"/>
      <c r="AY12" s="15"/>
      <c r="AZ12" s="15"/>
      <c r="BA12" s="15"/>
      <c r="BB12" s="15"/>
      <c r="BC12" s="15"/>
    </row>
    <row r="13" spans="1:55" x14ac:dyDescent="0.25">
      <c r="E13" s="11"/>
      <c r="F13" s="11"/>
      <c r="H13" s="11"/>
    </row>
    <row r="14" spans="1:55" x14ac:dyDescent="0.25">
      <c r="E14" s="11"/>
      <c r="F14" s="11"/>
      <c r="H14" s="11"/>
    </row>
    <row r="15" spans="1:55" x14ac:dyDescent="0.25">
      <c r="E15" s="11"/>
      <c r="F15" s="11"/>
      <c r="H15" s="11"/>
    </row>
    <row r="16" spans="1:55" x14ac:dyDescent="0.25">
      <c r="E16" s="11"/>
      <c r="F16" s="11"/>
      <c r="H16" s="11"/>
    </row>
    <row r="17" spans="5:7" x14ac:dyDescent="0.25">
      <c r="E17" s="11"/>
      <c r="F17" s="11"/>
      <c r="G17" s="11"/>
    </row>
    <row r="18" spans="5:7" x14ac:dyDescent="0.25">
      <c r="E18" s="11"/>
      <c r="F18" s="11"/>
      <c r="G18" s="11"/>
    </row>
    <row r="19" spans="5:7" x14ac:dyDescent="0.25">
      <c r="E19" s="11"/>
      <c r="F19" s="11"/>
      <c r="G19" s="11"/>
    </row>
    <row r="20" spans="5:7" x14ac:dyDescent="0.25">
      <c r="E20" s="11"/>
      <c r="F20" s="11"/>
      <c r="G20" s="11"/>
    </row>
    <row r="21" spans="5:7" x14ac:dyDescent="0.25">
      <c r="E21" s="11"/>
      <c r="F21" s="11"/>
      <c r="G21" s="11"/>
    </row>
    <row r="22" spans="5:7" x14ac:dyDescent="0.25">
      <c r="E22" s="11"/>
      <c r="F22" s="11"/>
      <c r="G22" s="11"/>
    </row>
    <row r="23" spans="5:7" x14ac:dyDescent="0.25">
      <c r="E23" s="11"/>
      <c r="F23" s="11"/>
      <c r="G23" s="11"/>
    </row>
    <row r="24" spans="5:7" x14ac:dyDescent="0.25">
      <c r="E24" s="11"/>
      <c r="F24" s="11"/>
      <c r="G24" s="11"/>
    </row>
    <row r="25" spans="5:7" x14ac:dyDescent="0.25">
      <c r="E25" s="11"/>
      <c r="F25" s="11"/>
      <c r="G25" s="11"/>
    </row>
    <row r="26" spans="5:7" x14ac:dyDescent="0.25">
      <c r="E26" s="11"/>
      <c r="F26" s="11"/>
      <c r="G26" s="11"/>
    </row>
    <row r="27" spans="5:7" x14ac:dyDescent="0.25">
      <c r="E27" s="11"/>
      <c r="F27" s="11"/>
      <c r="G27" s="11"/>
    </row>
    <row r="28" spans="5:7" x14ac:dyDescent="0.25">
      <c r="E28" s="11"/>
      <c r="F28" s="11"/>
      <c r="G28" s="11"/>
    </row>
    <row r="29" spans="5:7" x14ac:dyDescent="0.25">
      <c r="E29" s="11"/>
      <c r="F29" s="11"/>
      <c r="G29" s="11"/>
    </row>
    <row r="30" spans="5:7" x14ac:dyDescent="0.25">
      <c r="E30" s="11"/>
      <c r="F30" s="11"/>
      <c r="G30" s="11"/>
    </row>
    <row r="31" spans="5:7" x14ac:dyDescent="0.25">
      <c r="E31" s="11"/>
      <c r="F31" s="11"/>
      <c r="G31" s="11"/>
    </row>
    <row r="32" spans="5:7" x14ac:dyDescent="0.25">
      <c r="E32" s="11"/>
      <c r="F32" s="11"/>
      <c r="G32" s="11"/>
    </row>
    <row r="33" spans="5:7" x14ac:dyDescent="0.25">
      <c r="E33" s="11"/>
      <c r="F33" s="11"/>
      <c r="G33" s="11"/>
    </row>
    <row r="34" spans="5:7" x14ac:dyDescent="0.25">
      <c r="E34" s="11"/>
      <c r="F34" s="11"/>
      <c r="G34" s="11"/>
    </row>
    <row r="35" spans="5:7" x14ac:dyDescent="0.25">
      <c r="E35" s="11"/>
      <c r="F35" s="11"/>
      <c r="G35" s="11"/>
    </row>
    <row r="36" spans="5:7" x14ac:dyDescent="0.25">
      <c r="E36" s="11"/>
      <c r="F36" s="11"/>
      <c r="G36" s="11"/>
    </row>
    <row r="37" spans="5:7" x14ac:dyDescent="0.25">
      <c r="E37" s="11"/>
      <c r="F37" s="11"/>
      <c r="G37" s="11"/>
    </row>
    <row r="38" spans="5:7" x14ac:dyDescent="0.25">
      <c r="E38" s="11"/>
      <c r="F38" s="11"/>
      <c r="G38" s="11"/>
    </row>
    <row r="39" spans="5:7" x14ac:dyDescent="0.25">
      <c r="E39" s="11"/>
      <c r="F39" s="11"/>
      <c r="G39" s="11"/>
    </row>
    <row r="40" spans="5:7" x14ac:dyDescent="0.25">
      <c r="E40" s="11"/>
      <c r="F40" s="11"/>
      <c r="G40" s="11"/>
    </row>
    <row r="41" spans="5:7" x14ac:dyDescent="0.25">
      <c r="E41" s="11"/>
      <c r="F41" s="11"/>
      <c r="G41" s="11"/>
    </row>
    <row r="42" spans="5:7" x14ac:dyDescent="0.25">
      <c r="E42" s="11"/>
      <c r="F42" s="11"/>
      <c r="G42" s="11"/>
    </row>
    <row r="43" spans="5:7" x14ac:dyDescent="0.25">
      <c r="E43" s="11"/>
      <c r="F43" s="11"/>
      <c r="G43" s="11"/>
    </row>
    <row r="44" spans="5:7" x14ac:dyDescent="0.25">
      <c r="E44" s="11"/>
      <c r="F44" s="11"/>
      <c r="G44" s="11"/>
    </row>
    <row r="45" spans="5:7" x14ac:dyDescent="0.25">
      <c r="E45" s="11"/>
      <c r="F45" s="11"/>
      <c r="G45" s="11"/>
    </row>
    <row r="46" spans="5:7" x14ac:dyDescent="0.25">
      <c r="E46" s="11"/>
      <c r="F46" s="11"/>
      <c r="G46" s="11"/>
    </row>
    <row r="47" spans="5:7" x14ac:dyDescent="0.25">
      <c r="E47" s="11"/>
      <c r="F47" s="11"/>
      <c r="G47" s="11"/>
    </row>
    <row r="48" spans="5:7" x14ac:dyDescent="0.25">
      <c r="E48" s="11"/>
      <c r="F48" s="11"/>
      <c r="G48" s="11"/>
    </row>
    <row r="49" spans="5:7" x14ac:dyDescent="0.25">
      <c r="E49" s="11"/>
      <c r="F49" s="11"/>
      <c r="G49" s="11"/>
    </row>
    <row r="50" spans="5:7" x14ac:dyDescent="0.25">
      <c r="E50" s="11"/>
      <c r="F50" s="11"/>
      <c r="G50" s="11"/>
    </row>
    <row r="51" spans="5:7" x14ac:dyDescent="0.25">
      <c r="E51" s="11"/>
      <c r="F51" s="11"/>
      <c r="G51" s="11"/>
    </row>
    <row r="52" spans="5:7" x14ac:dyDescent="0.25">
      <c r="E52" s="11"/>
      <c r="F52" s="11"/>
      <c r="G52" s="11"/>
    </row>
    <row r="53" spans="5:7" x14ac:dyDescent="0.25">
      <c r="E53" s="11"/>
      <c r="F53" s="11"/>
      <c r="G53" s="11"/>
    </row>
    <row r="54" spans="5:7" x14ac:dyDescent="0.25">
      <c r="E54" s="11"/>
      <c r="F54" s="11"/>
      <c r="G54" s="11"/>
    </row>
    <row r="55" spans="5:7" x14ac:dyDescent="0.25">
      <c r="E55" s="11"/>
      <c r="F55" s="11"/>
      <c r="G55" s="11"/>
    </row>
    <row r="56" spans="5:7" x14ac:dyDescent="0.25">
      <c r="E56" s="11"/>
      <c r="F56" s="11"/>
      <c r="G56" s="11"/>
    </row>
    <row r="57" spans="5:7" x14ac:dyDescent="0.25">
      <c r="E57" s="11"/>
      <c r="F57" s="11"/>
      <c r="G57" s="11"/>
    </row>
    <row r="58" spans="5:7" x14ac:dyDescent="0.25">
      <c r="E58" s="11"/>
      <c r="F58" s="11"/>
      <c r="G58" s="11"/>
    </row>
    <row r="59" spans="5:7" x14ac:dyDescent="0.25">
      <c r="E59" s="11"/>
      <c r="F59" s="11"/>
      <c r="G59" s="11"/>
    </row>
    <row r="60" spans="5:7" x14ac:dyDescent="0.25">
      <c r="E60" s="11"/>
      <c r="F60" s="11"/>
      <c r="G60" s="11"/>
    </row>
    <row r="61" spans="5:7" x14ac:dyDescent="0.25">
      <c r="E61" s="11"/>
      <c r="F61" s="11"/>
      <c r="G61" s="11"/>
    </row>
    <row r="62" spans="5:7" x14ac:dyDescent="0.25">
      <c r="E62" s="11"/>
      <c r="F62" s="11"/>
      <c r="G62" s="11"/>
    </row>
    <row r="63" spans="5:7" x14ac:dyDescent="0.25">
      <c r="E63" s="11"/>
      <c r="F63" s="11"/>
      <c r="G63" s="11"/>
    </row>
    <row r="64" spans="5:7" x14ac:dyDescent="0.25">
      <c r="E64" s="11"/>
      <c r="F64" s="11"/>
      <c r="G64" s="11"/>
    </row>
    <row r="65" spans="5:7" x14ac:dyDescent="0.25">
      <c r="E65" s="11"/>
      <c r="F65" s="11"/>
      <c r="G65" s="11"/>
    </row>
    <row r="66" spans="5:7" x14ac:dyDescent="0.25">
      <c r="E66" s="11"/>
      <c r="F66" s="11"/>
      <c r="G66" s="11"/>
    </row>
    <row r="67" spans="5:7" x14ac:dyDescent="0.25">
      <c r="E67" s="11"/>
      <c r="F67" s="11"/>
      <c r="G67" s="11"/>
    </row>
    <row r="68" spans="5:7" x14ac:dyDescent="0.25">
      <c r="E68" s="11"/>
      <c r="F68" s="11"/>
      <c r="G68" s="11"/>
    </row>
    <row r="69" spans="5:7" x14ac:dyDescent="0.25">
      <c r="E69" s="11"/>
      <c r="F69" s="11"/>
      <c r="G69" s="11"/>
    </row>
    <row r="70" spans="5:7" x14ac:dyDescent="0.25">
      <c r="E70" s="11"/>
      <c r="F70" s="11"/>
      <c r="G70" s="11"/>
    </row>
    <row r="71" spans="5:7" x14ac:dyDescent="0.25">
      <c r="E71" s="11"/>
      <c r="F71" s="11"/>
      <c r="G71" s="11"/>
    </row>
    <row r="72" spans="5:7" x14ac:dyDescent="0.25">
      <c r="E72" s="11"/>
      <c r="F72" s="11"/>
      <c r="G72" s="11"/>
    </row>
    <row r="73" spans="5:7" x14ac:dyDescent="0.25">
      <c r="E73" s="11"/>
      <c r="F73" s="11"/>
      <c r="G73" s="11"/>
    </row>
    <row r="74" spans="5:7" x14ac:dyDescent="0.25">
      <c r="E74" s="11"/>
      <c r="F74" s="11"/>
      <c r="G74" s="11"/>
    </row>
    <row r="75" spans="5:7" x14ac:dyDescent="0.25">
      <c r="E75" s="11"/>
      <c r="F75" s="11"/>
      <c r="G75" s="11"/>
    </row>
    <row r="76" spans="5:7" x14ac:dyDescent="0.25">
      <c r="E76" s="11"/>
      <c r="F76" s="11"/>
      <c r="G76" s="11"/>
    </row>
    <row r="77" spans="5:7" x14ac:dyDescent="0.25">
      <c r="E77" s="11"/>
      <c r="F77" s="11"/>
      <c r="G77" s="11"/>
    </row>
    <row r="78" spans="5:7" x14ac:dyDescent="0.25">
      <c r="E78" s="11"/>
      <c r="F78" s="11"/>
      <c r="G78" s="11"/>
    </row>
    <row r="79" spans="5:7" x14ac:dyDescent="0.25">
      <c r="E79" s="11"/>
      <c r="F79" s="11"/>
      <c r="G79" s="11"/>
    </row>
    <row r="80" spans="5:7" x14ac:dyDescent="0.25">
      <c r="E80" s="11"/>
      <c r="F80" s="11"/>
      <c r="G80" s="11"/>
    </row>
    <row r="81" spans="5:7" x14ac:dyDescent="0.25">
      <c r="E81" s="11"/>
      <c r="F81" s="11"/>
      <c r="G81" s="11"/>
    </row>
    <row r="82" spans="5:7" x14ac:dyDescent="0.25">
      <c r="E82" s="11"/>
      <c r="F82" s="11"/>
      <c r="G82" s="11"/>
    </row>
    <row r="83" spans="5:7" x14ac:dyDescent="0.25">
      <c r="E83" s="11"/>
      <c r="F83" s="11"/>
      <c r="G83" s="11"/>
    </row>
    <row r="84" spans="5:7" x14ac:dyDescent="0.25">
      <c r="E84" s="11"/>
      <c r="F84" s="11"/>
      <c r="G84" s="11"/>
    </row>
    <row r="85" spans="5:7" x14ac:dyDescent="0.25">
      <c r="E85" s="11"/>
      <c r="F85" s="11"/>
      <c r="G85" s="11"/>
    </row>
    <row r="86" spans="5:7" x14ac:dyDescent="0.25">
      <c r="E86" s="11"/>
      <c r="F86" s="11"/>
      <c r="G86" s="11"/>
    </row>
    <row r="87" spans="5:7" x14ac:dyDescent="0.25">
      <c r="E87" s="11"/>
      <c r="F87" s="11"/>
      <c r="G87" s="11"/>
    </row>
    <row r="88" spans="5:7" x14ac:dyDescent="0.25">
      <c r="E88" s="11"/>
      <c r="F88" s="11"/>
      <c r="G88" s="11"/>
    </row>
    <row r="89" spans="5:7" x14ac:dyDescent="0.25">
      <c r="E89" s="11"/>
      <c r="F89" s="11"/>
      <c r="G89" s="11"/>
    </row>
    <row r="90" spans="5:7" x14ac:dyDescent="0.25">
      <c r="E90" s="11"/>
      <c r="F90" s="11"/>
      <c r="G90" s="11"/>
    </row>
    <row r="91" spans="5:7" x14ac:dyDescent="0.25">
      <c r="E91" s="11"/>
      <c r="F91" s="11"/>
      <c r="G91" s="11"/>
    </row>
    <row r="92" spans="5:7" x14ac:dyDescent="0.25">
      <c r="E92" s="11"/>
      <c r="F92" s="11"/>
      <c r="G92" s="11"/>
    </row>
    <row r="93" spans="5:7" x14ac:dyDescent="0.25">
      <c r="E93" s="11"/>
      <c r="F93" s="11"/>
      <c r="G93" s="11"/>
    </row>
    <row r="94" spans="5:7" x14ac:dyDescent="0.25">
      <c r="E94" s="11"/>
      <c r="F94" s="11"/>
      <c r="G94" s="11"/>
    </row>
    <row r="95" spans="5:7" x14ac:dyDescent="0.25">
      <c r="E95" s="11"/>
      <c r="F95" s="11"/>
      <c r="G95" s="11"/>
    </row>
    <row r="96" spans="5:7" x14ac:dyDescent="0.25">
      <c r="E96" s="11"/>
      <c r="F96" s="11"/>
      <c r="G96" s="11"/>
    </row>
    <row r="97" spans="5:7" x14ac:dyDescent="0.25">
      <c r="E97" s="11"/>
      <c r="F97" s="11"/>
      <c r="G97" s="11"/>
    </row>
    <row r="98" spans="5:7" x14ac:dyDescent="0.25">
      <c r="E98" s="11"/>
      <c r="F98" s="11"/>
      <c r="G98" s="11"/>
    </row>
    <row r="99" spans="5:7" x14ac:dyDescent="0.25">
      <c r="E99" s="11"/>
      <c r="F99" s="11"/>
      <c r="G99" s="11"/>
    </row>
    <row r="100" spans="5:7" x14ac:dyDescent="0.25">
      <c r="E100" s="11"/>
      <c r="F100" s="11"/>
      <c r="G100" s="11"/>
    </row>
    <row r="101" spans="5:7" x14ac:dyDescent="0.25">
      <c r="E101" s="11"/>
      <c r="F101" s="11"/>
      <c r="G101" s="11"/>
    </row>
    <row r="102" spans="5:7" x14ac:dyDescent="0.25">
      <c r="E102" s="11"/>
      <c r="F102" s="11"/>
      <c r="G102" s="11"/>
    </row>
    <row r="103" spans="5:7" x14ac:dyDescent="0.25">
      <c r="E103" s="11"/>
      <c r="F103" s="11"/>
      <c r="G103" s="11"/>
    </row>
    <row r="104" spans="5:7" x14ac:dyDescent="0.25">
      <c r="E104" s="11"/>
      <c r="F104" s="11"/>
      <c r="G104" s="11"/>
    </row>
    <row r="105" spans="5:7" x14ac:dyDescent="0.25">
      <c r="E105" s="11"/>
      <c r="F105" s="11"/>
      <c r="G105" s="11"/>
    </row>
  </sheetData>
  <mergeCells count="2">
    <mergeCell ref="B3:J3"/>
    <mergeCell ref="K3:M3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9563A-FF2C-441A-8C25-4BF69356AAC5}">
  <dimension ref="B1:I64"/>
  <sheetViews>
    <sheetView workbookViewId="0">
      <selection activeCell="I13" sqref="I13"/>
    </sheetView>
  </sheetViews>
  <sheetFormatPr defaultRowHeight="15" x14ac:dyDescent="0.25"/>
  <cols>
    <col min="2" max="2" width="14.5703125" style="70" customWidth="1"/>
    <col min="3" max="3" width="11.5703125" style="70" customWidth="1"/>
    <col min="4" max="4" width="18.7109375" customWidth="1"/>
    <col min="9" max="9" width="11.5703125" bestFit="1" customWidth="1"/>
  </cols>
  <sheetData>
    <row r="1" spans="2:9" x14ac:dyDescent="0.25">
      <c r="B1" s="70" t="s">
        <v>153</v>
      </c>
      <c r="C1" s="70" t="s">
        <v>154</v>
      </c>
      <c r="D1" t="s">
        <v>34</v>
      </c>
    </row>
    <row r="2" spans="2:9" x14ac:dyDescent="0.25">
      <c r="B2" s="70" t="s">
        <v>155</v>
      </c>
      <c r="C2" s="70" t="s">
        <v>167</v>
      </c>
      <c r="D2" s="11">
        <v>2144800</v>
      </c>
    </row>
    <row r="3" spans="2:9" x14ac:dyDescent="0.25">
      <c r="B3" s="70" t="s">
        <v>156</v>
      </c>
      <c r="C3" s="70" t="s">
        <v>155</v>
      </c>
      <c r="D3" s="11">
        <v>2157200</v>
      </c>
      <c r="H3">
        <v>2021</v>
      </c>
      <c r="I3" s="9">
        <f>SUM(D9:D20)</f>
        <v>26143800</v>
      </c>
    </row>
    <row r="4" spans="2:9" x14ac:dyDescent="0.25">
      <c r="B4" s="70" t="s">
        <v>157</v>
      </c>
      <c r="C4" s="70" t="s">
        <v>156</v>
      </c>
      <c r="D4" s="11">
        <v>2334800</v>
      </c>
      <c r="H4">
        <v>2020</v>
      </c>
      <c r="I4" s="9">
        <f>SUM(D21:D32)</f>
        <v>29115600</v>
      </c>
    </row>
    <row r="5" spans="2:9" x14ac:dyDescent="0.25">
      <c r="B5" s="70" t="s">
        <v>159</v>
      </c>
      <c r="C5" s="70" t="s">
        <v>157</v>
      </c>
      <c r="D5" s="11">
        <v>1952800</v>
      </c>
      <c r="H5">
        <v>2019</v>
      </c>
      <c r="I5" s="9">
        <f>SUM(D33:D44)</f>
        <v>31985606</v>
      </c>
    </row>
    <row r="6" spans="2:9" x14ac:dyDescent="0.25">
      <c r="B6" s="70" t="s">
        <v>158</v>
      </c>
      <c r="C6" s="70" t="s">
        <v>159</v>
      </c>
      <c r="D6" s="11">
        <v>2193600</v>
      </c>
      <c r="H6">
        <v>2018</v>
      </c>
      <c r="I6" s="9">
        <f>SUM(D45:D56)</f>
        <v>32263604</v>
      </c>
    </row>
    <row r="7" spans="2:9" x14ac:dyDescent="0.25">
      <c r="B7" s="70" t="s">
        <v>160</v>
      </c>
      <c r="C7" s="70" t="s">
        <v>158</v>
      </c>
      <c r="D7" s="11">
        <v>2242000</v>
      </c>
    </row>
    <row r="8" spans="2:9" x14ac:dyDescent="0.25">
      <c r="B8" s="70" t="s">
        <v>161</v>
      </c>
      <c r="C8" s="70" t="s">
        <v>160</v>
      </c>
      <c r="D8" s="11">
        <v>2028000</v>
      </c>
    </row>
    <row r="9" spans="2:9" x14ac:dyDescent="0.25">
      <c r="B9" s="70" t="s">
        <v>162</v>
      </c>
      <c r="C9" s="70" t="s">
        <v>161</v>
      </c>
      <c r="D9" s="11">
        <v>2016400</v>
      </c>
    </row>
    <row r="10" spans="2:9" x14ac:dyDescent="0.25">
      <c r="B10" s="70" t="s">
        <v>163</v>
      </c>
      <c r="C10" s="70" t="s">
        <v>162</v>
      </c>
      <c r="D10" s="11">
        <v>2142800</v>
      </c>
    </row>
    <row r="11" spans="2:9" x14ac:dyDescent="0.25">
      <c r="B11" s="70" t="s">
        <v>164</v>
      </c>
      <c r="C11" s="70" t="s">
        <v>163</v>
      </c>
      <c r="D11" s="11">
        <v>1945200</v>
      </c>
    </row>
    <row r="12" spans="2:9" x14ac:dyDescent="0.25">
      <c r="B12" s="70" t="s">
        <v>165</v>
      </c>
      <c r="C12" s="70" t="s">
        <v>164</v>
      </c>
      <c r="D12" s="11">
        <v>2215600</v>
      </c>
    </row>
    <row r="13" spans="2:9" x14ac:dyDescent="0.25">
      <c r="B13" s="70" t="s">
        <v>166</v>
      </c>
      <c r="C13" s="70" t="s">
        <v>165</v>
      </c>
      <c r="D13" s="11">
        <v>2208400</v>
      </c>
    </row>
    <row r="14" spans="2:9" x14ac:dyDescent="0.25">
      <c r="B14" s="70" t="s">
        <v>93</v>
      </c>
      <c r="C14" s="70" t="s">
        <v>166</v>
      </c>
      <c r="D14" s="11">
        <v>2110800</v>
      </c>
    </row>
    <row r="15" spans="2:9" x14ac:dyDescent="0.25">
      <c r="B15" s="70" t="s">
        <v>94</v>
      </c>
      <c r="C15" s="70" t="s">
        <v>93</v>
      </c>
      <c r="D15" s="11">
        <v>2620800</v>
      </c>
    </row>
    <row r="16" spans="2:9" x14ac:dyDescent="0.25">
      <c r="B16" s="70" t="s">
        <v>95</v>
      </c>
      <c r="C16" s="70" t="s">
        <v>94</v>
      </c>
      <c r="D16" s="11">
        <v>2343200</v>
      </c>
    </row>
    <row r="17" spans="2:4" x14ac:dyDescent="0.25">
      <c r="B17" s="70" t="s">
        <v>96</v>
      </c>
      <c r="C17" s="70" t="s">
        <v>95</v>
      </c>
      <c r="D17" s="11">
        <v>2029600</v>
      </c>
    </row>
    <row r="18" spans="2:4" x14ac:dyDescent="0.25">
      <c r="B18" s="70" t="s">
        <v>97</v>
      </c>
      <c r="C18" s="70" t="s">
        <v>96</v>
      </c>
      <c r="D18" s="12">
        <f>AVERAGE(D17,D19)</f>
        <v>2133800</v>
      </c>
    </row>
    <row r="19" spans="2:4" x14ac:dyDescent="0.25">
      <c r="B19" s="70" t="s">
        <v>98</v>
      </c>
      <c r="C19" s="70" t="s">
        <v>97</v>
      </c>
      <c r="D19" s="11">
        <v>2238000</v>
      </c>
    </row>
    <row r="20" spans="2:4" x14ac:dyDescent="0.25">
      <c r="B20" s="70" t="s">
        <v>99</v>
      </c>
      <c r="C20" s="70" t="s">
        <v>98</v>
      </c>
      <c r="D20" s="11">
        <v>2139200</v>
      </c>
    </row>
    <row r="21" spans="2:4" x14ac:dyDescent="0.25">
      <c r="B21" s="70" t="s">
        <v>100</v>
      </c>
      <c r="C21" s="70" t="s">
        <v>99</v>
      </c>
      <c r="D21" s="11">
        <v>2324400</v>
      </c>
    </row>
    <row r="22" spans="2:4" x14ac:dyDescent="0.25">
      <c r="B22" s="70" t="s">
        <v>101</v>
      </c>
      <c r="C22" s="70" t="s">
        <v>100</v>
      </c>
      <c r="D22" s="11">
        <v>2634400</v>
      </c>
    </row>
    <row r="23" spans="2:4" x14ac:dyDescent="0.25">
      <c r="B23" s="70" t="s">
        <v>102</v>
      </c>
      <c r="C23" s="70" t="s">
        <v>101</v>
      </c>
      <c r="D23" s="11">
        <v>2570400</v>
      </c>
    </row>
    <row r="24" spans="2:4" x14ac:dyDescent="0.25">
      <c r="B24" s="70" t="s">
        <v>103</v>
      </c>
      <c r="C24" s="70" t="s">
        <v>102</v>
      </c>
      <c r="D24" s="11">
        <v>2247600</v>
      </c>
    </row>
    <row r="25" spans="2:4" x14ac:dyDescent="0.25">
      <c r="B25" s="70" t="s">
        <v>104</v>
      </c>
      <c r="C25" s="70" t="s">
        <v>103</v>
      </c>
      <c r="D25" s="11">
        <v>2376000</v>
      </c>
    </row>
    <row r="26" spans="2:4" x14ac:dyDescent="0.25">
      <c r="B26" s="70" t="s">
        <v>105</v>
      </c>
      <c r="C26" s="70" t="s">
        <v>104</v>
      </c>
      <c r="D26" s="12">
        <f>AVERAGE(D25,D27)</f>
        <v>2500400</v>
      </c>
    </row>
    <row r="27" spans="2:4" x14ac:dyDescent="0.25">
      <c r="B27" s="70" t="s">
        <v>106</v>
      </c>
      <c r="C27" s="70" t="s">
        <v>105</v>
      </c>
      <c r="D27" s="11">
        <v>2624800</v>
      </c>
    </row>
    <row r="28" spans="2:4" x14ac:dyDescent="0.25">
      <c r="B28" s="70" t="s">
        <v>107</v>
      </c>
      <c r="C28" s="70" t="s">
        <v>106</v>
      </c>
      <c r="D28" s="11">
        <v>2316000</v>
      </c>
    </row>
    <row r="29" spans="2:4" x14ac:dyDescent="0.25">
      <c r="B29" s="70" t="s">
        <v>108</v>
      </c>
      <c r="C29" s="70" t="s">
        <v>107</v>
      </c>
      <c r="D29" s="11">
        <v>2196800</v>
      </c>
    </row>
    <row r="30" spans="2:4" x14ac:dyDescent="0.25">
      <c r="B30" s="70" t="s">
        <v>109</v>
      </c>
      <c r="C30" s="70" t="s">
        <v>108</v>
      </c>
      <c r="D30" s="11">
        <v>2504000</v>
      </c>
    </row>
    <row r="31" spans="2:4" x14ac:dyDescent="0.25">
      <c r="B31" s="70" t="s">
        <v>110</v>
      </c>
      <c r="C31" s="70" t="s">
        <v>109</v>
      </c>
      <c r="D31" s="11">
        <v>2452800</v>
      </c>
    </row>
    <row r="32" spans="2:4" x14ac:dyDescent="0.25">
      <c r="B32" s="70" t="s">
        <v>111</v>
      </c>
      <c r="C32" s="70" t="s">
        <v>110</v>
      </c>
      <c r="D32" s="11">
        <v>2368000</v>
      </c>
    </row>
    <row r="33" spans="2:4" x14ac:dyDescent="0.25">
      <c r="B33" s="70" t="s">
        <v>183</v>
      </c>
      <c r="C33" s="70" t="s">
        <v>111</v>
      </c>
      <c r="D33" s="11">
        <v>2900800</v>
      </c>
    </row>
    <row r="34" spans="2:4" x14ac:dyDescent="0.25">
      <c r="B34" s="70" t="s">
        <v>113</v>
      </c>
      <c r="C34" s="70" t="s">
        <v>183</v>
      </c>
      <c r="D34" s="11">
        <v>2899200</v>
      </c>
    </row>
    <row r="35" spans="2:4" x14ac:dyDescent="0.25">
      <c r="B35" s="70" t="s">
        <v>114</v>
      </c>
      <c r="C35" s="70" t="s">
        <v>113</v>
      </c>
      <c r="D35" s="11">
        <v>2377200</v>
      </c>
    </row>
    <row r="36" spans="2:4" x14ac:dyDescent="0.25">
      <c r="B36" s="70" t="s">
        <v>115</v>
      </c>
      <c r="C36" s="70" t="s">
        <v>114</v>
      </c>
      <c r="D36" s="11">
        <v>2637201</v>
      </c>
    </row>
    <row r="37" spans="2:4" x14ac:dyDescent="0.25">
      <c r="B37" s="70" t="s">
        <v>116</v>
      </c>
      <c r="C37" s="70" t="s">
        <v>115</v>
      </c>
      <c r="D37" s="11">
        <v>2752401</v>
      </c>
    </row>
    <row r="38" spans="2:4" x14ac:dyDescent="0.25">
      <c r="B38" s="70" t="s">
        <v>117</v>
      </c>
      <c r="C38" s="70" t="s">
        <v>116</v>
      </c>
      <c r="D38" s="11">
        <v>2741201</v>
      </c>
    </row>
    <row r="39" spans="2:4" x14ac:dyDescent="0.25">
      <c r="B39" s="70" t="s">
        <v>118</v>
      </c>
      <c r="C39" s="70" t="s">
        <v>117</v>
      </c>
      <c r="D39" s="11">
        <v>2678801</v>
      </c>
    </row>
    <row r="40" spans="2:4" x14ac:dyDescent="0.25">
      <c r="B40" s="70" t="s">
        <v>119</v>
      </c>
      <c r="C40" s="70" t="s">
        <v>118</v>
      </c>
      <c r="D40" s="11">
        <v>2730001</v>
      </c>
    </row>
    <row r="41" spans="2:4" x14ac:dyDescent="0.25">
      <c r="B41" s="70" t="s">
        <v>120</v>
      </c>
      <c r="C41" s="70" t="s">
        <v>119</v>
      </c>
      <c r="D41" s="11">
        <v>2958800</v>
      </c>
    </row>
    <row r="42" spans="2:4" x14ac:dyDescent="0.25">
      <c r="B42" s="70" t="s">
        <v>121</v>
      </c>
      <c r="C42" s="70" t="s">
        <v>120</v>
      </c>
      <c r="D42" s="11">
        <v>2336400</v>
      </c>
    </row>
    <row r="43" spans="2:4" x14ac:dyDescent="0.25">
      <c r="B43" s="70" t="s">
        <v>122</v>
      </c>
      <c r="C43" s="70" t="s">
        <v>121</v>
      </c>
      <c r="D43" s="11">
        <v>2238800</v>
      </c>
    </row>
    <row r="44" spans="2:4" x14ac:dyDescent="0.25">
      <c r="B44" s="70" t="s">
        <v>123</v>
      </c>
      <c r="C44" s="70" t="s">
        <v>122</v>
      </c>
      <c r="D44" s="11">
        <v>2734801</v>
      </c>
    </row>
    <row r="45" spans="2:4" x14ac:dyDescent="0.25">
      <c r="B45" s="70" t="s">
        <v>124</v>
      </c>
      <c r="C45" s="70" t="s">
        <v>123</v>
      </c>
      <c r="D45" s="11">
        <v>2296400</v>
      </c>
    </row>
    <row r="46" spans="2:4" x14ac:dyDescent="0.25">
      <c r="B46" s="70" t="s">
        <v>125</v>
      </c>
      <c r="C46" s="70" t="s">
        <v>124</v>
      </c>
      <c r="D46" s="11">
        <v>2989200</v>
      </c>
    </row>
    <row r="47" spans="2:4" x14ac:dyDescent="0.25">
      <c r="B47" s="70" t="s">
        <v>126</v>
      </c>
      <c r="C47" s="70" t="s">
        <v>125</v>
      </c>
      <c r="D47" s="11">
        <v>2234001</v>
      </c>
    </row>
    <row r="48" spans="2:4" x14ac:dyDescent="0.25">
      <c r="B48" s="70" t="s">
        <v>127</v>
      </c>
      <c r="C48" s="70" t="s">
        <v>126</v>
      </c>
      <c r="D48" s="11">
        <v>2888801</v>
      </c>
    </row>
    <row r="49" spans="2:4" x14ac:dyDescent="0.25">
      <c r="B49" s="70" t="s">
        <v>128</v>
      </c>
      <c r="C49" s="70" t="s">
        <v>127</v>
      </c>
      <c r="D49" s="11">
        <v>2877200</v>
      </c>
    </row>
    <row r="50" spans="2:4" x14ac:dyDescent="0.25">
      <c r="B50" s="70" t="s">
        <v>129</v>
      </c>
      <c r="C50" s="70" t="s">
        <v>128</v>
      </c>
      <c r="D50" s="11">
        <v>2456801</v>
      </c>
    </row>
    <row r="51" spans="2:4" x14ac:dyDescent="0.25">
      <c r="B51" s="70" t="s">
        <v>130</v>
      </c>
      <c r="C51" s="70" t="s">
        <v>129</v>
      </c>
      <c r="D51" s="11">
        <v>2659201</v>
      </c>
    </row>
    <row r="52" spans="2:4" x14ac:dyDescent="0.25">
      <c r="B52" s="70" t="s">
        <v>131</v>
      </c>
      <c r="C52" s="70" t="s">
        <v>130</v>
      </c>
      <c r="D52" s="11">
        <v>2843200</v>
      </c>
    </row>
    <row r="53" spans="2:4" x14ac:dyDescent="0.25">
      <c r="B53" s="70" t="s">
        <v>132</v>
      </c>
      <c r="C53" s="70" t="s">
        <v>131</v>
      </c>
      <c r="D53" s="11">
        <v>2610800</v>
      </c>
    </row>
    <row r="54" spans="2:4" x14ac:dyDescent="0.25">
      <c r="B54" s="70" t="s">
        <v>184</v>
      </c>
      <c r="C54" s="70" t="s">
        <v>132</v>
      </c>
      <c r="D54" s="11">
        <v>2608400</v>
      </c>
    </row>
    <row r="55" spans="2:4" x14ac:dyDescent="0.25">
      <c r="B55" s="70" t="s">
        <v>134</v>
      </c>
      <c r="C55" s="70" t="s">
        <v>184</v>
      </c>
      <c r="D55" s="11">
        <v>2873200</v>
      </c>
    </row>
    <row r="56" spans="2:4" x14ac:dyDescent="0.25">
      <c r="B56" s="70" t="s">
        <v>135</v>
      </c>
      <c r="C56" s="70" t="s">
        <v>134</v>
      </c>
      <c r="D56" s="11">
        <v>2926400</v>
      </c>
    </row>
    <row r="57" spans="2:4" x14ac:dyDescent="0.25">
      <c r="B57" s="70" t="s">
        <v>136</v>
      </c>
      <c r="C57" s="70" t="s">
        <v>135</v>
      </c>
      <c r="D57" s="11">
        <v>2423600</v>
      </c>
    </row>
    <row r="58" spans="2:4" x14ac:dyDescent="0.25">
      <c r="B58" s="70" t="s">
        <v>185</v>
      </c>
      <c r="C58" s="70" t="s">
        <v>136</v>
      </c>
      <c r="D58" s="11">
        <v>3153200</v>
      </c>
    </row>
    <row r="59" spans="2:4" x14ac:dyDescent="0.25">
      <c r="B59" s="70" t="s">
        <v>186</v>
      </c>
      <c r="C59" s="70" t="s">
        <v>185</v>
      </c>
      <c r="D59" s="11">
        <v>2422400</v>
      </c>
    </row>
    <row r="60" spans="2:4" x14ac:dyDescent="0.25">
      <c r="B60" s="70" t="s">
        <v>187</v>
      </c>
      <c r="C60" s="70" t="s">
        <v>186</v>
      </c>
      <c r="D60" s="11">
        <v>2759601</v>
      </c>
    </row>
    <row r="61" spans="2:4" x14ac:dyDescent="0.25">
      <c r="B61" s="70" t="s">
        <v>188</v>
      </c>
      <c r="C61" s="70" t="s">
        <v>187</v>
      </c>
      <c r="D61" s="11">
        <v>3041601</v>
      </c>
    </row>
    <row r="62" spans="2:4" x14ac:dyDescent="0.25">
      <c r="B62" s="70" t="s">
        <v>189</v>
      </c>
      <c r="C62" s="70" t="s">
        <v>188</v>
      </c>
      <c r="D62" s="11">
        <v>2810400</v>
      </c>
    </row>
    <row r="63" spans="2:4" x14ac:dyDescent="0.25">
      <c r="B63" s="70" t="s">
        <v>190</v>
      </c>
      <c r="C63" s="70" t="s">
        <v>189</v>
      </c>
      <c r="D63" s="11">
        <v>2569035</v>
      </c>
    </row>
    <row r="64" spans="2:4" x14ac:dyDescent="0.25">
      <c r="B64" s="70" t="s">
        <v>191</v>
      </c>
      <c r="C64" s="70" t="s">
        <v>190</v>
      </c>
      <c r="D64" s="11">
        <v>2739600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C8201-ACEF-4C0C-8A4C-A857096A52B6}">
  <dimension ref="A1:M66"/>
  <sheetViews>
    <sheetView workbookViewId="0">
      <selection activeCell="L10" sqref="L10"/>
    </sheetView>
  </sheetViews>
  <sheetFormatPr defaultRowHeight="15" x14ac:dyDescent="0.25"/>
  <cols>
    <col min="1" max="1" width="10.5703125" customWidth="1"/>
    <col min="2" max="2" width="20.42578125" style="70" customWidth="1"/>
    <col min="3" max="3" width="19.5703125" style="70" customWidth="1"/>
    <col min="4" max="4" width="12.28515625" style="11" customWidth="1"/>
    <col min="5" max="5" width="12.85546875" customWidth="1"/>
    <col min="6" max="6" width="12.5703125" style="70" customWidth="1"/>
    <col min="7" max="7" width="13.5703125" style="70" customWidth="1"/>
    <col min="8" max="8" width="11.7109375" customWidth="1"/>
    <col min="9" max="9" width="8.7109375" customWidth="1"/>
    <col min="10" max="10" width="13.5703125" customWidth="1"/>
    <col min="11" max="11" width="12" customWidth="1"/>
    <col min="12" max="12" width="14.140625" customWidth="1"/>
  </cols>
  <sheetData>
    <row r="1" spans="1:13" x14ac:dyDescent="0.25">
      <c r="A1" t="s">
        <v>174</v>
      </c>
      <c r="B1" s="70" t="s">
        <v>153</v>
      </c>
      <c r="C1" s="70" t="s">
        <v>154</v>
      </c>
      <c r="D1" s="11" t="s">
        <v>34</v>
      </c>
      <c r="F1" s="70" t="s">
        <v>153</v>
      </c>
      <c r="G1" s="70" t="s">
        <v>154</v>
      </c>
      <c r="H1" s="11" t="s">
        <v>173</v>
      </c>
      <c r="I1" s="11"/>
      <c r="L1" t="s">
        <v>34</v>
      </c>
      <c r="M1" t="s">
        <v>51</v>
      </c>
    </row>
    <row r="2" spans="1:13" x14ac:dyDescent="0.25">
      <c r="B2" s="70" t="s">
        <v>155</v>
      </c>
      <c r="C2" s="70" t="s">
        <v>167</v>
      </c>
      <c r="K2">
        <v>2021</v>
      </c>
      <c r="L2" s="9">
        <f>SUM(D9:D20)</f>
        <v>3872000</v>
      </c>
      <c r="M2" s="9">
        <f>SUM(H9:H20)</f>
        <v>12254.593333333334</v>
      </c>
    </row>
    <row r="3" spans="1:13" x14ac:dyDescent="0.25">
      <c r="B3" s="70" t="s">
        <v>156</v>
      </c>
      <c r="C3" s="70" t="s">
        <v>155</v>
      </c>
      <c r="D3" s="11">
        <v>376800</v>
      </c>
      <c r="K3">
        <v>2020</v>
      </c>
      <c r="L3" s="9">
        <f>SUM(D21:D32)</f>
        <v>2991200</v>
      </c>
      <c r="M3" s="9">
        <f>SUM(H21:H32)</f>
        <v>7729.9000000000005</v>
      </c>
    </row>
    <row r="4" spans="1:13" x14ac:dyDescent="0.25">
      <c r="B4" s="70" t="s">
        <v>157</v>
      </c>
      <c r="C4" s="70" t="s">
        <v>156</v>
      </c>
      <c r="D4" s="11">
        <v>499600</v>
      </c>
      <c r="K4">
        <v>2019</v>
      </c>
      <c r="L4" s="9">
        <f>SUM(D33:D44)</f>
        <v>5274720</v>
      </c>
      <c r="M4" s="9">
        <f>SUM(H33:H44)</f>
        <v>14294.059999999998</v>
      </c>
    </row>
    <row r="5" spans="1:13" x14ac:dyDescent="0.25">
      <c r="B5" s="70" t="s">
        <v>159</v>
      </c>
      <c r="C5" s="70" t="s">
        <v>157</v>
      </c>
      <c r="D5" s="11">
        <v>375200</v>
      </c>
      <c r="J5" s="21"/>
      <c r="K5" s="21">
        <v>2018</v>
      </c>
      <c r="L5" s="25">
        <f>SUM(D45:D56)</f>
        <v>5743840</v>
      </c>
      <c r="M5" s="25">
        <f>SUM(H45:H56)</f>
        <v>14087.370000000003</v>
      </c>
    </row>
    <row r="6" spans="1:13" x14ac:dyDescent="0.25">
      <c r="B6" s="70" t="s">
        <v>158</v>
      </c>
      <c r="C6" s="70" t="s">
        <v>159</v>
      </c>
      <c r="D6" s="11">
        <v>389600</v>
      </c>
      <c r="J6" s="21"/>
      <c r="K6" s="21"/>
      <c r="L6" s="21"/>
      <c r="M6" s="21"/>
    </row>
    <row r="7" spans="1:13" x14ac:dyDescent="0.25">
      <c r="B7" s="70" t="s">
        <v>160</v>
      </c>
      <c r="C7" s="70" t="s">
        <v>158</v>
      </c>
      <c r="D7" s="11">
        <v>388400</v>
      </c>
      <c r="J7" s="21"/>
      <c r="K7" s="21"/>
      <c r="L7" s="21"/>
      <c r="M7" s="21"/>
    </row>
    <row r="8" spans="1:13" x14ac:dyDescent="0.25">
      <c r="B8" s="70" t="s">
        <v>161</v>
      </c>
      <c r="C8" s="70" t="s">
        <v>160</v>
      </c>
      <c r="D8" s="11">
        <v>334000</v>
      </c>
      <c r="J8" s="21"/>
      <c r="K8" s="21"/>
      <c r="L8" s="21"/>
      <c r="M8" s="21"/>
    </row>
    <row r="9" spans="1:13" x14ac:dyDescent="0.25">
      <c r="B9" s="70" t="s">
        <v>170</v>
      </c>
      <c r="C9" s="70" t="s">
        <v>161</v>
      </c>
      <c r="D9" s="11">
        <v>388800</v>
      </c>
      <c r="H9" s="72">
        <f>AVERAGE(H21,H33,H10)</f>
        <v>2040.0233333333333</v>
      </c>
      <c r="J9" s="21"/>
      <c r="K9" s="21"/>
      <c r="L9" s="21"/>
      <c r="M9" s="21"/>
    </row>
    <row r="10" spans="1:13" x14ac:dyDescent="0.25">
      <c r="B10" s="70" t="s">
        <v>163</v>
      </c>
      <c r="C10" s="70" t="s">
        <v>170</v>
      </c>
      <c r="D10" s="11">
        <v>631600</v>
      </c>
      <c r="F10" s="70" t="s">
        <v>163</v>
      </c>
      <c r="G10" s="70" t="s">
        <v>170</v>
      </c>
      <c r="H10" s="11">
        <v>1698.31</v>
      </c>
      <c r="J10" s="80"/>
      <c r="K10" s="80"/>
      <c r="L10" s="81"/>
      <c r="M10" s="21"/>
    </row>
    <row r="11" spans="1:13" x14ac:dyDescent="0.25">
      <c r="B11" s="70" t="s">
        <v>169</v>
      </c>
      <c r="C11" s="70" t="s">
        <v>163</v>
      </c>
      <c r="D11" s="11">
        <v>517600</v>
      </c>
      <c r="F11" s="70" t="s">
        <v>182</v>
      </c>
      <c r="G11" s="70" t="s">
        <v>163</v>
      </c>
      <c r="H11" s="11">
        <v>1817.57</v>
      </c>
      <c r="J11" s="80"/>
      <c r="K11" s="80"/>
      <c r="L11" s="81"/>
      <c r="M11" s="21"/>
    </row>
    <row r="12" spans="1:13" x14ac:dyDescent="0.25">
      <c r="B12" s="70" t="s">
        <v>165</v>
      </c>
      <c r="C12" s="70" t="s">
        <v>169</v>
      </c>
      <c r="D12" s="11">
        <v>352000</v>
      </c>
      <c r="F12" s="70" t="s">
        <v>165</v>
      </c>
      <c r="G12" s="70" t="s">
        <v>182</v>
      </c>
      <c r="H12" s="11">
        <v>137.5</v>
      </c>
      <c r="J12" s="80"/>
      <c r="K12" s="80"/>
      <c r="L12" s="81"/>
      <c r="M12" s="21"/>
    </row>
    <row r="13" spans="1:13" x14ac:dyDescent="0.25">
      <c r="B13" s="70" t="s">
        <v>168</v>
      </c>
      <c r="C13" s="70" t="s">
        <v>165</v>
      </c>
      <c r="D13" s="11">
        <v>308800</v>
      </c>
      <c r="E13" s="74"/>
      <c r="F13" s="70" t="s">
        <v>166</v>
      </c>
      <c r="G13" s="70" t="s">
        <v>165</v>
      </c>
      <c r="H13" s="11">
        <v>134.32</v>
      </c>
      <c r="J13" s="80"/>
      <c r="K13" s="80"/>
      <c r="L13" s="81"/>
      <c r="M13" s="21"/>
    </row>
    <row r="14" spans="1:13" x14ac:dyDescent="0.25">
      <c r="B14" s="70" t="s">
        <v>93</v>
      </c>
      <c r="C14" s="70" t="s">
        <v>168</v>
      </c>
      <c r="D14" s="11">
        <v>333200</v>
      </c>
      <c r="E14" s="74"/>
      <c r="F14" s="70" t="s">
        <v>93</v>
      </c>
      <c r="G14" s="70" t="s">
        <v>166</v>
      </c>
      <c r="H14" s="11">
        <v>151.38</v>
      </c>
      <c r="J14" s="80"/>
      <c r="K14" s="80"/>
      <c r="L14" s="81"/>
      <c r="M14" s="21"/>
    </row>
    <row r="15" spans="1:13" x14ac:dyDescent="0.25">
      <c r="B15" s="70" t="s">
        <v>94</v>
      </c>
      <c r="C15" s="70" t="s">
        <v>93</v>
      </c>
      <c r="D15" s="11">
        <v>264800</v>
      </c>
      <c r="E15" s="74"/>
      <c r="F15" s="70" t="s">
        <v>94</v>
      </c>
      <c r="G15" s="70" t="s">
        <v>93</v>
      </c>
      <c r="H15" s="11">
        <v>142.09</v>
      </c>
      <c r="J15" s="80"/>
      <c r="K15" s="80"/>
      <c r="L15" s="81"/>
      <c r="M15" s="21"/>
    </row>
    <row r="16" spans="1:13" x14ac:dyDescent="0.25">
      <c r="B16" s="70" t="s">
        <v>95</v>
      </c>
      <c r="C16" s="70" t="s">
        <v>94</v>
      </c>
      <c r="D16" s="14">
        <v>221600</v>
      </c>
      <c r="E16" s="74"/>
      <c r="F16" s="70" t="s">
        <v>95</v>
      </c>
      <c r="G16" s="70" t="s">
        <v>94</v>
      </c>
      <c r="H16" s="11">
        <v>213.49</v>
      </c>
      <c r="J16" s="80"/>
      <c r="K16" s="80"/>
      <c r="L16" s="81"/>
      <c r="M16" s="21"/>
    </row>
    <row r="17" spans="2:13" x14ac:dyDescent="0.25">
      <c r="B17" s="70" t="s">
        <v>96</v>
      </c>
      <c r="C17" s="70" t="s">
        <v>95</v>
      </c>
      <c r="D17" s="14">
        <v>210800</v>
      </c>
      <c r="E17" s="74"/>
      <c r="F17" s="70" t="s">
        <v>181</v>
      </c>
      <c r="G17" s="70" t="s">
        <v>95</v>
      </c>
      <c r="H17" s="11">
        <v>242.2</v>
      </c>
      <c r="J17" s="80"/>
      <c r="K17" s="80"/>
      <c r="L17" s="81"/>
      <c r="M17" s="21"/>
    </row>
    <row r="18" spans="2:13" x14ac:dyDescent="0.25">
      <c r="B18" s="70" t="s">
        <v>97</v>
      </c>
      <c r="C18" s="70" t="s">
        <v>96</v>
      </c>
      <c r="D18" s="14">
        <v>187600</v>
      </c>
      <c r="E18" s="74"/>
      <c r="F18" s="70" t="s">
        <v>180</v>
      </c>
      <c r="G18" s="70" t="s">
        <v>181</v>
      </c>
      <c r="H18" s="11">
        <v>898.31</v>
      </c>
      <c r="J18" s="82"/>
      <c r="K18" s="80"/>
      <c r="L18" s="81"/>
      <c r="M18" s="21"/>
    </row>
    <row r="19" spans="2:13" x14ac:dyDescent="0.25">
      <c r="B19" s="70" t="s">
        <v>98</v>
      </c>
      <c r="C19" s="70" t="s">
        <v>97</v>
      </c>
      <c r="D19" s="14">
        <v>237200</v>
      </c>
      <c r="E19" s="74"/>
      <c r="F19" s="70" t="s">
        <v>98</v>
      </c>
      <c r="G19" s="70" t="s">
        <v>180</v>
      </c>
      <c r="H19" s="11">
        <v>2162.86</v>
      </c>
      <c r="J19" s="80"/>
      <c r="K19" s="80"/>
      <c r="L19" s="81"/>
      <c r="M19" s="21"/>
    </row>
    <row r="20" spans="2:13" x14ac:dyDescent="0.25">
      <c r="B20" s="70" t="s">
        <v>99</v>
      </c>
      <c r="C20" s="70" t="s">
        <v>98</v>
      </c>
      <c r="D20" s="14">
        <v>218000</v>
      </c>
      <c r="E20" s="74"/>
      <c r="F20" s="70" t="s">
        <v>99</v>
      </c>
      <c r="G20" s="70" t="s">
        <v>98</v>
      </c>
      <c r="H20" s="11">
        <v>2616.54</v>
      </c>
      <c r="J20" s="80"/>
      <c r="K20" s="80"/>
      <c r="L20" s="81"/>
      <c r="M20" s="21"/>
    </row>
    <row r="21" spans="2:13" x14ac:dyDescent="0.25">
      <c r="B21" s="70" t="s">
        <v>100</v>
      </c>
      <c r="C21" s="70" t="s">
        <v>99</v>
      </c>
      <c r="D21" s="11">
        <v>230400</v>
      </c>
      <c r="E21" s="74"/>
      <c r="F21" s="70" t="s">
        <v>179</v>
      </c>
      <c r="G21" s="70" t="s">
        <v>99</v>
      </c>
      <c r="H21" s="11">
        <v>1594.82</v>
      </c>
      <c r="J21" s="80"/>
      <c r="K21" s="80"/>
      <c r="L21" s="81"/>
      <c r="M21" s="21"/>
    </row>
    <row r="22" spans="2:13" x14ac:dyDescent="0.25">
      <c r="B22" s="70" t="s">
        <v>101</v>
      </c>
      <c r="C22" s="70" t="s">
        <v>100</v>
      </c>
      <c r="D22" s="11">
        <v>234800</v>
      </c>
      <c r="E22" s="74"/>
      <c r="F22" s="70" t="s">
        <v>101</v>
      </c>
      <c r="G22" s="70" t="s">
        <v>179</v>
      </c>
      <c r="H22" s="11">
        <v>569.67999999999995</v>
      </c>
      <c r="J22" s="80"/>
      <c r="K22" s="80"/>
      <c r="L22" s="81"/>
      <c r="M22" s="21"/>
    </row>
    <row r="23" spans="2:13" x14ac:dyDescent="0.25">
      <c r="B23" s="70" t="s">
        <v>102</v>
      </c>
      <c r="C23" s="70" t="s">
        <v>101</v>
      </c>
      <c r="D23" s="11">
        <v>201200</v>
      </c>
      <c r="E23" s="74"/>
      <c r="F23" s="70" t="s">
        <v>102</v>
      </c>
      <c r="G23" s="70" t="s">
        <v>101</v>
      </c>
      <c r="H23" s="11">
        <v>328.11</v>
      </c>
      <c r="J23" s="80"/>
      <c r="K23" s="80"/>
      <c r="L23" s="81"/>
      <c r="M23" s="21"/>
    </row>
    <row r="24" spans="2:13" x14ac:dyDescent="0.25">
      <c r="B24" s="70" t="s">
        <v>103</v>
      </c>
      <c r="C24" s="70" t="s">
        <v>102</v>
      </c>
      <c r="D24" s="11">
        <v>204400</v>
      </c>
      <c r="E24" s="74"/>
      <c r="F24" s="70" t="s">
        <v>103</v>
      </c>
      <c r="G24" s="70" t="s">
        <v>102</v>
      </c>
      <c r="H24" s="11">
        <v>172.53</v>
      </c>
      <c r="J24" s="80"/>
      <c r="K24" s="80"/>
      <c r="L24" s="81"/>
      <c r="M24" s="21"/>
    </row>
    <row r="25" spans="2:13" x14ac:dyDescent="0.25">
      <c r="B25" s="70" t="s">
        <v>104</v>
      </c>
      <c r="C25" s="70" t="s">
        <v>103</v>
      </c>
      <c r="D25" s="11">
        <v>224000</v>
      </c>
      <c r="E25" s="74"/>
      <c r="F25" s="70" t="s">
        <v>104</v>
      </c>
      <c r="G25" s="70" t="s">
        <v>103</v>
      </c>
      <c r="H25" s="11">
        <v>181.48</v>
      </c>
      <c r="J25" s="80"/>
      <c r="K25" s="80"/>
      <c r="L25" s="81"/>
      <c r="M25" s="21"/>
    </row>
    <row r="26" spans="2:13" x14ac:dyDescent="0.25">
      <c r="B26" s="70" t="s">
        <v>171</v>
      </c>
      <c r="C26" s="70" t="s">
        <v>104</v>
      </c>
      <c r="D26" s="11">
        <v>217600</v>
      </c>
      <c r="E26" s="74"/>
      <c r="F26" s="70" t="s">
        <v>105</v>
      </c>
      <c r="G26" s="70" t="s">
        <v>104</v>
      </c>
      <c r="H26" s="11">
        <v>206.66</v>
      </c>
      <c r="J26" s="80"/>
      <c r="K26" s="80"/>
      <c r="L26" s="81"/>
      <c r="M26" s="21"/>
    </row>
    <row r="27" spans="2:13" x14ac:dyDescent="0.25">
      <c r="B27" s="70" t="s">
        <v>106</v>
      </c>
      <c r="C27" s="70" t="s">
        <v>171</v>
      </c>
      <c r="D27" s="11">
        <v>244000</v>
      </c>
      <c r="E27" s="74"/>
      <c r="F27" s="70" t="s">
        <v>106</v>
      </c>
      <c r="G27" s="70" t="s">
        <v>105</v>
      </c>
      <c r="H27" s="11">
        <v>173.4</v>
      </c>
      <c r="J27" s="80"/>
      <c r="K27" s="80"/>
      <c r="L27" s="81"/>
      <c r="M27" s="21"/>
    </row>
    <row r="28" spans="2:13" x14ac:dyDescent="0.25">
      <c r="B28" s="70" t="s">
        <v>107</v>
      </c>
      <c r="C28" s="70" t="s">
        <v>106</v>
      </c>
      <c r="D28" s="11">
        <v>211600</v>
      </c>
      <c r="E28" s="74"/>
      <c r="F28" s="70" t="s">
        <v>107</v>
      </c>
      <c r="G28" s="70" t="s">
        <v>106</v>
      </c>
      <c r="H28" s="79">
        <v>286.98</v>
      </c>
      <c r="I28" s="75"/>
      <c r="J28" s="80"/>
      <c r="K28" s="80"/>
      <c r="L28" s="81"/>
      <c r="M28" s="21"/>
    </row>
    <row r="29" spans="2:13" x14ac:dyDescent="0.25">
      <c r="B29" s="70" t="s">
        <v>108</v>
      </c>
      <c r="C29" s="70" t="s">
        <v>107</v>
      </c>
      <c r="D29" s="11">
        <v>211600</v>
      </c>
      <c r="E29" s="74"/>
      <c r="F29" s="70" t="s">
        <v>108</v>
      </c>
      <c r="G29" s="70" t="s">
        <v>107</v>
      </c>
      <c r="H29" s="79">
        <v>244.42</v>
      </c>
      <c r="I29" s="75"/>
      <c r="J29" s="80"/>
      <c r="K29" s="80"/>
      <c r="L29" s="81"/>
      <c r="M29" s="21"/>
    </row>
    <row r="30" spans="2:13" x14ac:dyDescent="0.25">
      <c r="B30" s="70" t="s">
        <v>109</v>
      </c>
      <c r="C30" s="70" t="s">
        <v>108</v>
      </c>
      <c r="D30" s="11">
        <v>253200</v>
      </c>
      <c r="E30" s="74"/>
      <c r="F30" s="70" t="s">
        <v>109</v>
      </c>
      <c r="G30" s="70" t="s">
        <v>108</v>
      </c>
      <c r="H30" s="79">
        <v>443.06</v>
      </c>
      <c r="I30" s="75"/>
      <c r="J30" s="80"/>
      <c r="K30" s="80"/>
      <c r="L30" s="81"/>
      <c r="M30" s="21"/>
    </row>
    <row r="31" spans="2:13" x14ac:dyDescent="0.25">
      <c r="B31" s="70" t="s">
        <v>110</v>
      </c>
      <c r="C31" s="70" t="s">
        <v>109</v>
      </c>
      <c r="D31" s="11">
        <v>374400</v>
      </c>
      <c r="E31" s="74"/>
      <c r="F31" s="70" t="s">
        <v>110</v>
      </c>
      <c r="G31" s="70" t="s">
        <v>109</v>
      </c>
      <c r="H31" s="79">
        <v>1549.98</v>
      </c>
      <c r="I31" s="75"/>
      <c r="J31" s="80"/>
      <c r="K31" s="80"/>
      <c r="L31" s="81"/>
      <c r="M31" s="21"/>
    </row>
    <row r="32" spans="2:13" x14ac:dyDescent="0.25">
      <c r="B32" s="70" t="s">
        <v>111</v>
      </c>
      <c r="C32" s="70" t="s">
        <v>110</v>
      </c>
      <c r="D32" s="11">
        <v>384000</v>
      </c>
      <c r="E32" s="74"/>
      <c r="F32" s="70" t="s">
        <v>111</v>
      </c>
      <c r="G32" s="70" t="s">
        <v>110</v>
      </c>
      <c r="H32" s="79">
        <v>1978.78</v>
      </c>
      <c r="I32" s="75"/>
      <c r="J32" s="80"/>
      <c r="K32" s="80"/>
      <c r="L32" s="81"/>
      <c r="M32" s="21"/>
    </row>
    <row r="33" spans="2:13" x14ac:dyDescent="0.25">
      <c r="B33" s="70" t="s">
        <v>112</v>
      </c>
      <c r="C33" s="70" t="s">
        <v>111</v>
      </c>
      <c r="D33" s="11">
        <v>664400</v>
      </c>
      <c r="E33" s="74"/>
      <c r="F33" s="70" t="s">
        <v>112</v>
      </c>
      <c r="G33" s="70" t="s">
        <v>111</v>
      </c>
      <c r="H33" s="79">
        <v>2826.94</v>
      </c>
      <c r="I33" s="75"/>
      <c r="J33" s="80"/>
      <c r="K33" s="80"/>
      <c r="L33" s="81"/>
      <c r="M33" s="21"/>
    </row>
    <row r="34" spans="2:13" x14ac:dyDescent="0.25">
      <c r="B34" s="70" t="s">
        <v>113</v>
      </c>
      <c r="C34" s="70" t="s">
        <v>112</v>
      </c>
      <c r="D34" s="11">
        <v>724000</v>
      </c>
      <c r="E34" s="74"/>
      <c r="F34" s="70" t="s">
        <v>113</v>
      </c>
      <c r="G34" s="70" t="s">
        <v>112</v>
      </c>
      <c r="H34" s="79">
        <v>3307.02</v>
      </c>
      <c r="I34" s="75"/>
      <c r="J34" s="80"/>
      <c r="K34" s="80"/>
      <c r="L34" s="81"/>
      <c r="M34" s="21"/>
    </row>
    <row r="35" spans="2:13" x14ac:dyDescent="0.25">
      <c r="B35" s="70" t="s">
        <v>114</v>
      </c>
      <c r="C35" s="70" t="s">
        <v>113</v>
      </c>
      <c r="D35" s="11">
        <v>381200</v>
      </c>
      <c r="E35" s="74"/>
      <c r="H35" s="79"/>
      <c r="I35" s="75"/>
      <c r="J35" s="21"/>
      <c r="K35" s="21"/>
      <c r="L35" s="21"/>
      <c r="M35" s="21"/>
    </row>
    <row r="36" spans="2:13" x14ac:dyDescent="0.25">
      <c r="B36" s="70" t="s">
        <v>115</v>
      </c>
      <c r="C36" s="70" t="s">
        <v>114</v>
      </c>
      <c r="D36" s="11">
        <v>396400</v>
      </c>
      <c r="E36" s="74"/>
      <c r="F36" s="70" t="s">
        <v>115</v>
      </c>
      <c r="G36" s="70" t="s">
        <v>113</v>
      </c>
      <c r="H36" s="79">
        <v>102.48</v>
      </c>
      <c r="I36" s="75"/>
      <c r="J36" s="80"/>
      <c r="K36" s="80"/>
      <c r="L36" s="81"/>
      <c r="M36" s="21"/>
    </row>
    <row r="37" spans="2:13" x14ac:dyDescent="0.25">
      <c r="B37" s="70" t="s">
        <v>116</v>
      </c>
      <c r="C37" s="70" t="s">
        <v>115</v>
      </c>
      <c r="D37" s="11">
        <v>337200</v>
      </c>
      <c r="F37" s="70" t="s">
        <v>116</v>
      </c>
      <c r="G37" s="70" t="s">
        <v>115</v>
      </c>
      <c r="H37" s="79">
        <v>87.16</v>
      </c>
      <c r="I37" s="75"/>
      <c r="J37" s="80"/>
      <c r="K37" s="80"/>
      <c r="L37" s="81"/>
      <c r="M37" s="21"/>
    </row>
    <row r="38" spans="2:13" x14ac:dyDescent="0.25">
      <c r="B38" s="70" t="s">
        <v>117</v>
      </c>
      <c r="C38" s="70" t="s">
        <v>116</v>
      </c>
      <c r="D38" s="11">
        <v>372000</v>
      </c>
      <c r="F38" s="70" t="s">
        <v>117</v>
      </c>
      <c r="G38" s="70" t="s">
        <v>116</v>
      </c>
      <c r="H38" s="79">
        <v>96.11</v>
      </c>
      <c r="I38" s="75"/>
      <c r="J38" s="80"/>
      <c r="K38" s="80"/>
      <c r="L38" s="81"/>
      <c r="M38" s="21"/>
    </row>
    <row r="39" spans="2:13" x14ac:dyDescent="0.25">
      <c r="B39" s="70" t="s">
        <v>118</v>
      </c>
      <c r="C39" s="70" t="s">
        <v>117</v>
      </c>
      <c r="D39" s="11">
        <v>381520</v>
      </c>
      <c r="F39" s="70" t="s">
        <v>118</v>
      </c>
      <c r="G39" s="70" t="s">
        <v>117</v>
      </c>
      <c r="H39" s="79">
        <v>110.77</v>
      </c>
      <c r="I39" s="75"/>
      <c r="J39" s="80"/>
      <c r="K39" s="80"/>
      <c r="L39" s="81"/>
      <c r="M39" s="21"/>
    </row>
    <row r="40" spans="2:13" x14ac:dyDescent="0.25">
      <c r="B40" s="70" t="s">
        <v>119</v>
      </c>
      <c r="C40" s="70" t="s">
        <v>118</v>
      </c>
      <c r="D40" s="11">
        <v>457200</v>
      </c>
      <c r="F40" s="70" t="s">
        <v>119</v>
      </c>
      <c r="G40" s="70" t="s">
        <v>118</v>
      </c>
      <c r="H40" s="79">
        <v>140</v>
      </c>
      <c r="I40" s="75"/>
      <c r="J40" s="80"/>
      <c r="K40" s="80"/>
      <c r="L40" s="81"/>
      <c r="M40" s="21"/>
    </row>
    <row r="41" spans="2:13" x14ac:dyDescent="0.25">
      <c r="B41" s="70" t="s">
        <v>120</v>
      </c>
      <c r="C41" s="70" t="s">
        <v>119</v>
      </c>
      <c r="D41" s="11">
        <v>460400</v>
      </c>
      <c r="F41" s="70" t="s">
        <v>120</v>
      </c>
      <c r="G41" s="70" t="s">
        <v>119</v>
      </c>
      <c r="H41" s="11">
        <v>239.99</v>
      </c>
      <c r="J41" s="80"/>
      <c r="K41" s="80"/>
      <c r="L41" s="81"/>
      <c r="M41" s="21"/>
    </row>
    <row r="42" spans="2:13" x14ac:dyDescent="0.25">
      <c r="B42" s="70" t="s">
        <v>121</v>
      </c>
      <c r="C42" s="70" t="s">
        <v>120</v>
      </c>
      <c r="D42" s="11">
        <v>348400</v>
      </c>
      <c r="F42" s="70" t="s">
        <v>121</v>
      </c>
      <c r="G42" s="70" t="s">
        <v>120</v>
      </c>
      <c r="H42" s="11">
        <v>1353.56</v>
      </c>
      <c r="J42" s="80"/>
      <c r="K42" s="80"/>
      <c r="L42" s="81"/>
      <c r="M42" s="21"/>
    </row>
    <row r="43" spans="2:13" x14ac:dyDescent="0.25">
      <c r="B43" s="70" t="s">
        <v>122</v>
      </c>
      <c r="C43" s="70" t="s">
        <v>121</v>
      </c>
      <c r="D43" s="11">
        <v>360000</v>
      </c>
      <c r="F43" s="70" t="s">
        <v>122</v>
      </c>
      <c r="G43" s="70" t="s">
        <v>121</v>
      </c>
      <c r="H43" s="11">
        <v>2775.73</v>
      </c>
      <c r="J43" s="80"/>
      <c r="K43" s="80"/>
      <c r="L43" s="81"/>
      <c r="M43" s="21"/>
    </row>
    <row r="44" spans="2:13" x14ac:dyDescent="0.25">
      <c r="B44" s="70" t="s">
        <v>123</v>
      </c>
      <c r="C44" s="70" t="s">
        <v>122</v>
      </c>
      <c r="D44" s="11">
        <v>392000</v>
      </c>
      <c r="F44" s="70" t="s">
        <v>123</v>
      </c>
      <c r="G44" s="70" t="s">
        <v>122</v>
      </c>
      <c r="H44" s="11">
        <v>3254.3</v>
      </c>
      <c r="J44" s="80"/>
      <c r="K44" s="80"/>
      <c r="L44" s="81"/>
      <c r="M44" s="21"/>
    </row>
    <row r="45" spans="2:13" x14ac:dyDescent="0.25">
      <c r="B45" s="70" t="s">
        <v>124</v>
      </c>
      <c r="C45" s="70" t="s">
        <v>123</v>
      </c>
      <c r="D45" s="11">
        <v>645600</v>
      </c>
      <c r="F45" s="70" t="s">
        <v>124</v>
      </c>
      <c r="G45" s="70" t="s">
        <v>123</v>
      </c>
      <c r="H45" s="11">
        <v>2788.7</v>
      </c>
      <c r="J45" s="80"/>
      <c r="K45" s="80"/>
      <c r="L45" s="81"/>
      <c r="M45" s="21"/>
    </row>
    <row r="46" spans="2:13" x14ac:dyDescent="0.25">
      <c r="B46" s="70" t="s">
        <v>125</v>
      </c>
      <c r="C46" s="70" t="s">
        <v>124</v>
      </c>
      <c r="D46" s="11">
        <v>761600</v>
      </c>
      <c r="F46" s="70" t="s">
        <v>125</v>
      </c>
      <c r="G46" s="70" t="s">
        <v>124</v>
      </c>
      <c r="H46" s="11">
        <v>3520.89</v>
      </c>
      <c r="J46" s="80"/>
      <c r="K46" s="80"/>
      <c r="L46" s="81"/>
      <c r="M46" s="21"/>
    </row>
    <row r="47" spans="2:13" x14ac:dyDescent="0.25">
      <c r="B47" s="70" t="s">
        <v>126</v>
      </c>
      <c r="C47" s="70" t="s">
        <v>125</v>
      </c>
      <c r="D47" s="11">
        <v>456480</v>
      </c>
      <c r="F47" s="70" t="s">
        <v>178</v>
      </c>
      <c r="G47" s="70" t="s">
        <v>125</v>
      </c>
      <c r="H47" s="11">
        <v>530.16</v>
      </c>
      <c r="J47" s="80"/>
      <c r="K47" s="80"/>
      <c r="L47" s="81"/>
      <c r="M47" s="21"/>
    </row>
    <row r="48" spans="2:13" x14ac:dyDescent="0.25">
      <c r="B48" s="70" t="s">
        <v>127</v>
      </c>
      <c r="C48" s="70" t="s">
        <v>126</v>
      </c>
      <c r="D48" s="11">
        <v>417200</v>
      </c>
      <c r="F48" s="70" t="s">
        <v>127</v>
      </c>
      <c r="G48" s="70" t="s">
        <v>178</v>
      </c>
      <c r="H48" s="11">
        <v>209.27</v>
      </c>
      <c r="J48" s="80"/>
      <c r="K48" s="80"/>
      <c r="L48" s="81"/>
      <c r="M48" s="21"/>
    </row>
    <row r="49" spans="2:13" x14ac:dyDescent="0.25">
      <c r="B49" s="70" t="s">
        <v>128</v>
      </c>
      <c r="C49" s="70" t="s">
        <v>127</v>
      </c>
      <c r="D49" s="11">
        <v>501040</v>
      </c>
      <c r="F49" s="70" t="s">
        <v>128</v>
      </c>
      <c r="G49" s="70" t="s">
        <v>127</v>
      </c>
      <c r="H49" s="11">
        <v>225.77</v>
      </c>
      <c r="J49" s="80"/>
      <c r="K49" s="80"/>
      <c r="L49" s="81"/>
      <c r="M49" s="21"/>
    </row>
    <row r="50" spans="2:13" x14ac:dyDescent="0.25">
      <c r="B50" s="70" t="s">
        <v>129</v>
      </c>
      <c r="C50" s="70" t="s">
        <v>128</v>
      </c>
      <c r="D50" s="11">
        <v>404320</v>
      </c>
      <c r="F50" s="70" t="s">
        <v>129</v>
      </c>
      <c r="G50" s="70" t="s">
        <v>128</v>
      </c>
      <c r="H50" s="11">
        <v>206.04</v>
      </c>
      <c r="J50" s="80"/>
      <c r="K50" s="80"/>
      <c r="L50" s="81"/>
      <c r="M50" s="21"/>
    </row>
    <row r="51" spans="2:13" x14ac:dyDescent="0.25">
      <c r="B51" s="70" t="s">
        <v>130</v>
      </c>
      <c r="C51" s="70" t="s">
        <v>129</v>
      </c>
      <c r="D51" s="20">
        <v>409200</v>
      </c>
      <c r="E51" s="19"/>
      <c r="F51" s="70" t="s">
        <v>177</v>
      </c>
      <c r="G51" s="70" t="s">
        <v>129</v>
      </c>
      <c r="H51" s="11">
        <v>215.27</v>
      </c>
      <c r="J51" s="80"/>
      <c r="K51" s="80"/>
      <c r="L51" s="81"/>
      <c r="M51" s="21"/>
    </row>
    <row r="52" spans="2:13" x14ac:dyDescent="0.25">
      <c r="B52" s="70" t="s">
        <v>131</v>
      </c>
      <c r="C52" s="70" t="s">
        <v>130</v>
      </c>
      <c r="D52" s="20">
        <v>514000</v>
      </c>
      <c r="E52" s="19"/>
      <c r="F52" s="70" t="s">
        <v>131</v>
      </c>
      <c r="G52" s="70" t="s">
        <v>177</v>
      </c>
      <c r="H52" s="11">
        <v>241</v>
      </c>
      <c r="J52" s="80"/>
      <c r="K52" s="80"/>
      <c r="L52" s="81"/>
      <c r="M52" s="21"/>
    </row>
    <row r="53" spans="2:13" x14ac:dyDescent="0.25">
      <c r="B53" s="70" t="s">
        <v>132</v>
      </c>
      <c r="C53" s="70" t="s">
        <v>131</v>
      </c>
      <c r="D53" s="20">
        <v>442800</v>
      </c>
      <c r="E53" s="19"/>
      <c r="F53" s="70" t="s">
        <v>132</v>
      </c>
      <c r="G53" s="70" t="s">
        <v>131</v>
      </c>
      <c r="H53" s="11">
        <v>381.06</v>
      </c>
      <c r="J53" s="80"/>
      <c r="K53" s="80"/>
      <c r="L53" s="81"/>
      <c r="M53" s="21"/>
    </row>
    <row r="54" spans="2:13" x14ac:dyDescent="0.25">
      <c r="B54" s="70" t="s">
        <v>133</v>
      </c>
      <c r="C54" s="70" t="s">
        <v>132</v>
      </c>
      <c r="D54" s="20">
        <v>350400</v>
      </c>
      <c r="E54" s="19"/>
      <c r="F54" s="70" t="s">
        <v>176</v>
      </c>
      <c r="G54" s="70" t="s">
        <v>132</v>
      </c>
      <c r="H54" s="11">
        <v>1454.81</v>
      </c>
      <c r="J54" s="80"/>
      <c r="K54" s="80"/>
      <c r="L54" s="81"/>
      <c r="M54" s="21"/>
    </row>
    <row r="55" spans="2:13" x14ac:dyDescent="0.25">
      <c r="B55" s="70" t="s">
        <v>134</v>
      </c>
      <c r="C55" s="70" t="s">
        <v>133</v>
      </c>
      <c r="D55" s="77">
        <v>362000</v>
      </c>
      <c r="E55" s="74"/>
      <c r="F55" s="70" t="s">
        <v>175</v>
      </c>
      <c r="G55" s="70" t="s">
        <v>176</v>
      </c>
      <c r="H55" s="11">
        <v>1703.85</v>
      </c>
      <c r="J55" s="80"/>
      <c r="K55" s="80"/>
      <c r="L55" s="81"/>
      <c r="M55" s="21"/>
    </row>
    <row r="56" spans="2:13" x14ac:dyDescent="0.25">
      <c r="B56" s="70" t="s">
        <v>172</v>
      </c>
      <c r="C56" s="70" t="s">
        <v>134</v>
      </c>
      <c r="D56" s="77">
        <v>479200</v>
      </c>
      <c r="E56" s="74"/>
      <c r="F56" s="70" t="s">
        <v>135</v>
      </c>
      <c r="G56" s="70" t="s">
        <v>175</v>
      </c>
      <c r="H56" s="11">
        <v>2610.5500000000002</v>
      </c>
      <c r="J56" s="80"/>
      <c r="K56" s="80"/>
      <c r="L56" s="81"/>
      <c r="M56" s="21"/>
    </row>
    <row r="57" spans="2:13" x14ac:dyDescent="0.25">
      <c r="D57" s="77"/>
      <c r="E57" s="74"/>
      <c r="F57" s="78"/>
      <c r="G57" s="76"/>
      <c r="J57" s="21"/>
      <c r="K57" s="21"/>
      <c r="L57" s="21"/>
      <c r="M57" s="21"/>
    </row>
    <row r="58" spans="2:13" x14ac:dyDescent="0.25">
      <c r="C58" s="76"/>
      <c r="D58" s="77"/>
      <c r="E58" s="74"/>
      <c r="F58" s="78"/>
      <c r="G58" s="76"/>
      <c r="J58" s="21"/>
      <c r="K58" s="21"/>
      <c r="L58" s="21"/>
      <c r="M58" s="21"/>
    </row>
    <row r="59" spans="2:13" x14ac:dyDescent="0.25">
      <c r="C59" s="76"/>
      <c r="D59" s="77"/>
      <c r="E59" s="74"/>
      <c r="F59" s="78"/>
      <c r="G59" s="76"/>
      <c r="J59" s="21"/>
      <c r="K59" s="21"/>
      <c r="L59" s="21"/>
      <c r="M59" s="21"/>
    </row>
    <row r="60" spans="2:13" x14ac:dyDescent="0.25">
      <c r="C60" s="76"/>
      <c r="D60" s="77"/>
      <c r="E60" s="74"/>
      <c r="F60" s="78"/>
      <c r="G60" s="76"/>
    </row>
    <row r="61" spans="2:13" x14ac:dyDescent="0.25">
      <c r="C61" s="76"/>
      <c r="D61" s="20"/>
      <c r="E61" s="19"/>
      <c r="F61" s="76"/>
      <c r="G61" s="76"/>
    </row>
    <row r="62" spans="2:13" x14ac:dyDescent="0.25">
      <c r="C62" s="76"/>
      <c r="D62" s="20"/>
      <c r="E62" s="19"/>
      <c r="F62" s="76"/>
      <c r="G62" s="76"/>
    </row>
    <row r="63" spans="2:13" x14ac:dyDescent="0.25">
      <c r="C63" s="76"/>
      <c r="D63" s="20"/>
      <c r="E63" s="19"/>
      <c r="F63" s="76"/>
      <c r="G63" s="76"/>
    </row>
    <row r="64" spans="2:13" x14ac:dyDescent="0.25">
      <c r="C64" s="76"/>
      <c r="D64" s="20"/>
      <c r="E64" s="19"/>
      <c r="F64" s="76"/>
      <c r="G64" s="76"/>
    </row>
    <row r="65" spans="3:7" x14ac:dyDescent="0.25">
      <c r="C65" s="76"/>
      <c r="D65" s="20"/>
      <c r="E65" s="19"/>
      <c r="F65" s="76"/>
      <c r="G65" s="76"/>
    </row>
    <row r="66" spans="3:7" x14ac:dyDescent="0.25">
      <c r="C66" s="76"/>
      <c r="D66" s="20"/>
      <c r="E66" s="19"/>
      <c r="F66" s="76"/>
      <c r="G66" s="7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A662C-5A87-4D90-837D-04977AE57874}">
  <dimension ref="A1:H62"/>
  <sheetViews>
    <sheetView workbookViewId="0">
      <selection activeCell="B7" sqref="B7"/>
    </sheetView>
  </sheetViews>
  <sheetFormatPr defaultRowHeight="15" x14ac:dyDescent="0.25"/>
  <cols>
    <col min="1" max="1" width="34.85546875" customWidth="1"/>
    <col min="2" max="2" width="25.42578125" customWidth="1"/>
    <col min="3" max="3" width="14.140625" customWidth="1"/>
    <col min="4" max="4" width="11.7109375" customWidth="1"/>
    <col min="5" max="5" width="11.42578125" customWidth="1"/>
    <col min="7" max="7" width="12.5703125" customWidth="1"/>
  </cols>
  <sheetData>
    <row r="1" spans="1:8" x14ac:dyDescent="0.25">
      <c r="A1" t="s">
        <v>21</v>
      </c>
    </row>
    <row r="2" spans="1:8" x14ac:dyDescent="0.25">
      <c r="A2" s="15" t="s">
        <v>26</v>
      </c>
      <c r="B2">
        <v>8.4600000000000005E-3</v>
      </c>
      <c r="C2" t="s">
        <v>204</v>
      </c>
    </row>
    <row r="3" spans="1:8" x14ac:dyDescent="0.25">
      <c r="A3" t="s">
        <v>43</v>
      </c>
      <c r="B3">
        <v>4.5300000000000002E-3</v>
      </c>
      <c r="C3" t="s">
        <v>204</v>
      </c>
    </row>
    <row r="4" spans="1:8" x14ac:dyDescent="0.25">
      <c r="A4" t="s">
        <v>46</v>
      </c>
      <c r="B4">
        <v>1.4E-3</v>
      </c>
      <c r="C4" t="s">
        <v>204</v>
      </c>
    </row>
    <row r="5" spans="1:8" x14ac:dyDescent="0.25">
      <c r="A5" t="s">
        <v>29</v>
      </c>
      <c r="B5">
        <v>2.8896199999999998E-4</v>
      </c>
      <c r="C5" t="s">
        <v>30</v>
      </c>
    </row>
    <row r="6" spans="1:8" x14ac:dyDescent="0.25">
      <c r="A6" t="s">
        <v>32</v>
      </c>
      <c r="B6">
        <v>5.3109999999999998E-5</v>
      </c>
      <c r="C6" t="s">
        <v>33</v>
      </c>
    </row>
    <row r="7" spans="1:8" x14ac:dyDescent="0.25">
      <c r="A7" t="s">
        <v>36</v>
      </c>
      <c r="B7">
        <v>4.4929999999999998E-5</v>
      </c>
      <c r="C7" t="s">
        <v>37</v>
      </c>
      <c r="G7" t="s">
        <v>149</v>
      </c>
      <c r="H7" t="s">
        <v>150</v>
      </c>
    </row>
    <row r="8" spans="1:8" x14ac:dyDescent="0.25">
      <c r="A8" t="s">
        <v>39</v>
      </c>
      <c r="B8" s="6">
        <f>B5/3412*1000</f>
        <v>8.4689917936694011E-5</v>
      </c>
      <c r="C8" t="s">
        <v>37</v>
      </c>
      <c r="G8" s="8">
        <f>B8*3.412*1000*fine</f>
        <v>77.441816000000003</v>
      </c>
      <c r="H8" s="73">
        <f>G8/1000</f>
        <v>7.7441815999999997E-2</v>
      </c>
    </row>
    <row r="9" spans="1:8" x14ac:dyDescent="0.25">
      <c r="A9" t="s">
        <v>73</v>
      </c>
      <c r="B9" s="13">
        <v>268</v>
      </c>
    </row>
    <row r="10" spans="1:8" x14ac:dyDescent="0.25">
      <c r="A10" t="s">
        <v>74</v>
      </c>
      <c r="B10" s="11">
        <v>1194</v>
      </c>
      <c r="G10" s="10" t="s">
        <v>151</v>
      </c>
      <c r="H10" s="10">
        <f>B8*3.412*1000</f>
        <v>0.288962</v>
      </c>
    </row>
    <row r="11" spans="1:8" x14ac:dyDescent="0.25">
      <c r="B11" s="8"/>
      <c r="G11" s="10" t="s">
        <v>152</v>
      </c>
      <c r="H11" s="10">
        <f>steam*1194</f>
        <v>5.364642E-2</v>
      </c>
    </row>
    <row r="12" spans="1:8" x14ac:dyDescent="0.25">
      <c r="A12" t="s">
        <v>72</v>
      </c>
      <c r="B12">
        <f>B8/B7</f>
        <v>1.8849302901556646</v>
      </c>
    </row>
    <row r="14" spans="1:8" x14ac:dyDescent="0.25">
      <c r="A14" t="s">
        <v>88</v>
      </c>
      <c r="B14" s="2">
        <v>0.8</v>
      </c>
      <c r="C14" t="s">
        <v>92</v>
      </c>
    </row>
    <row r="15" spans="1:8" x14ac:dyDescent="0.25">
      <c r="A15" t="s">
        <v>89</v>
      </c>
      <c r="B15" s="2">
        <v>0.1</v>
      </c>
      <c r="C15" t="s">
        <v>92</v>
      </c>
    </row>
    <row r="16" spans="1:8" x14ac:dyDescent="0.25">
      <c r="A16" t="s">
        <v>90</v>
      </c>
      <c r="B16">
        <v>2.5</v>
      </c>
    </row>
    <row r="17" spans="1:5" x14ac:dyDescent="0.25">
      <c r="A17" t="s">
        <v>91</v>
      </c>
      <c r="B17" s="2">
        <v>0.7</v>
      </c>
    </row>
    <row r="20" spans="1:5" x14ac:dyDescent="0.25">
      <c r="A20" t="s">
        <v>137</v>
      </c>
      <c r="B20">
        <v>53</v>
      </c>
      <c r="C20" t="s">
        <v>141</v>
      </c>
    </row>
    <row r="21" spans="1:5" x14ac:dyDescent="0.25">
      <c r="A21" t="s">
        <v>138</v>
      </c>
      <c r="B21" s="17">
        <f>1000*2*0.9*0.7*8760/1000/1000</f>
        <v>11.037600000000001</v>
      </c>
      <c r="C21" t="s">
        <v>141</v>
      </c>
    </row>
    <row r="22" spans="1:5" x14ac:dyDescent="0.25">
      <c r="A22" t="s">
        <v>143</v>
      </c>
      <c r="B22" s="2">
        <f>B21/B20</f>
        <v>0.20825660377358493</v>
      </c>
    </row>
    <row r="23" spans="1:5" x14ac:dyDescent="0.25">
      <c r="B23" s="17"/>
    </row>
    <row r="24" spans="1:5" x14ac:dyDescent="0.25">
      <c r="A24" t="s">
        <v>139</v>
      </c>
      <c r="B24" s="17"/>
    </row>
    <row r="25" spans="1:5" x14ac:dyDescent="0.25">
      <c r="A25" t="s">
        <v>140</v>
      </c>
      <c r="B25" s="17">
        <v>3.6</v>
      </c>
      <c r="C25" t="s">
        <v>141</v>
      </c>
    </row>
    <row r="26" spans="1:5" x14ac:dyDescent="0.25">
      <c r="A26" t="s">
        <v>142</v>
      </c>
      <c r="B26" s="17">
        <f>1250*0.95*8760/1000/1000</f>
        <v>10.4025</v>
      </c>
    </row>
    <row r="27" spans="1:5" x14ac:dyDescent="0.25">
      <c r="A27" t="s">
        <v>144</v>
      </c>
      <c r="B27" s="17">
        <f>1300*0.7*8760/1000000</f>
        <v>7.9715999999999987</v>
      </c>
      <c r="C27" t="s">
        <v>141</v>
      </c>
    </row>
    <row r="28" spans="1:5" x14ac:dyDescent="0.25">
      <c r="A28" t="s">
        <v>146</v>
      </c>
      <c r="B28" s="2">
        <f>SUM(B25:B27)/B20</f>
        <v>0.41460566037735846</v>
      </c>
    </row>
    <row r="29" spans="1:5" x14ac:dyDescent="0.25">
      <c r="A29" t="s">
        <v>145</v>
      </c>
      <c r="B29" s="2">
        <f>(1-B28)/(1-B22)</f>
        <v>0.73937382037252397</v>
      </c>
      <c r="C29" t="s">
        <v>147</v>
      </c>
    </row>
    <row r="30" spans="1:5" x14ac:dyDescent="0.25">
      <c r="B30" s="17"/>
    </row>
    <row r="32" spans="1:5" x14ac:dyDescent="0.25">
      <c r="A32" t="s">
        <v>22</v>
      </c>
      <c r="C32" t="s">
        <v>23</v>
      </c>
      <c r="D32" t="s">
        <v>24</v>
      </c>
      <c r="E32" t="s">
        <v>25</v>
      </c>
    </row>
    <row r="33" spans="1:8" x14ac:dyDescent="0.25">
      <c r="A33" t="s">
        <v>27</v>
      </c>
      <c r="B33" s="3">
        <v>10000000</v>
      </c>
      <c r="C33" s="3">
        <v>536464</v>
      </c>
      <c r="D33" s="4">
        <f>C33/B33</f>
        <v>5.3646399999999997E-2</v>
      </c>
      <c r="E33" s="1">
        <f>D33/'LL97 Constants'!B7</f>
        <v>1193.9995548631205</v>
      </c>
      <c r="F33" t="s">
        <v>28</v>
      </c>
    </row>
    <row r="34" spans="1:8" x14ac:dyDescent="0.25">
      <c r="A34" t="s">
        <v>31</v>
      </c>
      <c r="B34" s="3">
        <v>1000000</v>
      </c>
      <c r="C34" s="3">
        <v>5311</v>
      </c>
      <c r="D34" s="4">
        <f>C34/B34</f>
        <v>5.3109999999999997E-3</v>
      </c>
      <c r="E34" s="5">
        <f>D34/'LL97 Constants'!B6</f>
        <v>100</v>
      </c>
    </row>
    <row r="35" spans="1:8" x14ac:dyDescent="0.25">
      <c r="A35" t="s">
        <v>34</v>
      </c>
      <c r="B35" s="3">
        <v>1000000000</v>
      </c>
      <c r="C35" s="3">
        <v>288959</v>
      </c>
      <c r="D35" s="4">
        <f>C35/B35</f>
        <v>2.8895899999999998E-4</v>
      </c>
      <c r="G35">
        <v>1000</v>
      </c>
      <c r="H35" t="s">
        <v>35</v>
      </c>
    </row>
    <row r="36" spans="1:8" x14ac:dyDescent="0.25">
      <c r="B36" s="3"/>
      <c r="C36" s="3"/>
      <c r="D36" s="3"/>
      <c r="G36">
        <v>960</v>
      </c>
      <c r="H36" t="s">
        <v>38</v>
      </c>
    </row>
    <row r="37" spans="1:8" x14ac:dyDescent="0.25">
      <c r="B37" s="3"/>
      <c r="C37" s="3"/>
      <c r="D37" s="3"/>
      <c r="G37">
        <f>960*1000</f>
        <v>960000</v>
      </c>
      <c r="H37" t="s">
        <v>40</v>
      </c>
    </row>
    <row r="38" spans="1:8" x14ac:dyDescent="0.25">
      <c r="B38" s="3"/>
      <c r="C38" s="3"/>
      <c r="D38" s="3"/>
      <c r="G38" s="7">
        <f>G35*1000000/G37</f>
        <v>1041.6666666666667</v>
      </c>
      <c r="H38" t="s">
        <v>41</v>
      </c>
    </row>
    <row r="39" spans="1:8" x14ac:dyDescent="0.25">
      <c r="G39">
        <f>1194*1000</f>
        <v>1194000</v>
      </c>
      <c r="H39" t="s">
        <v>42</v>
      </c>
    </row>
    <row r="40" spans="1:8" x14ac:dyDescent="0.25">
      <c r="D40" t="s">
        <v>44</v>
      </c>
      <c r="G40" s="1">
        <f>G39*G38/1000</f>
        <v>1243750</v>
      </c>
      <c r="H40" t="s">
        <v>45</v>
      </c>
    </row>
    <row r="41" spans="1:8" x14ac:dyDescent="0.25">
      <c r="G41" s="1">
        <f>G40*'LL97 Constants'!B7</f>
        <v>55.881687499999998</v>
      </c>
      <c r="H41" t="s">
        <v>47</v>
      </c>
    </row>
    <row r="42" spans="1:8" x14ac:dyDescent="0.25">
      <c r="D42" t="s">
        <v>48</v>
      </c>
      <c r="G42">
        <f>G35*1000000/3142</f>
        <v>318268.6187141948</v>
      </c>
      <c r="H42" t="s">
        <v>34</v>
      </c>
    </row>
    <row r="43" spans="1:8" x14ac:dyDescent="0.25">
      <c r="D43">
        <f>1/0.8</f>
        <v>1.25</v>
      </c>
      <c r="E43" t="s">
        <v>49</v>
      </c>
      <c r="G43">
        <f>'LL97 Constants'!B5*G42</f>
        <v>91.967536600891151</v>
      </c>
      <c r="H43" t="s">
        <v>47</v>
      </c>
    </row>
    <row r="44" spans="1:8" x14ac:dyDescent="0.25">
      <c r="A44" s="15"/>
      <c r="G44" s="1">
        <f>G43/G41</f>
        <v>1.6457544629605387</v>
      </c>
      <c r="H44" t="s">
        <v>50</v>
      </c>
    </row>
    <row r="45" spans="1:8" x14ac:dyDescent="0.25">
      <c r="A45" s="15"/>
      <c r="D45">
        <f>D43*1000000/960/1000</f>
        <v>1.3020833333333333</v>
      </c>
      <c r="E45" t="s">
        <v>51</v>
      </c>
    </row>
    <row r="46" spans="1:8" x14ac:dyDescent="0.25">
      <c r="A46" s="15"/>
      <c r="D46">
        <f>D45*1194</f>
        <v>1554.6875</v>
      </c>
      <c r="E46" t="s">
        <v>45</v>
      </c>
    </row>
    <row r="47" spans="1:8" x14ac:dyDescent="0.25">
      <c r="A47" s="15"/>
      <c r="D47">
        <f>D46*'LL97 Constants'!B7</f>
        <v>6.9852109374999999E-2</v>
      </c>
      <c r="E47" t="s">
        <v>52</v>
      </c>
    </row>
    <row r="48" spans="1:8" x14ac:dyDescent="0.25">
      <c r="A48" s="15"/>
      <c r="B48" s="15"/>
    </row>
    <row r="49" spans="1:5" x14ac:dyDescent="0.25">
      <c r="A49" s="15"/>
      <c r="B49" s="15"/>
      <c r="D49">
        <f>1000000/3412/3.19</f>
        <v>91.875622457342146</v>
      </c>
      <c r="E49" t="s">
        <v>53</v>
      </c>
    </row>
    <row r="50" spans="1:5" x14ac:dyDescent="0.25">
      <c r="A50" s="15"/>
      <c r="B50" s="15"/>
      <c r="D50">
        <f>D49*'LL97 Constants'!B5</f>
        <v>2.65485636165185E-2</v>
      </c>
      <c r="E50" t="s">
        <v>52</v>
      </c>
    </row>
    <row r="51" spans="1:5" x14ac:dyDescent="0.25">
      <c r="A51" s="15"/>
      <c r="B51" s="15"/>
    </row>
    <row r="52" spans="1:5" x14ac:dyDescent="0.25">
      <c r="A52" s="15"/>
      <c r="B52" s="15"/>
      <c r="D52">
        <f>D49*2.19</f>
        <v>201.20761318157929</v>
      </c>
      <c r="E52" t="s">
        <v>54</v>
      </c>
    </row>
    <row r="53" spans="1:5" x14ac:dyDescent="0.25">
      <c r="A53" s="15"/>
      <c r="B53" s="15"/>
      <c r="D53">
        <f>D52/3.5</f>
        <v>57.487889480451223</v>
      </c>
      <c r="E53" t="s">
        <v>55</v>
      </c>
    </row>
    <row r="54" spans="1:5" x14ac:dyDescent="0.25">
      <c r="A54" s="15"/>
      <c r="B54" s="15"/>
      <c r="D54">
        <f>D53*'LL97 Constants'!B8</f>
        <v>4.8686446424531489E-3</v>
      </c>
      <c r="E54" t="s">
        <v>56</v>
      </c>
    </row>
    <row r="55" spans="1:5" x14ac:dyDescent="0.25">
      <c r="A55" s="15"/>
      <c r="B55" s="15"/>
    </row>
    <row r="56" spans="1:5" x14ac:dyDescent="0.25">
      <c r="A56" s="15"/>
      <c r="B56" s="15"/>
      <c r="D56">
        <f>D50-D54</f>
        <v>2.1679918974065352E-2</v>
      </c>
    </row>
    <row r="57" spans="1:5" x14ac:dyDescent="0.25">
      <c r="A57" s="15"/>
      <c r="B57" s="15"/>
    </row>
    <row r="58" spans="1:5" x14ac:dyDescent="0.25">
      <c r="A58" s="15"/>
      <c r="B58" s="15"/>
      <c r="D58">
        <f>D47/D56</f>
        <v>3.2219728061973263</v>
      </c>
      <c r="E58" t="s">
        <v>57</v>
      </c>
    </row>
    <row r="59" spans="1:5" x14ac:dyDescent="0.25">
      <c r="A59" s="15"/>
      <c r="B59" s="16"/>
    </row>
    <row r="60" spans="1:5" x14ac:dyDescent="0.25">
      <c r="A60" s="15"/>
      <c r="B60" s="15"/>
      <c r="D60">
        <f>10*53.83*500/1000000</f>
        <v>0.26915</v>
      </c>
      <c r="E60" t="s">
        <v>58</v>
      </c>
    </row>
    <row r="61" spans="1:5" x14ac:dyDescent="0.25">
      <c r="A61" s="15"/>
      <c r="B61" s="15"/>
    </row>
    <row r="62" spans="1:5" x14ac:dyDescent="0.25">
      <c r="A62" s="15"/>
      <c r="B62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LL97 Fines</vt:lpstr>
      <vt:lpstr>Tishman Steam</vt:lpstr>
      <vt:lpstr>Tishman Electric</vt:lpstr>
      <vt:lpstr>LL97 30 Rock</vt:lpstr>
      <vt:lpstr>NBC Energy</vt:lpstr>
      <vt:lpstr>radio city</vt:lpstr>
      <vt:lpstr>LL97 Constants</vt:lpstr>
      <vt:lpstr>cop</vt:lpstr>
      <vt:lpstr>eff</vt:lpstr>
      <vt:lpstr>elec</vt:lpstr>
      <vt:lpstr>fine</vt:lpstr>
      <vt:lpstr>gas</vt:lpstr>
      <vt:lpstr>grid_2030</vt:lpstr>
      <vt:lpstr>grid_2050</vt:lpstr>
      <vt:lpstr>kbtu_mlb</vt:lpstr>
      <vt:lpstr>lim_24</vt:lpstr>
      <vt:lpstr>lim_30</vt:lpstr>
      <vt:lpstr>lim_50</vt:lpstr>
      <vt:lpstr>steam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Sheridan, Matthew</dc:creator>
  <cp:lastModifiedBy>Sheridan, Matthew</cp:lastModifiedBy>
  <dcterms:created xsi:type="dcterms:W3CDTF">2021-09-21T14:58:27Z</dcterms:created>
  <dcterms:modified xsi:type="dcterms:W3CDTF">2022-09-13T23:25:32Z</dcterms:modified>
</cp:coreProperties>
</file>