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RockCenterEnergyAnalysis\data\"/>
    </mc:Choice>
  </mc:AlternateContent>
  <xr:revisionPtr revIDLastSave="0" documentId="13_ncr:1_{B9E6FC14-D5B8-47B9-B562-8A831EFE789E}" xr6:coauthVersionLast="47" xr6:coauthVersionMax="47" xr10:uidLastSave="{00000000-0000-0000-0000-000000000000}"/>
  <bookViews>
    <workbookView xWindow="-98" yWindow="-98" windowWidth="20715" windowHeight="13155" xr2:uid="{24D7C018-3256-48FE-8056-4183BA4318AC}"/>
  </bookViews>
  <sheets>
    <sheet name="LL97 Fines" sheetId="3" r:id="rId1"/>
    <sheet name="Tishman Steam" sheetId="1" r:id="rId2"/>
    <sheet name="Tishman Electric" sheetId="2" r:id="rId3"/>
    <sheet name="LL97 30 Rock" sheetId="5" r:id="rId4"/>
    <sheet name="NBC Energy" sheetId="17" r:id="rId5"/>
    <sheet name="radio city" sheetId="18" r:id="rId6"/>
    <sheet name="LL97 Constants" sheetId="10" r:id="rId7"/>
  </sheets>
  <definedNames>
    <definedName name="cdd_2018">#REF!</definedName>
    <definedName name="cdd_2019">#REF!</definedName>
    <definedName name="cdd_2020">#REF!</definedName>
    <definedName name="cop">'LL97 Constants'!$B$16</definedName>
    <definedName name="eff">'LL97 Constants'!$B$17</definedName>
    <definedName name="elec">'LL97 Constants'!$B$5</definedName>
    <definedName name="fine">'LL97 Constants'!$B$9</definedName>
    <definedName name="gas">'LL97 Constants'!$B$6</definedName>
    <definedName name="grid_2030">'LL97 Constants'!$B$14</definedName>
    <definedName name="grid_2050">'LL97 Constants'!$B$15</definedName>
    <definedName name="hdd_2018">#REF!</definedName>
    <definedName name="hdd_2019">#REF!</definedName>
    <definedName name="hdd_2020">#REF!</definedName>
    <definedName name="kbtu_mlb">'LL97 Constants'!$B$10</definedName>
    <definedName name="lim_24">'LL97 Constants'!$B$2</definedName>
    <definedName name="lim_30">'LL97 Constants'!$B$3</definedName>
    <definedName name="lim_50">'LL97 Constants'!$B$4</definedName>
    <definedName name="steam">'LL97 Constants'!$B$7</definedName>
    <definedName name="steam_2030">'LL97 Constants'!$B$30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/>
  <c r="M5" i="3" l="1"/>
  <c r="M6" i="3"/>
  <c r="M7" i="3"/>
  <c r="M8" i="3"/>
  <c r="M9" i="3"/>
  <c r="M10" i="3"/>
  <c r="M11" i="3"/>
  <c r="M12" i="3"/>
  <c r="M13" i="3"/>
  <c r="M14" i="3"/>
  <c r="M4" i="3"/>
  <c r="D20" i="10"/>
  <c r="D21" i="10"/>
  <c r="D22" i="10"/>
  <c r="B14" i="10"/>
  <c r="J7" i="5"/>
  <c r="H7" i="5"/>
  <c r="F7" i="5"/>
  <c r="D7" i="5"/>
  <c r="J8" i="5"/>
  <c r="H8" i="5"/>
  <c r="F8" i="5"/>
  <c r="D8" i="5"/>
  <c r="J14" i="3"/>
  <c r="H14" i="3"/>
  <c r="F14" i="3"/>
  <c r="D14" i="3"/>
  <c r="I14" i="3"/>
  <c r="B31" i="3" s="1"/>
  <c r="C31" i="3" s="1"/>
  <c r="G14" i="3"/>
  <c r="E14" i="3"/>
  <c r="C14" i="3"/>
  <c r="M5" i="18"/>
  <c r="M4" i="18"/>
  <c r="M3" i="18"/>
  <c r="M2" i="18"/>
  <c r="L5" i="18"/>
  <c r="L4" i="18"/>
  <c r="L3" i="18"/>
  <c r="L2" i="18"/>
  <c r="I6" i="17"/>
  <c r="I5" i="17"/>
  <c r="I4" i="17"/>
  <c r="I3" i="17"/>
  <c r="B16" i="3" l="1"/>
  <c r="J9" i="5"/>
  <c r="H9" i="5"/>
  <c r="F9" i="5"/>
  <c r="D9" i="5"/>
  <c r="I5" i="5"/>
  <c r="G5" i="5"/>
  <c r="E5" i="5"/>
  <c r="C5" i="5"/>
  <c r="O14" i="3"/>
  <c r="L14" i="3"/>
  <c r="K14" i="3"/>
  <c r="J31" i="3" s="1"/>
  <c r="D31" i="3"/>
  <c r="F31" i="3" s="1"/>
  <c r="C47" i="3"/>
  <c r="E47" i="3" s="1"/>
  <c r="B47" i="3"/>
  <c r="H9" i="18"/>
  <c r="C63" i="3"/>
  <c r="E63" i="3" s="1"/>
  <c r="B63" i="3"/>
  <c r="C79" i="3"/>
  <c r="E79" i="3" s="1"/>
  <c r="B79" i="3"/>
  <c r="F47" i="3" l="1"/>
  <c r="H47" i="3"/>
  <c r="K79" i="3"/>
  <c r="L31" i="3"/>
  <c r="K63" i="3"/>
  <c r="K47" i="3"/>
  <c r="G31" i="3"/>
  <c r="I31" i="3"/>
  <c r="F79" i="3"/>
  <c r="H79" i="3"/>
  <c r="I63" i="3"/>
  <c r="I47" i="3"/>
  <c r="I79" i="3"/>
  <c r="F63" i="3"/>
  <c r="H63" i="3"/>
  <c r="E31" i="3"/>
  <c r="K31" i="3" s="1"/>
  <c r="D47" i="3"/>
  <c r="G47" i="3" s="1"/>
  <c r="D63" i="3"/>
  <c r="G63" i="3" s="1"/>
  <c r="D79" i="3"/>
  <c r="G79" i="3" s="1"/>
  <c r="J47" i="3" l="1"/>
  <c r="H31" i="3"/>
  <c r="J63" i="3"/>
  <c r="J79" i="3"/>
  <c r="D26" i="17"/>
  <c r="D18" i="17"/>
  <c r="H11" i="10" l="1"/>
  <c r="H10" i="10"/>
  <c r="H8" i="10"/>
  <c r="G8" i="10"/>
  <c r="B28" i="10"/>
  <c r="B29" i="10" s="1"/>
  <c r="B27" i="10"/>
  <c r="B26" i="10"/>
  <c r="B21" i="10"/>
  <c r="B22" i="10"/>
  <c r="I8" i="5" l="1"/>
  <c r="G8" i="5"/>
  <c r="E8" i="5"/>
  <c r="C8" i="5"/>
  <c r="E7" i="5"/>
  <c r="M5" i="5"/>
  <c r="L5" i="5"/>
  <c r="K5" i="5"/>
  <c r="G7" i="5" l="1"/>
  <c r="I7" i="5"/>
  <c r="C7" i="5"/>
  <c r="E33" i="10" l="1"/>
  <c r="K13" i="3"/>
  <c r="L13" i="3"/>
  <c r="O13" i="3"/>
  <c r="J13" i="3"/>
  <c r="D30" i="3" s="1"/>
  <c r="J12" i="3"/>
  <c r="I13" i="3"/>
  <c r="B30" i="3" s="1"/>
  <c r="C30" i="3" s="1"/>
  <c r="I12" i="3"/>
  <c r="B29" i="3" s="1"/>
  <c r="C29" i="3" s="1"/>
  <c r="H13" i="3"/>
  <c r="C46" i="3" s="1"/>
  <c r="H12" i="3"/>
  <c r="G13" i="3"/>
  <c r="B46" i="3" s="1"/>
  <c r="G12" i="3"/>
  <c r="F12" i="3"/>
  <c r="F13" i="3"/>
  <c r="C62" i="3" s="1"/>
  <c r="E13" i="3"/>
  <c r="B62" i="3" s="1"/>
  <c r="D12" i="3"/>
  <c r="D13" i="3"/>
  <c r="C78" i="3" s="1"/>
  <c r="E12" i="3"/>
  <c r="C13" i="3"/>
  <c r="B78" i="3" s="1"/>
  <c r="C12" i="3"/>
  <c r="O5" i="3"/>
  <c r="O6" i="3"/>
  <c r="O7" i="3"/>
  <c r="O8" i="3"/>
  <c r="O9" i="3"/>
  <c r="O10" i="3"/>
  <c r="O11" i="3"/>
  <c r="O12" i="3"/>
  <c r="O4" i="3"/>
  <c r="L5" i="3"/>
  <c r="L6" i="3"/>
  <c r="L7" i="3"/>
  <c r="L8" i="3"/>
  <c r="L9" i="3"/>
  <c r="L10" i="3"/>
  <c r="L11" i="3"/>
  <c r="L12" i="3"/>
  <c r="L4" i="3"/>
  <c r="K5" i="3"/>
  <c r="K6" i="3"/>
  <c r="K7" i="3"/>
  <c r="K8" i="3"/>
  <c r="K9" i="3"/>
  <c r="K10" i="3"/>
  <c r="K11" i="3"/>
  <c r="K12" i="3"/>
  <c r="K4" i="3"/>
  <c r="D33" i="10"/>
  <c r="D34" i="10"/>
  <c r="E34" i="10" s="1"/>
  <c r="D35" i="10"/>
  <c r="G37" i="10"/>
  <c r="G38" i="10" s="1"/>
  <c r="G40" i="10" s="1"/>
  <c r="G41" i="10" s="1"/>
  <c r="G39" i="10"/>
  <c r="G42" i="10"/>
  <c r="G43" i="10" s="1"/>
  <c r="D43" i="10"/>
  <c r="D45" i="10" s="1"/>
  <c r="D46" i="10" s="1"/>
  <c r="D47" i="10" s="1"/>
  <c r="D49" i="10"/>
  <c r="D52" i="10" s="1"/>
  <c r="D53" i="10" s="1"/>
  <c r="D54" i="10" s="1"/>
  <c r="D50" i="10"/>
  <c r="D60" i="10"/>
  <c r="B8" i="10"/>
  <c r="B12" i="10" s="1"/>
  <c r="D5" i="5"/>
  <c r="J30" i="3" l="1"/>
  <c r="G30" i="3"/>
  <c r="F62" i="3"/>
  <c r="F46" i="3"/>
  <c r="F78" i="3"/>
  <c r="I78" i="3"/>
  <c r="I62" i="3"/>
  <c r="I46" i="3"/>
  <c r="K16" i="3"/>
  <c r="O16" i="3"/>
  <c r="L16" i="3"/>
  <c r="F5" i="5"/>
  <c r="D62" i="3"/>
  <c r="J62" i="3" s="1"/>
  <c r="E62" i="3"/>
  <c r="H62" i="3" s="1"/>
  <c r="F30" i="3"/>
  <c r="L30" i="3" s="1"/>
  <c r="E30" i="3"/>
  <c r="D78" i="3"/>
  <c r="G78" i="3" s="1"/>
  <c r="E78" i="3"/>
  <c r="H78" i="3" s="1"/>
  <c r="D46" i="3"/>
  <c r="G46" i="3" s="1"/>
  <c r="E46" i="3"/>
  <c r="K46" i="3" s="1"/>
  <c r="D6" i="3"/>
  <c r="C71" i="3" s="1"/>
  <c r="G44" i="10"/>
  <c r="D56" i="10"/>
  <c r="D58" i="10" s="1"/>
  <c r="H30" i="3" l="1"/>
  <c r="K30" i="3"/>
  <c r="K78" i="3"/>
  <c r="H46" i="3"/>
  <c r="I30" i="3"/>
  <c r="J78" i="3"/>
  <c r="G62" i="3"/>
  <c r="J46" i="3"/>
  <c r="K62" i="3"/>
  <c r="F6" i="3"/>
  <c r="C55" i="3" s="1"/>
  <c r="E55" i="3" s="1"/>
  <c r="D71" i="3"/>
  <c r="E71" i="3"/>
  <c r="H5" i="5"/>
  <c r="D55" i="3" l="1"/>
  <c r="H6" i="3"/>
  <c r="C39" i="3" s="1"/>
  <c r="J5" i="5"/>
  <c r="E39" i="3" l="1"/>
  <c r="D39" i="3"/>
  <c r="J6" i="3"/>
  <c r="D23" i="3" s="1"/>
  <c r="F23" i="3" l="1"/>
  <c r="E23" i="3"/>
  <c r="E14" i="1" l="1"/>
  <c r="D14" i="1"/>
  <c r="C14" i="1"/>
  <c r="B14" i="1"/>
  <c r="I5" i="3"/>
  <c r="B22" i="3" s="1"/>
  <c r="I6" i="3"/>
  <c r="B23" i="3" s="1"/>
  <c r="I7" i="3"/>
  <c r="B24" i="3" s="1"/>
  <c r="I8" i="3"/>
  <c r="B25" i="3" s="1"/>
  <c r="I9" i="3"/>
  <c r="B26" i="3" s="1"/>
  <c r="I10" i="3"/>
  <c r="B27" i="3" s="1"/>
  <c r="I11" i="3"/>
  <c r="B28" i="3" s="1"/>
  <c r="I4" i="3"/>
  <c r="B21" i="3" s="1"/>
  <c r="H11" i="3"/>
  <c r="C44" i="3" s="1"/>
  <c r="F11" i="3"/>
  <c r="C60" i="3" s="1"/>
  <c r="D11" i="3"/>
  <c r="C76" i="3" s="1"/>
  <c r="J10" i="3"/>
  <c r="D27" i="3" s="1"/>
  <c r="H10" i="3"/>
  <c r="C43" i="3" s="1"/>
  <c r="F10" i="3"/>
  <c r="C59" i="3" s="1"/>
  <c r="D10" i="3"/>
  <c r="C75" i="3" s="1"/>
  <c r="J9" i="3"/>
  <c r="D26" i="3" s="1"/>
  <c r="H9" i="3"/>
  <c r="C42" i="3" s="1"/>
  <c r="F9" i="3"/>
  <c r="C58" i="3" s="1"/>
  <c r="D9" i="3"/>
  <c r="C74" i="3" s="1"/>
  <c r="J8" i="3"/>
  <c r="D25" i="3" s="1"/>
  <c r="H8" i="3"/>
  <c r="C41" i="3" s="1"/>
  <c r="F8" i="3"/>
  <c r="C57" i="3" s="1"/>
  <c r="D8" i="3"/>
  <c r="C73" i="3" s="1"/>
  <c r="J7" i="3"/>
  <c r="D24" i="3" s="1"/>
  <c r="H7" i="3"/>
  <c r="C40" i="3" s="1"/>
  <c r="F7" i="3"/>
  <c r="C56" i="3" s="1"/>
  <c r="D7" i="3"/>
  <c r="C72" i="3" s="1"/>
  <c r="J5" i="3"/>
  <c r="D22" i="3" s="1"/>
  <c r="H5" i="3"/>
  <c r="C38" i="3" s="1"/>
  <c r="F5" i="3"/>
  <c r="C54" i="3" s="1"/>
  <c r="D5" i="3"/>
  <c r="C70" i="3" s="1"/>
  <c r="J4" i="3"/>
  <c r="D21" i="3" s="1"/>
  <c r="H4" i="3"/>
  <c r="F4" i="3"/>
  <c r="D4" i="3"/>
  <c r="C6" i="3"/>
  <c r="B71" i="3" s="1"/>
  <c r="E6" i="3"/>
  <c r="B55" i="3" s="1"/>
  <c r="G6" i="3"/>
  <c r="B39" i="3" s="1"/>
  <c r="C23" i="3" l="1"/>
  <c r="K23" i="3" s="1"/>
  <c r="J23" i="3"/>
  <c r="C21" i="3"/>
  <c r="J21" i="3"/>
  <c r="C28" i="3"/>
  <c r="C24" i="3"/>
  <c r="J24" i="3"/>
  <c r="C27" i="3"/>
  <c r="J27" i="3"/>
  <c r="C26" i="3"/>
  <c r="J26" i="3"/>
  <c r="C22" i="3"/>
  <c r="J22" i="3"/>
  <c r="C25" i="3"/>
  <c r="J25" i="3"/>
  <c r="F55" i="3"/>
  <c r="G55" i="3"/>
  <c r="H55" i="3"/>
  <c r="I55" i="3"/>
  <c r="J55" i="3"/>
  <c r="K55" i="3"/>
  <c r="G71" i="3"/>
  <c r="F71" i="3"/>
  <c r="H71" i="3"/>
  <c r="I71" i="3"/>
  <c r="K71" i="3"/>
  <c r="J71" i="3"/>
  <c r="G25" i="3"/>
  <c r="G24" i="3"/>
  <c r="G27" i="3"/>
  <c r="G23" i="3"/>
  <c r="H23" i="3"/>
  <c r="I23" i="3"/>
  <c r="L23" i="3"/>
  <c r="G21" i="3"/>
  <c r="G22" i="3"/>
  <c r="F39" i="3"/>
  <c r="G39" i="3"/>
  <c r="H39" i="3"/>
  <c r="K39" i="3"/>
  <c r="J39" i="3"/>
  <c r="I39" i="3"/>
  <c r="G26" i="3"/>
  <c r="C69" i="3"/>
  <c r="D69" i="3" s="1"/>
  <c r="D16" i="3"/>
  <c r="E21" i="3"/>
  <c r="C53" i="3"/>
  <c r="D53" i="3" s="1"/>
  <c r="F16" i="3"/>
  <c r="C37" i="3"/>
  <c r="D37" i="3" s="1"/>
  <c r="H16" i="3"/>
  <c r="I16" i="3"/>
  <c r="B33" i="3" s="1"/>
  <c r="E24" i="3"/>
  <c r="F24" i="3"/>
  <c r="L24" i="3" s="1"/>
  <c r="E73" i="3"/>
  <c r="D73" i="3"/>
  <c r="E74" i="3"/>
  <c r="D74" i="3"/>
  <c r="E59" i="3"/>
  <c r="D59" i="3"/>
  <c r="D44" i="3"/>
  <c r="E44" i="3"/>
  <c r="E75" i="3"/>
  <c r="D75" i="3"/>
  <c r="D70" i="3"/>
  <c r="E70" i="3"/>
  <c r="E41" i="3"/>
  <c r="D41" i="3"/>
  <c r="E42" i="3"/>
  <c r="D42" i="3"/>
  <c r="E27" i="3"/>
  <c r="F27" i="3"/>
  <c r="I27" i="3" s="1"/>
  <c r="D43" i="3"/>
  <c r="E43" i="3"/>
  <c r="E25" i="3"/>
  <c r="K25" i="3" s="1"/>
  <c r="F25" i="3"/>
  <c r="L25" i="3" s="1"/>
  <c r="E26" i="3"/>
  <c r="F26" i="3"/>
  <c r="I26" i="3" s="1"/>
  <c r="E40" i="3"/>
  <c r="D40" i="3"/>
  <c r="E58" i="3"/>
  <c r="D58" i="3"/>
  <c r="D54" i="3"/>
  <c r="E54" i="3"/>
  <c r="D38" i="3"/>
  <c r="E38" i="3"/>
  <c r="D72" i="3"/>
  <c r="E72" i="3"/>
  <c r="D60" i="3"/>
  <c r="E60" i="3"/>
  <c r="E57" i="3"/>
  <c r="D57" i="3"/>
  <c r="F22" i="3"/>
  <c r="I22" i="3" s="1"/>
  <c r="E22" i="3"/>
  <c r="K22" i="3" s="1"/>
  <c r="E56" i="3"/>
  <c r="D56" i="3"/>
  <c r="D76" i="3"/>
  <c r="E76" i="3"/>
  <c r="D29" i="3"/>
  <c r="J29" i="3" s="1"/>
  <c r="J11" i="3"/>
  <c r="D28" i="3" s="1"/>
  <c r="G28" i="3" s="1"/>
  <c r="G5" i="3"/>
  <c r="B38" i="3" s="1"/>
  <c r="G7" i="3"/>
  <c r="B40" i="3" s="1"/>
  <c r="G8" i="3"/>
  <c r="B41" i="3" s="1"/>
  <c r="G9" i="3"/>
  <c r="B42" i="3" s="1"/>
  <c r="G10" i="3"/>
  <c r="B43" i="3" s="1"/>
  <c r="G11" i="3"/>
  <c r="B44" i="3" s="1"/>
  <c r="B45" i="3"/>
  <c r="G4" i="3"/>
  <c r="E5" i="3"/>
  <c r="B54" i="3" s="1"/>
  <c r="E7" i="3"/>
  <c r="B56" i="3" s="1"/>
  <c r="E8" i="3"/>
  <c r="B57" i="3" s="1"/>
  <c r="E9" i="3"/>
  <c r="B58" i="3" s="1"/>
  <c r="E10" i="3"/>
  <c r="B59" i="3" s="1"/>
  <c r="E11" i="3"/>
  <c r="B60" i="3" s="1"/>
  <c r="B61" i="3"/>
  <c r="E4" i="3"/>
  <c r="C5" i="3"/>
  <c r="B70" i="3" s="1"/>
  <c r="C7" i="3"/>
  <c r="B72" i="3" s="1"/>
  <c r="C8" i="3"/>
  <c r="B73" i="3" s="1"/>
  <c r="C9" i="3"/>
  <c r="B74" i="3" s="1"/>
  <c r="C10" i="3"/>
  <c r="B75" i="3" s="1"/>
  <c r="C11" i="3"/>
  <c r="B76" i="3" s="1"/>
  <c r="B77" i="3"/>
  <c r="C4" i="3"/>
  <c r="G29" i="3" l="1"/>
  <c r="J28" i="3"/>
  <c r="C33" i="3"/>
  <c r="H21" i="3"/>
  <c r="K21" i="3"/>
  <c r="H24" i="3"/>
  <c r="K24" i="3"/>
  <c r="H27" i="3"/>
  <c r="K27" i="3"/>
  <c r="H26" i="3"/>
  <c r="K26" i="3"/>
  <c r="I24" i="3"/>
  <c r="H22" i="3"/>
  <c r="L26" i="3"/>
  <c r="L22" i="3"/>
  <c r="F38" i="3"/>
  <c r="H38" i="3"/>
  <c r="G38" i="3"/>
  <c r="I38" i="3"/>
  <c r="J38" i="3"/>
  <c r="K38" i="3"/>
  <c r="F76" i="3"/>
  <c r="G76" i="3"/>
  <c r="H76" i="3"/>
  <c r="I76" i="3"/>
  <c r="K76" i="3"/>
  <c r="J76" i="3"/>
  <c r="H60" i="3"/>
  <c r="F60" i="3"/>
  <c r="G60" i="3"/>
  <c r="J60" i="3"/>
  <c r="K60" i="3"/>
  <c r="I60" i="3"/>
  <c r="F44" i="3"/>
  <c r="G44" i="3"/>
  <c r="H44" i="3"/>
  <c r="K44" i="3"/>
  <c r="J44" i="3"/>
  <c r="I44" i="3"/>
  <c r="I25" i="3"/>
  <c r="F75" i="3"/>
  <c r="H75" i="3"/>
  <c r="G75" i="3"/>
  <c r="J75" i="3"/>
  <c r="I75" i="3"/>
  <c r="K75" i="3"/>
  <c r="F59" i="3"/>
  <c r="G59" i="3"/>
  <c r="H59" i="3"/>
  <c r="I59" i="3"/>
  <c r="J59" i="3"/>
  <c r="K59" i="3"/>
  <c r="F43" i="3"/>
  <c r="G43" i="3"/>
  <c r="H43" i="3"/>
  <c r="J43" i="3"/>
  <c r="I43" i="3"/>
  <c r="K43" i="3"/>
  <c r="L27" i="3"/>
  <c r="H25" i="3"/>
  <c r="H70" i="3"/>
  <c r="F70" i="3"/>
  <c r="G70" i="3"/>
  <c r="I70" i="3"/>
  <c r="J70" i="3"/>
  <c r="K70" i="3"/>
  <c r="H74" i="3"/>
  <c r="F74" i="3"/>
  <c r="G74" i="3"/>
  <c r="J74" i="3"/>
  <c r="K74" i="3"/>
  <c r="I74" i="3"/>
  <c r="F54" i="3"/>
  <c r="G54" i="3"/>
  <c r="H54" i="3"/>
  <c r="I54" i="3"/>
  <c r="J54" i="3"/>
  <c r="K54" i="3"/>
  <c r="G42" i="3"/>
  <c r="F42" i="3"/>
  <c r="H42" i="3"/>
  <c r="I42" i="3"/>
  <c r="K42" i="3"/>
  <c r="J42" i="3"/>
  <c r="F57" i="3"/>
  <c r="H57" i="3"/>
  <c r="G57" i="3"/>
  <c r="K57" i="3"/>
  <c r="J57" i="3"/>
  <c r="I57" i="3"/>
  <c r="F58" i="3"/>
  <c r="G58" i="3"/>
  <c r="H58" i="3"/>
  <c r="K58" i="3"/>
  <c r="J58" i="3"/>
  <c r="I58" i="3"/>
  <c r="F73" i="3"/>
  <c r="G73" i="3"/>
  <c r="H73" i="3"/>
  <c r="K73" i="3"/>
  <c r="J73" i="3"/>
  <c r="I73" i="3"/>
  <c r="H41" i="3"/>
  <c r="F41" i="3"/>
  <c r="G41" i="3"/>
  <c r="K41" i="3"/>
  <c r="I41" i="3"/>
  <c r="J41" i="3"/>
  <c r="F72" i="3"/>
  <c r="G72" i="3"/>
  <c r="H72" i="3"/>
  <c r="I72" i="3"/>
  <c r="K72" i="3"/>
  <c r="J72" i="3"/>
  <c r="H56" i="3"/>
  <c r="F56" i="3"/>
  <c r="G56" i="3"/>
  <c r="I56" i="3"/>
  <c r="K56" i="3"/>
  <c r="J56" i="3"/>
  <c r="F40" i="3"/>
  <c r="G40" i="3"/>
  <c r="H40" i="3"/>
  <c r="K40" i="3"/>
  <c r="J40" i="3"/>
  <c r="I40" i="3"/>
  <c r="E53" i="3"/>
  <c r="F21" i="3"/>
  <c r="E69" i="3"/>
  <c r="J16" i="3"/>
  <c r="D33" i="3" s="1"/>
  <c r="J33" i="3" s="1"/>
  <c r="B69" i="3"/>
  <c r="C16" i="3"/>
  <c r="B81" i="3" s="1"/>
  <c r="B53" i="3"/>
  <c r="E16" i="3"/>
  <c r="B65" i="3" s="1"/>
  <c r="B37" i="3"/>
  <c r="G16" i="3"/>
  <c r="B49" i="3" s="1"/>
  <c r="E37" i="3"/>
  <c r="F28" i="3"/>
  <c r="E28" i="3"/>
  <c r="K28" i="3" s="1"/>
  <c r="F29" i="3"/>
  <c r="E29" i="3"/>
  <c r="K29" i="3" s="1"/>
  <c r="C65" i="3"/>
  <c r="C61" i="3"/>
  <c r="F61" i="3" s="1"/>
  <c r="C81" i="3"/>
  <c r="D81" i="3" s="1"/>
  <c r="C77" i="3"/>
  <c r="F77" i="3" s="1"/>
  <c r="C45" i="3"/>
  <c r="F45" i="3" s="1"/>
  <c r="E23" i="2"/>
  <c r="D23" i="2"/>
  <c r="C23" i="2"/>
  <c r="B23" i="2"/>
  <c r="I61" i="3" l="1"/>
  <c r="I77" i="3"/>
  <c r="G33" i="3"/>
  <c r="I45" i="3"/>
  <c r="H28" i="3"/>
  <c r="L28" i="3"/>
  <c r="I28" i="3"/>
  <c r="L21" i="3"/>
  <c r="I21" i="3"/>
  <c r="G69" i="3"/>
  <c r="F69" i="3"/>
  <c r="H69" i="3"/>
  <c r="I69" i="3"/>
  <c r="J69" i="3"/>
  <c r="K69" i="3"/>
  <c r="H37" i="3"/>
  <c r="G37" i="3"/>
  <c r="F37" i="3"/>
  <c r="I37" i="3"/>
  <c r="J37" i="3"/>
  <c r="K37" i="3"/>
  <c r="F65" i="3"/>
  <c r="I65" i="3"/>
  <c r="H29" i="3"/>
  <c r="H53" i="3"/>
  <c r="G53" i="3"/>
  <c r="F53" i="3"/>
  <c r="J53" i="3"/>
  <c r="K53" i="3"/>
  <c r="I53" i="3"/>
  <c r="I64" i="3" s="1"/>
  <c r="I29" i="3"/>
  <c r="L29" i="3"/>
  <c r="G81" i="3"/>
  <c r="F81" i="3"/>
  <c r="J81" i="3"/>
  <c r="I81" i="3"/>
  <c r="J32" i="3"/>
  <c r="I80" i="3"/>
  <c r="E65" i="3"/>
  <c r="H65" i="3" s="1"/>
  <c r="D65" i="3"/>
  <c r="G65" i="3" s="1"/>
  <c r="F33" i="3"/>
  <c r="E33" i="3"/>
  <c r="K33" i="3" s="1"/>
  <c r="D77" i="3"/>
  <c r="E77" i="3"/>
  <c r="I48" i="3"/>
  <c r="D45" i="3"/>
  <c r="E45" i="3"/>
  <c r="D61" i="3"/>
  <c r="E61" i="3"/>
  <c r="E81" i="3"/>
  <c r="H81" i="3" s="1"/>
  <c r="C49" i="3"/>
  <c r="I49" i="3" s="1"/>
  <c r="J65" i="3" l="1"/>
  <c r="K65" i="3"/>
  <c r="J77" i="3"/>
  <c r="J80" i="3" s="1"/>
  <c r="G77" i="3"/>
  <c r="K81" i="3"/>
  <c r="F49" i="3"/>
  <c r="L33" i="3"/>
  <c r="I33" i="3"/>
  <c r="G61" i="3"/>
  <c r="J61" i="3"/>
  <c r="J64" i="3" s="1"/>
  <c r="H33" i="3"/>
  <c r="H45" i="3"/>
  <c r="K45" i="3"/>
  <c r="K48" i="3" s="1"/>
  <c r="G45" i="3"/>
  <c r="J45" i="3"/>
  <c r="J48" i="3" s="1"/>
  <c r="K77" i="3"/>
  <c r="K80" i="3" s="1"/>
  <c r="H77" i="3"/>
  <c r="K61" i="3"/>
  <c r="K64" i="3" s="1"/>
  <c r="H61" i="3"/>
  <c r="K32" i="3"/>
  <c r="L32" i="3"/>
  <c r="D49" i="3"/>
  <c r="E49" i="3"/>
  <c r="K49" i="3" l="1"/>
  <c r="H49" i="3"/>
  <c r="J49" i="3"/>
  <c r="G49" i="3"/>
</calcChain>
</file>

<file path=xl/sharedStrings.xml><?xml version="1.0" encoding="utf-8"?>
<sst xmlns="http://schemas.openxmlformats.org/spreadsheetml/2006/main" count="776" uniqueCount="285">
  <si>
    <t>Energy Usage</t>
  </si>
  <si>
    <t>GHG Limits</t>
  </si>
  <si>
    <t>sqft</t>
  </si>
  <si>
    <t>2018 mlbs</t>
  </si>
  <si>
    <t>2018 kwh</t>
  </si>
  <si>
    <t>2019 mlbs</t>
  </si>
  <si>
    <t>2019 kwh</t>
  </si>
  <si>
    <t>2020 mlbs</t>
  </si>
  <si>
    <t>2020 kwh</t>
  </si>
  <si>
    <t>2021 mlbs</t>
  </si>
  <si>
    <t>2021 kwh</t>
  </si>
  <si>
    <t>2024-2029 GHG Limit</t>
  </si>
  <si>
    <t>2030-2034 Limit</t>
  </si>
  <si>
    <t>2050 Limit</t>
  </si>
  <si>
    <t>10 rock</t>
  </si>
  <si>
    <t>1230 6th</t>
  </si>
  <si>
    <t>30 rock</t>
  </si>
  <si>
    <t>45 Rock</t>
  </si>
  <si>
    <t>610 5th</t>
  </si>
  <si>
    <t>50 Rock</t>
  </si>
  <si>
    <t>620 5th</t>
  </si>
  <si>
    <t>1270 6th</t>
  </si>
  <si>
    <t>1 Rock</t>
  </si>
  <si>
    <t>600 5th</t>
  </si>
  <si>
    <t>RCHM</t>
  </si>
  <si>
    <t>RCMH</t>
  </si>
  <si>
    <t>As a Campus</t>
  </si>
  <si>
    <t>GHG Emissions from 2021 Usage</t>
  </si>
  <si>
    <t>% Change Required to Meet Goal</t>
  </si>
  <si>
    <t>2021 Steam</t>
  </si>
  <si>
    <t>2021 Electric</t>
  </si>
  <si>
    <t>2021 Electric with 2030 Grid</t>
  </si>
  <si>
    <t>2021 Electric with 2050 Grid</t>
  </si>
  <si>
    <t>2024 Reduction Needed</t>
  </si>
  <si>
    <t>2030 Reduction Needed</t>
  </si>
  <si>
    <t>2050 Reduction Needed</t>
  </si>
  <si>
    <t>2024 Fine</t>
  </si>
  <si>
    <t>2030 Fine</t>
  </si>
  <si>
    <t>2050 Fine</t>
  </si>
  <si>
    <t>Total Fines Individually</t>
  </si>
  <si>
    <t>Fine as Campus</t>
  </si>
  <si>
    <t>GHG Emissions from 2020 Usage</t>
  </si>
  <si>
    <t>2020 Steam</t>
  </si>
  <si>
    <t>2020 Electric</t>
  </si>
  <si>
    <t>2030 Grid</t>
  </si>
  <si>
    <t>2050 Grid</t>
  </si>
  <si>
    <t>GHG Emissions from 2019 Usage</t>
  </si>
  <si>
    <t>2019 Steam</t>
  </si>
  <si>
    <t>2019 Electric</t>
  </si>
  <si>
    <t>GHG Emissions from 2018 Usage</t>
  </si>
  <si>
    <t>2018 Steam</t>
  </si>
  <si>
    <t>2018 Electric</t>
  </si>
  <si>
    <t>1 Rock and 600 5th</t>
  </si>
  <si>
    <t>Rock Center</t>
  </si>
  <si>
    <t>Central Plant</t>
  </si>
  <si>
    <t>49 street sto - subway</t>
  </si>
  <si>
    <t>1240 6 ave - 1240</t>
  </si>
  <si>
    <t>fire pump - no usage</t>
  </si>
  <si>
    <t>1270 6 ave entm - subway</t>
  </si>
  <si>
    <t>49 st and 6 ave - subway</t>
  </si>
  <si>
    <t>30 rock 55th - old lazard account</t>
  </si>
  <si>
    <t>620 fire alarm - no usage</t>
  </si>
  <si>
    <t>Past Energy Use</t>
  </si>
  <si>
    <t>2024-2029</t>
  </si>
  <si>
    <t>2030-2034</t>
  </si>
  <si>
    <t>All 30 Rock</t>
  </si>
  <si>
    <t>30 rock Base</t>
  </si>
  <si>
    <t>NBC</t>
  </si>
  <si>
    <t>Start Date</t>
  </si>
  <si>
    <t>End Date</t>
  </si>
  <si>
    <t>kwh</t>
  </si>
  <si>
    <t>2022-07-13</t>
  </si>
  <si>
    <t>2022-08-11</t>
  </si>
  <si>
    <t>2022-06-13</t>
  </si>
  <si>
    <t>2022-05-12</t>
  </si>
  <si>
    <t>2022-04-13</t>
  </si>
  <si>
    <t>2022-03-15</t>
  </si>
  <si>
    <t>2022-02-11</t>
  </si>
  <si>
    <t>2022-01-12</t>
  </si>
  <si>
    <t>2021-12-10</t>
  </si>
  <si>
    <t>2021-11-09</t>
  </si>
  <si>
    <t>2021-10-12</t>
  </si>
  <si>
    <t>2021-09-10</t>
  </si>
  <si>
    <t>2021-08-11</t>
  </si>
  <si>
    <t>2021-07-13</t>
  </si>
  <si>
    <t>2021-06-11</t>
  </si>
  <si>
    <t>2021-05-12</t>
  </si>
  <si>
    <t>2021-04-14</t>
  </si>
  <si>
    <t>2021-03-16</t>
  </si>
  <si>
    <t>2021-02-12</t>
  </si>
  <si>
    <t>2021-01-13</t>
  </si>
  <si>
    <t>2020-12-11</t>
  </si>
  <si>
    <t>2020-11-09</t>
  </si>
  <si>
    <t>2020-10-09</t>
  </si>
  <si>
    <t>2020-09-10</t>
  </si>
  <si>
    <t>2020-08-11</t>
  </si>
  <si>
    <t>2020-07-13</t>
  </si>
  <si>
    <t>2020-06-11</t>
  </si>
  <si>
    <t>2020-05-12</t>
  </si>
  <si>
    <t>2020-04-13</t>
  </si>
  <si>
    <t>2020-03-13</t>
  </si>
  <si>
    <t>2020-02-12</t>
  </si>
  <si>
    <t>2020-01-13</t>
  </si>
  <si>
    <t>2019-12-11</t>
  </si>
  <si>
    <t>2019-11-08</t>
  </si>
  <si>
    <t>2019-10-10</t>
  </si>
  <si>
    <t>2019-09-11</t>
  </si>
  <si>
    <t>2019-08-12</t>
  </si>
  <si>
    <t>2019-07-12</t>
  </si>
  <si>
    <t>2019-06-12</t>
  </si>
  <si>
    <t>2019-05-13</t>
  </si>
  <si>
    <t>2019-04-12</t>
  </si>
  <si>
    <t>2019-03-14</t>
  </si>
  <si>
    <t>2019-02-12</t>
  </si>
  <si>
    <t>2019-01-11</t>
  </si>
  <si>
    <t>2018-12-12</t>
  </si>
  <si>
    <t>2018-11-08</t>
  </si>
  <si>
    <t>2018-10-11</t>
  </si>
  <si>
    <t>2018-09-11</t>
  </si>
  <si>
    <t>2018-08-10</t>
  </si>
  <si>
    <t>2018-07-12</t>
  </si>
  <si>
    <t>2018-06-12</t>
  </si>
  <si>
    <t>2018-05-11</t>
  </si>
  <si>
    <t>2018-04-12</t>
  </si>
  <si>
    <t>2018-03-01</t>
  </si>
  <si>
    <t>2018-02-12</t>
  </si>
  <si>
    <t>2018-01-11</t>
  </si>
  <si>
    <t>2017-12-12</t>
  </si>
  <si>
    <t>2017-11-08</t>
  </si>
  <si>
    <t>2017-10-11</t>
  </si>
  <si>
    <t>2017-09-11</t>
  </si>
  <si>
    <t>2017-08-10</t>
  </si>
  <si>
    <t>2017-07-12</t>
  </si>
  <si>
    <t>2017-06-12</t>
  </si>
  <si>
    <t>2017-05-11</t>
  </si>
  <si>
    <t>Energy Star</t>
  </si>
  <si>
    <t>klbs</t>
  </si>
  <si>
    <t>mlbs</t>
  </si>
  <si>
    <t>2021-12-13</t>
  </si>
  <si>
    <t>2021-10-08</t>
  </si>
  <si>
    <t>2021-10-09</t>
  </si>
  <si>
    <t>2021-08-12</t>
  </si>
  <si>
    <t>2021-04-13</t>
  </si>
  <si>
    <t>2021-03-13</t>
  </si>
  <si>
    <t>2020-12-12</t>
  </si>
  <si>
    <t>2020-07-11</t>
  </si>
  <si>
    <t>2019-12-12</t>
  </si>
  <si>
    <t>2018-10-10</t>
  </si>
  <si>
    <t>2018-06-11</t>
  </si>
  <si>
    <t>2018-03-14</t>
  </si>
  <si>
    <t>2018-03-11</t>
  </si>
  <si>
    <t>2018-02-11</t>
  </si>
  <si>
    <t>2018-01-12</t>
  </si>
  <si>
    <t>LL97 Constants</t>
  </si>
  <si>
    <t>tco2 per sqft</t>
  </si>
  <si>
    <t>goal 2050</t>
  </si>
  <si>
    <t>electricity</t>
  </si>
  <si>
    <t>tco2 per kwh</t>
  </si>
  <si>
    <t>gas</t>
  </si>
  <si>
    <t>tc02 per kbtu</t>
  </si>
  <si>
    <t>steam</t>
  </si>
  <si>
    <t>tco2 per kbtu</t>
  </si>
  <si>
    <t>$/mwh</t>
  </si>
  <si>
    <t>$/kwh</t>
  </si>
  <si>
    <t>electricity kbtu</t>
  </si>
  <si>
    <t>Fine</t>
  </si>
  <si>
    <t>Kbtu/mlb</t>
  </si>
  <si>
    <t>ghg/mwh</t>
  </si>
  <si>
    <t>ghg/mlb</t>
  </si>
  <si>
    <t>Steam/Elec Spread</t>
  </si>
  <si>
    <t>2030 grid factor</t>
  </si>
  <si>
    <t>percent of 2018 grid ghg intensity</t>
  </si>
  <si>
    <t>2050 grid factor</t>
  </si>
  <si>
    <t>heat pump avg cop</t>
  </si>
  <si>
    <t>steam eff</t>
  </si>
  <si>
    <t>nyc yearly load</t>
  </si>
  <si>
    <t>twh</t>
  </si>
  <si>
    <t>indian point</t>
  </si>
  <si>
    <t>2018 baseline</t>
  </si>
  <si>
    <t>projects online by 2030</t>
  </si>
  <si>
    <t>empire wind 1</t>
  </si>
  <si>
    <t>Champlain Hudson Power Express</t>
  </si>
  <si>
    <t>Clean Path NY</t>
  </si>
  <si>
    <t>percent clean 2030</t>
  </si>
  <si>
    <t>dirty percent 2030/direct percent 2018</t>
  </si>
  <si>
    <t>this would be my calculated value for grid factor 2030</t>
  </si>
  <si>
    <t>from calculator</t>
  </si>
  <si>
    <t>tco2</t>
  </si>
  <si>
    <t>tco2/unit</t>
  </si>
  <si>
    <t>kbtu/unit</t>
  </si>
  <si>
    <t>mlb</t>
  </si>
  <si>
    <t>&lt;- too high</t>
  </si>
  <si>
    <t>therms</t>
  </si>
  <si>
    <t>mmbtu heat needed</t>
  </si>
  <si>
    <t>btu/lb</t>
  </si>
  <si>
    <t>btu/mlb</t>
  </si>
  <si>
    <t>mbls</t>
  </si>
  <si>
    <t>btu/mlb ll97</t>
  </si>
  <si>
    <t>dhw heat recovery</t>
  </si>
  <si>
    <t>kbtu</t>
  </si>
  <si>
    <t>tons of co2 per 1000 mmbtu</t>
  </si>
  <si>
    <t>1 mmbtu of heating</t>
  </si>
  <si>
    <t>mmbtu of steam needed</t>
  </si>
  <si>
    <t>cop needed for electric to beat steam</t>
  </si>
  <si>
    <t>tons of co2</t>
  </si>
  <si>
    <t>kwh input</t>
  </si>
  <si>
    <t>cooling output</t>
  </si>
  <si>
    <t>kwh avoided</t>
  </si>
  <si>
    <t>tons of co2 avoided</t>
  </si>
  <si>
    <t>times better than steam heat ll97</t>
  </si>
  <si>
    <t>mmbtu/hr</t>
  </si>
  <si>
    <t>data center</t>
  </si>
  <si>
    <t>hotel</t>
  </si>
  <si>
    <t>other - entertainment/public assembly</t>
  </si>
  <si>
    <t>other - mall</t>
  </si>
  <si>
    <t>proposed rules tco2 per sqft</t>
  </si>
  <si>
    <t>medical office</t>
  </si>
  <si>
    <t>Adult education</t>
  </si>
  <si>
    <t>Ambulatory surgical center</t>
  </si>
  <si>
    <t>automobile dealership</t>
  </si>
  <si>
    <t>bank branch</t>
  </si>
  <si>
    <t>bowling alley</t>
  </si>
  <si>
    <t>college/university</t>
  </si>
  <si>
    <t>convenience store without gas station</t>
  </si>
  <si>
    <t>courthouse</t>
  </si>
  <si>
    <t>distribution center</t>
  </si>
  <si>
    <t>enclosed mall</t>
  </si>
  <si>
    <t>financial office</t>
  </si>
  <si>
    <t>fitness center/health club/gym</t>
  </si>
  <si>
    <t>food sales</t>
  </si>
  <si>
    <t>food service</t>
  </si>
  <si>
    <t>hospital (general medical &amp; surgical)</t>
  </si>
  <si>
    <t>k-12 school</t>
  </si>
  <si>
    <t>laborator</t>
  </si>
  <si>
    <t>library</t>
  </si>
  <si>
    <t>lifestyle center</t>
  </si>
  <si>
    <t>mailing center/post office</t>
  </si>
  <si>
    <t>manufacturing/industrial plant</t>
  </si>
  <si>
    <t>movie theater</t>
  </si>
  <si>
    <t>multifamily housing</t>
  </si>
  <si>
    <t>museum</t>
  </si>
  <si>
    <t>non-refirgerated warehouse</t>
  </si>
  <si>
    <t>office</t>
  </si>
  <si>
    <t>other - education</t>
  </si>
  <si>
    <t>other - lodging/residential</t>
  </si>
  <si>
    <t>other - public servicve</t>
  </si>
  <si>
    <t>other - recreation</t>
  </si>
  <si>
    <t>other - restaurant/bar</t>
  </si>
  <si>
    <t>other - services</t>
  </si>
  <si>
    <t>other - speciality hospital</t>
  </si>
  <si>
    <t>other - technology/science</t>
  </si>
  <si>
    <t>outpatient rehabiltation/physical therapy</t>
  </si>
  <si>
    <t>performing arts</t>
  </si>
  <si>
    <t>personal services (health/bueaty, dry cleaning, etc.)</t>
  </si>
  <si>
    <t>pre-school/daycare</t>
  </si>
  <si>
    <t>refrigerated warehouse</t>
  </si>
  <si>
    <t>repaire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</si>
  <si>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</si>
  <si>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</si>
  <si>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</si>
  <si>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</si>
  <si>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</si>
  <si>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care community</t>
  </si>
  <si>
    <t>social/meeting hall</t>
  </si>
  <si>
    <t>strip amll</t>
  </si>
  <si>
    <t>supermakret/grocery store</t>
  </si>
  <si>
    <t>transportation terminal/station</t>
  </si>
  <si>
    <t>urgent care/clinic/other outpatient</t>
  </si>
  <si>
    <t>vocational school</t>
  </si>
  <si>
    <t>wholesale club/supercenter</t>
  </si>
  <si>
    <t>worship facility</t>
  </si>
  <si>
    <t>parking</t>
  </si>
  <si>
    <t>2029-2034</t>
  </si>
  <si>
    <t>Office Limit 2024-2029</t>
  </si>
  <si>
    <t>Office limit 2030-2034</t>
  </si>
  <si>
    <t>can use original occupancy class for 2024 and 2025</t>
  </si>
  <si>
    <t>electricity 2030-2034 kbtu</t>
  </si>
  <si>
    <t>electricity 2030-2034 kwh</t>
  </si>
  <si>
    <t>&lt;- double?!?!</t>
  </si>
  <si>
    <t>2030-2034 steam</t>
  </si>
  <si>
    <t>2021 steam with 2030 coefficient</t>
  </si>
  <si>
    <t>`</t>
  </si>
  <si>
    <t>2030-2034 co2</t>
  </si>
  <si>
    <t>&lt;- did not model 2050 fines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</si>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</sst>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  <numFmt numFmtId="166" formatCode="_(* #,##0_);_(* \(#,##0\);_(* &quot;-&quot;????????_);_(@_)"/>
    <numFmt numFmtId="167" formatCode="0.00000000"/>
    <numFmt numFmtId="168" formatCode="_(* #,##0.000_);_(* \(#,##0.000\);_(* &quot;-&quot;??_);_(@_)"/>
    <numFmt numFmtId="169" formatCode="_(&quot;$&quot;* #,##0.0_);_(&quot;$&quot;* \(#,##0.0\);_(&quot;$&quot;* &quot;-&quot;??_);_(@_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  <numFmt numFmtId="172" formatCode="0.0"/>
    <numFmt numFmtId="173" formatCode="_(* #,##0.000000_);_(* \(#,##0.000000\);_(* &quot;-&quot;??_);_(@_)"/>
    <numFmt numFmtId="17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Arial"/>
      <family val="1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/>
  </cellStyleXfs>
  <cellXfs count="133">
    <xf numFmtId="0" fontId="0" fillId="0" borderId="0" xfId="0"/>
    <xf numFmtId="43" fontId="0" fillId="0" borderId="0" xfId="0" applyNumberFormat="1"/>
    <xf numFmtId="9" fontId="0" fillId="0" borderId="0" xfId="3" applyFont="1"/>
    <xf numFmtId="43" fontId="0" fillId="0" borderId="0" xfId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4" fontId="0" fillId="0" borderId="0" xfId="2" applyFont="1"/>
    <xf numFmtId="164" fontId="0" fillId="0" borderId="0" xfId="0" applyNumberFormat="1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170" fontId="0" fillId="0" borderId="0" xfId="2" applyNumberFormat="1" applyFont="1"/>
    <xf numFmtId="164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172" fontId="0" fillId="0" borderId="0" xfId="0" applyNumberFormat="1"/>
    <xf numFmtId="0" fontId="0" fillId="0" borderId="1" xfId="0" applyBorder="1"/>
    <xf numFmtId="0" fontId="0" fillId="0" borderId="0" xfId="0" applyBorder="1"/>
    <xf numFmtId="164" fontId="0" fillId="0" borderId="0" xfId="1" applyNumberFormat="1" applyFont="1" applyBorder="1"/>
    <xf numFmtId="0" fontId="0" fillId="0" borderId="0" xfId="0" applyFill="1" applyBorder="1"/>
    <xf numFmtId="164" fontId="0" fillId="0" borderId="0" xfId="1" applyNumberFormat="1" applyFont="1" applyFill="1" applyBorder="1"/>
    <xf numFmtId="0" fontId="2" fillId="0" borderId="0" xfId="4" applyFont="1" applyFill="1"/>
    <xf numFmtId="164" fontId="0" fillId="0" borderId="4" xfId="0" applyNumberFormat="1" applyFill="1" applyBorder="1"/>
    <xf numFmtId="164" fontId="0" fillId="0" borderId="0" xfId="0" applyNumberFormat="1" applyFill="1" applyBorder="1"/>
    <xf numFmtId="9" fontId="0" fillId="0" borderId="0" xfId="3" applyFont="1" applyFill="1" applyBorder="1"/>
    <xf numFmtId="9" fontId="0" fillId="0" borderId="5" xfId="3" applyFon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9" fontId="0" fillId="0" borderId="7" xfId="3" applyFont="1" applyFill="1" applyBorder="1"/>
    <xf numFmtId="9" fontId="0" fillId="0" borderId="8" xfId="3" applyFont="1" applyFill="1" applyBorder="1"/>
    <xf numFmtId="169" fontId="0" fillId="0" borderId="0" xfId="2" applyNumberFormat="1" applyFont="1" applyFill="1" applyBorder="1"/>
    <xf numFmtId="169" fontId="0" fillId="0" borderId="7" xfId="2" applyNumberFormat="1" applyFont="1" applyFill="1" applyBorder="1"/>
    <xf numFmtId="170" fontId="0" fillId="0" borderId="5" xfId="2" applyNumberFormat="1" applyFont="1" applyFill="1" applyBorder="1"/>
    <xf numFmtId="170" fontId="0" fillId="0" borderId="8" xfId="2" applyNumberFormat="1" applyFont="1" applyFill="1" applyBorder="1"/>
    <xf numFmtId="169" fontId="0" fillId="0" borderId="10" xfId="2" applyNumberFormat="1" applyFont="1" applyFill="1" applyBorder="1"/>
    <xf numFmtId="170" fontId="0" fillId="0" borderId="11" xfId="2" applyNumberFormat="1" applyFont="1" applyFill="1" applyBorder="1"/>
    <xf numFmtId="164" fontId="0" fillId="0" borderId="5" xfId="0" applyNumberFormat="1" applyFill="1" applyBorder="1"/>
    <xf numFmtId="164" fontId="0" fillId="0" borderId="8" xfId="0" applyNumberFormat="1" applyFill="1" applyBorder="1"/>
    <xf numFmtId="0" fontId="0" fillId="0" borderId="0" xfId="0" applyAlignment="1">
      <alignment wrapText="1"/>
    </xf>
    <xf numFmtId="9" fontId="0" fillId="0" borderId="4" xfId="3" applyFont="1" applyFill="1" applyBorder="1"/>
    <xf numFmtId="9" fontId="0" fillId="0" borderId="6" xfId="3" applyFont="1" applyFill="1" applyBorder="1"/>
    <xf numFmtId="164" fontId="0" fillId="0" borderId="4" xfId="1" applyNumberFormat="1" applyFont="1" applyBorder="1"/>
    <xf numFmtId="164" fontId="0" fillId="0" borderId="5" xfId="0" applyNumberForma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0" applyNumberFormat="1" applyBorder="1"/>
    <xf numFmtId="164" fontId="2" fillId="0" borderId="4" xfId="1" applyNumberFormat="1" applyFont="1" applyFill="1" applyBorder="1" applyAlignment="1">
      <alignment horizontal="left"/>
    </xf>
    <xf numFmtId="164" fontId="0" fillId="0" borderId="5" xfId="1" applyNumberFormat="1" applyFont="1" applyBorder="1"/>
    <xf numFmtId="164" fontId="0" fillId="0" borderId="4" xfId="1" applyNumberFormat="1" applyFont="1" applyFill="1" applyBorder="1"/>
    <xf numFmtId="164" fontId="0" fillId="0" borderId="5" xfId="1" applyNumberFormat="1" applyFont="1" applyFill="1" applyBorder="1"/>
    <xf numFmtId="164" fontId="0" fillId="0" borderId="8" xfId="1" applyNumberFormat="1" applyFont="1" applyBorder="1"/>
    <xf numFmtId="169" fontId="0" fillId="0" borderId="9" xfId="2" applyNumberFormat="1" applyFont="1" applyFill="1" applyBorder="1"/>
    <xf numFmtId="169" fontId="0" fillId="0" borderId="4" xfId="2" applyNumberFormat="1" applyFont="1" applyFill="1" applyBorder="1"/>
    <xf numFmtId="169" fontId="0" fillId="0" borderId="6" xfId="2" applyNumberFormat="1" applyFont="1" applyFill="1" applyBorder="1"/>
    <xf numFmtId="0" fontId="0" fillId="0" borderId="10" xfId="0" applyBorder="1"/>
    <xf numFmtId="0" fontId="0" fillId="0" borderId="11" xfId="0" applyBorder="1"/>
    <xf numFmtId="164" fontId="0" fillId="0" borderId="4" xfId="0" applyNumberFormat="1" applyBorder="1"/>
    <xf numFmtId="164" fontId="0" fillId="0" borderId="0" xfId="0" applyNumberFormat="1" applyBorder="1"/>
    <xf numFmtId="0" fontId="0" fillId="0" borderId="9" xfId="0" applyBorder="1"/>
    <xf numFmtId="43" fontId="0" fillId="0" borderId="0" xfId="0" applyNumberFormat="1" applyBorder="1"/>
    <xf numFmtId="0" fontId="0" fillId="0" borderId="6" xfId="0" applyBorder="1"/>
    <xf numFmtId="0" fontId="0" fillId="0" borderId="7" xfId="0" applyBorder="1"/>
    <xf numFmtId="164" fontId="0" fillId="0" borderId="7" xfId="1" applyNumberFormat="1" applyFont="1" applyFill="1" applyBorder="1"/>
    <xf numFmtId="0" fontId="0" fillId="0" borderId="8" xfId="0" applyBorder="1"/>
    <xf numFmtId="164" fontId="0" fillId="0" borderId="11" xfId="0" applyNumberFormat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49" fontId="0" fillId="0" borderId="0" xfId="0" applyNumberFormat="1"/>
    <xf numFmtId="170" fontId="0" fillId="0" borderId="0" xfId="2" applyNumberFormat="1" applyFont="1" applyFill="1" applyBorder="1"/>
    <xf numFmtId="164" fontId="0" fillId="2" borderId="0" xfId="0" applyNumberFormat="1" applyFill="1"/>
    <xf numFmtId="171" fontId="0" fillId="0" borderId="0" xfId="0" applyNumberFormat="1"/>
    <xf numFmtId="14" fontId="0" fillId="0" borderId="0" xfId="0" applyNumberFormat="1" applyBorder="1" applyAlignment="1">
      <alignment wrapText="1"/>
    </xf>
    <xf numFmtId="0" fontId="0" fillId="0" borderId="0" xfId="0" applyBorder="1" applyAlignment="1">
      <alignment horizontal="left" wrapText="1"/>
    </xf>
    <xf numFmtId="49" fontId="0" fillId="0" borderId="0" xfId="0" applyNumberFormat="1" applyBorder="1"/>
    <xf numFmtId="164" fontId="0" fillId="0" borderId="0" xfId="1" applyNumberFormat="1" applyFont="1" applyBorder="1" applyAlignment="1">
      <alignment wrapText="1"/>
    </xf>
    <xf numFmtId="49" fontId="0" fillId="0" borderId="0" xfId="0" applyNumberFormat="1" applyBorder="1" applyAlignment="1">
      <alignment horizontal="left" wrapText="1"/>
    </xf>
    <xf numFmtId="164" fontId="0" fillId="0" borderId="0" xfId="1" applyNumberFormat="1" applyFont="1" applyBorder="1" applyAlignment="1">
      <alignment horizontal="left" wrapText="1"/>
    </xf>
    <xf numFmtId="14" fontId="6" fillId="0" borderId="0" xfId="6" applyNumberFormat="1" applyFill="1" applyBorder="1" applyAlignment="1">
      <alignment wrapText="1"/>
    </xf>
    <xf numFmtId="0" fontId="6" fillId="0" borderId="0" xfId="6" applyFill="1" applyBorder="1" applyAlignment="1">
      <alignment horizontal="left" wrapText="1"/>
    </xf>
    <xf numFmtId="164" fontId="6" fillId="0" borderId="0" xfId="6" applyNumberFormat="1" applyFill="1" applyBorder="1" applyAlignment="1">
      <alignment wrapText="1"/>
    </xf>
    <xf numFmtId="169" fontId="0" fillId="0" borderId="0" xfId="0" applyNumberFormat="1" applyBorder="1"/>
    <xf numFmtId="0" fontId="0" fillId="0" borderId="0" xfId="0" applyFill="1" applyBorder="1" applyAlignment="1">
      <alignment wrapText="1"/>
    </xf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Fill="1" applyBorder="1"/>
    <xf numFmtId="0" fontId="0" fillId="3" borderId="1" xfId="0" applyNumberFormat="1" applyFill="1" applyBorder="1" applyAlignment="1">
      <alignment wrapText="1"/>
    </xf>
    <xf numFmtId="0" fontId="0" fillId="3" borderId="2" xfId="0" applyNumberFormat="1" applyFill="1" applyBorder="1" applyAlignment="1">
      <alignment wrapText="1"/>
    </xf>
    <xf numFmtId="0" fontId="0" fillId="3" borderId="3" xfId="0" applyNumberFormat="1" applyFill="1" applyBorder="1" applyAlignment="1">
      <alignment wrapText="1"/>
    </xf>
    <xf numFmtId="164" fontId="0" fillId="0" borderId="9" xfId="1" applyNumberFormat="1" applyFont="1" applyFill="1" applyBorder="1"/>
    <xf numFmtId="164" fontId="0" fillId="0" borderId="6" xfId="1" applyNumberFormat="1" applyFont="1" applyFill="1" applyBorder="1"/>
    <xf numFmtId="0" fontId="0" fillId="0" borderId="0" xfId="0" applyBorder="1" applyAlignment="1">
      <alignment wrapText="1"/>
    </xf>
    <xf numFmtId="164" fontId="3" fillId="0" borderId="0" xfId="1" applyNumberFormat="1" applyFont="1" applyFill="1" applyBorder="1" applyAlignment="1">
      <alignment horizontal="left"/>
    </xf>
    <xf numFmtId="0" fontId="0" fillId="0" borderId="0" xfId="0" applyFont="1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4" borderId="3" xfId="0" applyNumberFormat="1" applyFill="1" applyBorder="1" applyAlignment="1">
      <alignment wrapText="1"/>
    </xf>
    <xf numFmtId="170" fontId="0" fillId="0" borderId="0" xfId="0" applyNumberFormat="1" applyBorder="1"/>
    <xf numFmtId="170" fontId="0" fillId="0" borderId="0" xfId="0" applyNumberFormat="1" applyFill="1" applyBorder="1"/>
    <xf numFmtId="0" fontId="0" fillId="5" borderId="0" xfId="0" applyFill="1"/>
    <xf numFmtId="173" fontId="0" fillId="0" borderId="0" xfId="1" applyNumberFormat="1" applyFont="1"/>
    <xf numFmtId="174" fontId="0" fillId="0" borderId="0" xfId="0" applyNumberFormat="1"/>
    <xf numFmtId="43" fontId="0" fillId="0" borderId="0" xfId="0" applyNumberFormat="1" applyFill="1"/>
    <xf numFmtId="169" fontId="0" fillId="6" borderId="9" xfId="2" applyNumberFormat="1" applyFont="1" applyFill="1" applyBorder="1"/>
    <xf numFmtId="169" fontId="0" fillId="6" borderId="10" xfId="2" applyNumberFormat="1" applyFont="1" applyFill="1" applyBorder="1"/>
    <xf numFmtId="170" fontId="0" fillId="6" borderId="0" xfId="2" applyNumberFormat="1" applyFont="1" applyFill="1" applyBorder="1"/>
    <xf numFmtId="170" fontId="0" fillId="6" borderId="0" xfId="0" applyNumberFormat="1" applyFill="1" applyBorder="1"/>
    <xf numFmtId="9" fontId="0" fillId="0" borderId="0" xfId="3" applyNumberFormat="1" applyFont="1"/>
    <xf numFmtId="0" fontId="0" fillId="3" borderId="0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9" fontId="0" fillId="0" borderId="0" xfId="3" applyFont="1" applyFill="1"/>
    <xf numFmtId="170" fontId="0" fillId="5" borderId="11" xfId="2" applyNumberFormat="1" applyFont="1" applyFill="1" applyBorder="1"/>
    <xf numFmtId="170" fontId="0" fillId="5" borderId="5" xfId="2" applyNumberFormat="1" applyFont="1" applyFill="1" applyBorder="1"/>
    <xf numFmtId="170" fontId="0" fillId="5" borderId="8" xfId="2" applyNumberFormat="1" applyFont="1" applyFill="1" applyBorder="1"/>
    <xf numFmtId="170" fontId="0" fillId="5" borderId="0" xfId="0" applyNumberFormat="1" applyFill="1" applyBorder="1"/>
    <xf numFmtId="170" fontId="0" fillId="5" borderId="0" xfId="2" applyNumberFormat="1" applyFont="1" applyFill="1" applyBorder="1"/>
    <xf numFmtId="164" fontId="0" fillId="5" borderId="0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7">
    <cellStyle name="Comma" xfId="1" builtinId="3"/>
    <cellStyle name="Currency" xfId="2" builtinId="4"/>
    <cellStyle name="Normal" xfId="0" builtinId="0"/>
    <cellStyle name="Normal 2" xfId="4" xr:uid="{B220C699-236F-4CC2-9A20-09FE9B91A100}"/>
    <cellStyle name="Normal 3" xfId="5" xr:uid="{46193BED-9D50-4344-AB7D-07206BC5DBB4}"/>
    <cellStyle name="Normal 4" xfId="6" xr:uid="{8A6FB1AA-385F-4B90-A18E-ECD09749D92E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85037-60C0-4D95-ABEB-4D90E989A0C8}" name="Table1" displayName="Table1" ref="L1:N61" totalsRowShown="0">
  <autoFilter ref="L1:N61" xr:uid="{4CB85037-60C0-4D95-ABEB-4D90E989A0C8}"/>
  <sortState xmlns:xlrd2="http://schemas.microsoft.com/office/spreadsheetml/2017/richdata2" ref="L2:N61">
    <sortCondition descending="1" ref="M1:M61"/>
  </sortState>
  <tableColumns count="3">
    <tableColumn id="1" xr3:uid="{4F26224E-6376-4CA6-90F0-856E19841606}" name="proposed rules tco2 per sqft"/>
    <tableColumn id="2" xr3:uid="{0DD6681A-6B30-4E1A-82B9-D9277DAED62B}" name="2024-2029"/>
    <tableColumn id="3" xr3:uid="{8E81AC5B-FBAE-4E01-ADB8-1EAB6571E1B9}" name="2029-20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2908C-2835-4E8D-AF14-C3F0646876E0}" name="Table2" displayName="Table2" ref="P1:R61" totalsRowShown="0">
  <autoFilter ref="P1:R61" xr:uid="{A882908C-2835-4E8D-AF14-C3F0646876E0}"/>
  <sortState xmlns:xlrd2="http://schemas.microsoft.com/office/spreadsheetml/2017/richdata2" ref="P2:R61">
    <sortCondition descending="1" ref="R1:R61"/>
  </sortState>
  <tableColumns count="3">
    <tableColumn id="1" xr3:uid="{80612EF3-823C-4B8D-9918-5D57E2C6E9DF}" name="proposed rules tco2 per sqft"/>
    <tableColumn id="2" xr3:uid="{96FAC3DB-1E51-4D50-AC2B-3F036EA74A03}" name="2024-2029"/>
    <tableColumn id="3" xr3:uid="{F25B5DF3-E6C9-4D79-8A01-D9F82E5CED82}" name="2029-203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2BF5-87C4-4A33-8E49-4C8DAB5C5E64}">
  <dimension ref="A1:BE87"/>
  <sheetViews>
    <sheetView tabSelected="1" topLeftCell="A3" zoomScale="90" zoomScaleNormal="90" workbookViewId="0">
      <pane xSplit="1" topLeftCell="B1" activePane="topRight" state="frozen"/>
      <selection pane="topRight" activeCell="A4" sqref="A4"/>
    </sheetView>
  </sheetViews>
  <sheetFormatPr defaultRowHeight="14.25" x14ac:dyDescent="0.45"/>
  <cols>
    <col min="1" max="1" width="35.46484375" customWidth="1"/>
    <col min="2" max="2" width="16.53125" customWidth="1"/>
    <col min="3" max="3" width="20.19921875" customWidth="1"/>
    <col min="4" max="4" width="20.46484375" customWidth="1"/>
    <col min="5" max="5" width="20.19921875" customWidth="1"/>
    <col min="6" max="7" width="19.796875" customWidth="1"/>
    <col min="8" max="8" width="17.73046875" customWidth="1"/>
    <col min="9" max="9" width="17.19921875" customWidth="1"/>
    <col min="10" max="10" width="16.53125" customWidth="1"/>
    <col min="11" max="11" width="23.265625" customWidth="1"/>
    <col min="12" max="14" width="22.73046875" customWidth="1"/>
    <col min="15" max="15" width="15.265625" customWidth="1"/>
    <col min="16" max="16" width="16.265625" customWidth="1"/>
    <col min="17" max="19" width="13.53125" customWidth="1"/>
    <col min="20" max="20" width="14.265625" customWidth="1"/>
    <col min="21" max="21" width="16" customWidth="1"/>
    <col min="22" max="22" width="14.19921875" customWidth="1"/>
    <col min="23" max="24" width="13.265625" customWidth="1"/>
    <col min="25" max="28" width="13.796875" customWidth="1"/>
    <col min="29" max="31" width="13.46484375" customWidth="1"/>
    <col min="32" max="32" width="13.19921875" customWidth="1"/>
    <col min="33" max="36" width="15.796875" customWidth="1"/>
    <col min="37" max="40" width="16.19921875" customWidth="1"/>
    <col min="41" max="45" width="14.46484375" customWidth="1"/>
    <col min="46" max="46" width="13.46484375" customWidth="1"/>
    <col min="47" max="49" width="13.19921875" customWidth="1"/>
    <col min="50" max="50" width="15" customWidth="1"/>
    <col min="51" max="52" width="13.53125" customWidth="1"/>
    <col min="53" max="53" width="13.73046875" customWidth="1"/>
    <col min="54" max="54" width="13.46484375" customWidth="1"/>
    <col min="55" max="55" width="15.265625" bestFit="1" customWidth="1"/>
  </cols>
  <sheetData>
    <row r="1" spans="1:57" ht="14.65" thickBot="1" x14ac:dyDescent="0.5"/>
    <row r="2" spans="1:57" ht="14.65" thickBot="1" x14ac:dyDescent="0.5">
      <c r="B2" s="18"/>
      <c r="C2" s="127" t="s">
        <v>0</v>
      </c>
      <c r="D2" s="127"/>
      <c r="E2" s="127"/>
      <c r="F2" s="127"/>
      <c r="G2" s="127"/>
      <c r="H2" s="127"/>
      <c r="I2" s="127"/>
      <c r="J2" s="128"/>
      <c r="K2" s="129" t="s">
        <v>1</v>
      </c>
      <c r="L2" s="127"/>
      <c r="M2" s="127"/>
      <c r="N2" s="127"/>
      <c r="O2" s="128"/>
    </row>
    <row r="3" spans="1:57" s="40" customFormat="1" ht="42" customHeight="1" thickBot="1" x14ac:dyDescent="0.5">
      <c r="A3" s="40" t="s">
        <v>284</v>
      </c>
      <c r="B3" s="67" t="s">
        <v>2</v>
      </c>
      <c r="C3" s="68" t="s">
        <v>3</v>
      </c>
      <c r="D3" s="68" t="s">
        <v>4</v>
      </c>
      <c r="E3" s="68" t="s">
        <v>5</v>
      </c>
      <c r="F3" s="68" t="s">
        <v>6</v>
      </c>
      <c r="G3" s="68" t="s">
        <v>7</v>
      </c>
      <c r="H3" s="68" t="s">
        <v>8</v>
      </c>
      <c r="I3" s="68" t="s">
        <v>9</v>
      </c>
      <c r="J3" s="69" t="s">
        <v>10</v>
      </c>
      <c r="K3" s="118" t="s">
        <v>11</v>
      </c>
      <c r="L3" s="117" t="s">
        <v>12</v>
      </c>
      <c r="M3" s="117" t="s">
        <v>282</v>
      </c>
      <c r="N3" s="117"/>
      <c r="O3" s="119" t="s">
        <v>13</v>
      </c>
      <c r="Q3" s="84"/>
      <c r="R3" s="93"/>
    </row>
    <row r="4" spans="1:57" x14ac:dyDescent="0.45">
      <c r="A4" t="s">
        <v>14</v>
      </c>
      <c r="B4" s="91">
        <v>409556</v>
      </c>
      <c r="C4" s="86">
        <f>'Tishman Steam'!B3</f>
        <v>19199.210000000003</v>
      </c>
      <c r="D4" s="86">
        <f>'Tishman Electric'!B3</f>
        <v>5573600</v>
      </c>
      <c r="E4" s="86">
        <f>'Tishman Steam'!C3</f>
        <v>17186.05</v>
      </c>
      <c r="F4" s="86">
        <f>'Tishman Electric'!C3</f>
        <v>4941600</v>
      </c>
      <c r="G4" s="86">
        <f>'Tishman Steam'!D3</f>
        <v>12307.33</v>
      </c>
      <c r="H4" s="86">
        <f>'Tishman Electric'!D3</f>
        <v>3885600</v>
      </c>
      <c r="I4" s="86">
        <f>'Tishman Steam'!E3</f>
        <v>13085.010000000002</v>
      </c>
      <c r="J4" s="87">
        <f>'Tishman Electric'!E3</f>
        <v>3983200</v>
      </c>
      <c r="K4" s="85">
        <f t="shared" ref="K4:K13" si="0">B4*lim_24</f>
        <v>3104.4344799999999</v>
      </c>
      <c r="L4" s="86">
        <f t="shared" ref="L4:L13" si="1">B4*lim_30</f>
        <v>1102.0545817120001</v>
      </c>
      <c r="M4" s="86">
        <f>SUM(E21,B21)</f>
        <v>1279.5279421641999</v>
      </c>
      <c r="N4" s="86"/>
      <c r="O4" s="66">
        <f t="shared" ref="O4:O13" si="2">B4*lim_50</f>
        <v>573.37839999999994</v>
      </c>
      <c r="P4" t="s">
        <v>14</v>
      </c>
      <c r="Q4" s="94"/>
      <c r="R4" s="19"/>
      <c r="BD4" s="15"/>
      <c r="BE4" s="15"/>
    </row>
    <row r="5" spans="1:57" x14ac:dyDescent="0.45">
      <c r="A5" t="s">
        <v>15</v>
      </c>
      <c r="B5" s="48">
        <v>730615</v>
      </c>
      <c r="C5" s="20">
        <f>'Tishman Steam'!B4</f>
        <v>15090.56</v>
      </c>
      <c r="D5" s="20">
        <f>'Tishman Electric'!B4</f>
        <v>8940800</v>
      </c>
      <c r="E5" s="20">
        <f>'Tishman Steam'!C4</f>
        <v>13869.8</v>
      </c>
      <c r="F5" s="20">
        <f>'Tishman Electric'!C4</f>
        <v>8340800</v>
      </c>
      <c r="G5" s="20">
        <f>'Tishman Steam'!D4</f>
        <v>10831.21</v>
      </c>
      <c r="H5" s="20">
        <f>'Tishman Electric'!D4</f>
        <v>6860000</v>
      </c>
      <c r="I5" s="20">
        <f>'Tishman Steam'!E4</f>
        <v>10404.58</v>
      </c>
      <c r="J5" s="49">
        <f>'Tishman Electric'!E4</f>
        <v>7150400</v>
      </c>
      <c r="K5" s="43">
        <f t="shared" si="0"/>
        <v>5538.0617000000002</v>
      </c>
      <c r="L5" s="20">
        <f t="shared" si="1"/>
        <v>1965.97683398</v>
      </c>
      <c r="M5" s="20">
        <f t="shared" ref="M5:M14" si="3">SUM(E22,B22)</f>
        <v>1594.9764686036001</v>
      </c>
      <c r="N5" s="20"/>
      <c r="O5" s="44">
        <f t="shared" si="2"/>
        <v>1022.861</v>
      </c>
      <c r="P5" t="s">
        <v>15</v>
      </c>
      <c r="Q5" s="22"/>
      <c r="R5" s="19"/>
      <c r="BD5" s="15"/>
      <c r="BE5" s="15"/>
    </row>
    <row r="6" spans="1:57" x14ac:dyDescent="0.45">
      <c r="A6" s="15" t="s">
        <v>16</v>
      </c>
      <c r="B6" s="50">
        <v>2911536</v>
      </c>
      <c r="C6" s="22">
        <f>'Tishman Steam'!B5</f>
        <v>172342.78</v>
      </c>
      <c r="D6" s="22">
        <f>'LL97 30 Rock'!D5</f>
        <v>104363364</v>
      </c>
      <c r="E6" s="22">
        <f>'Tishman Steam'!C5</f>
        <v>140689.78999999998</v>
      </c>
      <c r="F6" s="22">
        <f>'LL97 30 Rock'!F5</f>
        <v>103999526</v>
      </c>
      <c r="G6" s="22">
        <f>'Tishman Steam'!D5</f>
        <v>117109.90999999997</v>
      </c>
      <c r="H6" s="22">
        <f>'LL97 30 Rock'!H5</f>
        <v>89384610</v>
      </c>
      <c r="I6" s="22">
        <f>'Tishman Steam'!E5</f>
        <v>112920.4</v>
      </c>
      <c r="J6" s="51">
        <f>'LL97 30 Rock'!J5</f>
        <v>85591180</v>
      </c>
      <c r="K6" s="43">
        <f t="shared" si="0"/>
        <v>22069.442879999999</v>
      </c>
      <c r="L6" s="20">
        <f t="shared" si="1"/>
        <v>7834.5124686720001</v>
      </c>
      <c r="M6" s="20">
        <f t="shared" si="3"/>
        <v>18468.496304967997</v>
      </c>
      <c r="N6" s="20"/>
      <c r="O6" s="44">
        <f t="shared" si="2"/>
        <v>4076.1504</v>
      </c>
      <c r="P6" s="15" t="s">
        <v>16</v>
      </c>
      <c r="Q6" s="95"/>
      <c r="R6" s="19"/>
      <c r="BD6" s="15"/>
      <c r="BE6" s="15"/>
    </row>
    <row r="7" spans="1:57" s="15" customFormat="1" x14ac:dyDescent="0.45">
      <c r="A7" s="15" t="s">
        <v>17</v>
      </c>
      <c r="B7" s="50">
        <v>1217115</v>
      </c>
      <c r="C7" s="22">
        <f>'Tishman Steam'!B6</f>
        <v>57761.279999999999</v>
      </c>
      <c r="D7" s="22">
        <f>'Tishman Electric'!B6</f>
        <v>19053600</v>
      </c>
      <c r="E7" s="22">
        <f>'Tishman Steam'!C6</f>
        <v>52828.13</v>
      </c>
      <c r="F7" s="20">
        <f>'Tishman Electric'!C6</f>
        <v>19230400</v>
      </c>
      <c r="G7" s="22">
        <f>'Tishman Steam'!D6</f>
        <v>45233.15</v>
      </c>
      <c r="H7" s="20">
        <f>'Tishman Electric'!D6</f>
        <v>14853600</v>
      </c>
      <c r="I7" s="22">
        <f>'Tishman Steam'!E6</f>
        <v>46863.199999999997</v>
      </c>
      <c r="J7" s="49">
        <f>'Tishman Electric'!E6</f>
        <v>14758400</v>
      </c>
      <c r="K7" s="43">
        <f t="shared" si="0"/>
        <v>9225.7317000000003</v>
      </c>
      <c r="L7" s="20">
        <f t="shared" si="1"/>
        <v>3275.0763319800003</v>
      </c>
      <c r="M7" s="20">
        <f t="shared" si="3"/>
        <v>4654.0109097439999</v>
      </c>
      <c r="N7" s="20"/>
      <c r="O7" s="44">
        <f t="shared" si="2"/>
        <v>1703.961</v>
      </c>
      <c r="P7" s="15" t="s">
        <v>17</v>
      </c>
      <c r="Q7" s="94"/>
      <c r="R7" s="21"/>
    </row>
    <row r="8" spans="1:57" x14ac:dyDescent="0.45">
      <c r="A8" t="s">
        <v>18</v>
      </c>
      <c r="B8" s="50">
        <v>111101</v>
      </c>
      <c r="C8" s="20">
        <f>'Tishman Steam'!B7</f>
        <v>7606.44</v>
      </c>
      <c r="D8" s="20">
        <f>'Tishman Electric'!B7</f>
        <v>1818800</v>
      </c>
      <c r="E8" s="20">
        <f>'Tishman Steam'!C7</f>
        <v>8911.81</v>
      </c>
      <c r="F8" s="20">
        <f>'Tishman Electric'!C7</f>
        <v>1740000</v>
      </c>
      <c r="G8" s="20">
        <f>'Tishman Steam'!D7</f>
        <v>6774.16</v>
      </c>
      <c r="H8" s="20">
        <f>'Tishman Electric'!D7</f>
        <v>1430800</v>
      </c>
      <c r="I8" s="20">
        <f>'Tishman Steam'!E7</f>
        <v>6439.48</v>
      </c>
      <c r="J8" s="49">
        <f>'Tishman Electric'!E7</f>
        <v>1296800</v>
      </c>
      <c r="K8" s="43">
        <f t="shared" si="0"/>
        <v>842.14558</v>
      </c>
      <c r="L8" s="20">
        <f t="shared" si="1"/>
        <v>298.95634805200001</v>
      </c>
      <c r="M8" s="20">
        <f t="shared" si="3"/>
        <v>533.49104866159996</v>
      </c>
      <c r="N8" s="20"/>
      <c r="O8" s="44">
        <f t="shared" si="2"/>
        <v>155.54140000000001</v>
      </c>
      <c r="P8" t="s">
        <v>18</v>
      </c>
      <c r="Q8" s="94"/>
      <c r="R8" s="19"/>
      <c r="BD8" s="15"/>
      <c r="BE8" s="15"/>
    </row>
    <row r="9" spans="1:57" x14ac:dyDescent="0.45">
      <c r="A9" t="s">
        <v>19</v>
      </c>
      <c r="B9" s="50">
        <v>472505</v>
      </c>
      <c r="C9" s="20">
        <f>'Tishman Steam'!B8</f>
        <v>19292.78</v>
      </c>
      <c r="D9" s="20">
        <f>'Tishman Electric'!B8</f>
        <v>6710400</v>
      </c>
      <c r="E9" s="20">
        <f>'Tishman Steam'!C8</f>
        <v>22675.57</v>
      </c>
      <c r="F9" s="20">
        <f>'Tishman Electric'!C8</f>
        <v>6523200</v>
      </c>
      <c r="G9" s="20">
        <f>'Tishman Steam'!D8</f>
        <v>17781.59</v>
      </c>
      <c r="H9" s="20">
        <f>'Tishman Electric'!D8</f>
        <v>4840800</v>
      </c>
      <c r="I9" s="20">
        <f>'Tishman Steam'!E8</f>
        <v>14896.849999999999</v>
      </c>
      <c r="J9" s="49">
        <f>'Tishman Electric'!E8</f>
        <v>3281600</v>
      </c>
      <c r="K9" s="43">
        <f t="shared" si="0"/>
        <v>3581.5879</v>
      </c>
      <c r="L9" s="20">
        <f t="shared" si="1"/>
        <v>1271.4410242599999</v>
      </c>
      <c r="M9" s="20">
        <f t="shared" si="3"/>
        <v>1274.9946717769999</v>
      </c>
      <c r="N9" s="20"/>
      <c r="O9" s="44">
        <f t="shared" si="2"/>
        <v>661.50699999999995</v>
      </c>
      <c r="P9" t="s">
        <v>19</v>
      </c>
      <c r="Q9" s="94"/>
      <c r="R9" s="19"/>
      <c r="BD9" s="15"/>
      <c r="BE9" s="15"/>
    </row>
    <row r="10" spans="1:57" x14ac:dyDescent="0.45">
      <c r="A10" t="s">
        <v>20</v>
      </c>
      <c r="B10" s="50">
        <v>147585</v>
      </c>
      <c r="C10" s="20">
        <f>'Tishman Steam'!B9</f>
        <v>6892.6200000000008</v>
      </c>
      <c r="D10" s="20">
        <f>'Tishman Electric'!B9</f>
        <v>3309600</v>
      </c>
      <c r="E10" s="20">
        <f>'Tishman Steam'!C9</f>
        <v>6952.23</v>
      </c>
      <c r="F10" s="20">
        <f>'Tishman Electric'!C9</f>
        <v>3189600</v>
      </c>
      <c r="G10" s="20">
        <f>'Tishman Steam'!D9</f>
        <v>5202.58</v>
      </c>
      <c r="H10" s="20">
        <f>'Tishman Electric'!D9</f>
        <v>2278400</v>
      </c>
      <c r="I10" s="20">
        <f>'Tishman Steam'!E9</f>
        <v>3981.37</v>
      </c>
      <c r="J10" s="49">
        <f>'Tishman Electric'!E9</f>
        <v>2342480</v>
      </c>
      <c r="K10" s="43">
        <f t="shared" si="0"/>
        <v>1118.6942999999999</v>
      </c>
      <c r="L10" s="20">
        <f t="shared" si="1"/>
        <v>397.12939241999999</v>
      </c>
      <c r="M10" s="20">
        <f t="shared" si="3"/>
        <v>553.24584719539996</v>
      </c>
      <c r="N10" s="20"/>
      <c r="O10" s="44">
        <f t="shared" si="2"/>
        <v>206.619</v>
      </c>
      <c r="P10" t="s">
        <v>20</v>
      </c>
      <c r="Q10" s="94"/>
      <c r="R10" s="19"/>
      <c r="BD10" s="15"/>
      <c r="BE10" s="15"/>
    </row>
    <row r="11" spans="1:57" x14ac:dyDescent="0.45">
      <c r="A11" t="s">
        <v>21</v>
      </c>
      <c r="B11" s="50">
        <v>449291</v>
      </c>
      <c r="C11" s="20">
        <f>'Tishman Steam'!B10</f>
        <v>18461.39</v>
      </c>
      <c r="D11" s="20">
        <f>'Tishman Electric'!B10</f>
        <v>4702800</v>
      </c>
      <c r="E11" s="20">
        <f>'Tishman Steam'!C10</f>
        <v>17882.849999999999</v>
      </c>
      <c r="F11" s="20">
        <f>'Tishman Electric'!C10</f>
        <v>4383200</v>
      </c>
      <c r="G11" s="20">
        <f>'Tishman Steam'!D10</f>
        <v>17206.48</v>
      </c>
      <c r="H11" s="20">
        <f>'Tishman Electric'!D10</f>
        <v>3418000</v>
      </c>
      <c r="I11" s="20">
        <f>'Tishman Steam'!E10</f>
        <v>17403.329999999998</v>
      </c>
      <c r="J11" s="49">
        <f>'Tishman Electric'!E10</f>
        <v>3217600</v>
      </c>
      <c r="K11" s="43">
        <f t="shared" si="0"/>
        <v>3405.6257799999998</v>
      </c>
      <c r="L11" s="20">
        <f t="shared" si="1"/>
        <v>1208.9755859320001</v>
      </c>
      <c r="M11" s="20">
        <f t="shared" si="3"/>
        <v>1400.1783505785997</v>
      </c>
      <c r="N11" s="20"/>
      <c r="O11" s="44">
        <f t="shared" si="2"/>
        <v>629.00739999999996</v>
      </c>
      <c r="P11" t="s">
        <v>21</v>
      </c>
      <c r="Q11" s="94"/>
      <c r="R11" s="19"/>
      <c r="BD11" s="15"/>
      <c r="BE11" s="15"/>
    </row>
    <row r="12" spans="1:57" x14ac:dyDescent="0.45">
      <c r="A12" t="s">
        <v>22</v>
      </c>
      <c r="B12" s="50">
        <v>568606</v>
      </c>
      <c r="C12" s="20">
        <f>'Tishman Steam'!B11*B12/SUM(B12:B13)</f>
        <v>19020.968905303638</v>
      </c>
      <c r="D12" s="20">
        <f>'Tishman Electric'!B11</f>
        <v>7454400</v>
      </c>
      <c r="E12" s="20">
        <f>'Tishman Steam'!C11*B12/SUM(B12:B13)</f>
        <v>19835.989601301939</v>
      </c>
      <c r="F12" s="20">
        <f>'Tishman Electric'!C11</f>
        <v>7284800</v>
      </c>
      <c r="G12" s="20">
        <f>'Tishman Steam'!D11*B12/SUM(B12:B13)</f>
        <v>15805.834000798162</v>
      </c>
      <c r="H12" s="20">
        <f>'Tishman Electric'!E11</f>
        <v>5387200</v>
      </c>
      <c r="I12" s="20">
        <f>'Tishman Steam'!E11*B12/SUM(B12:B13)</f>
        <v>15961.348005556043</v>
      </c>
      <c r="J12" s="49">
        <f>'Tishman Electric'!E11</f>
        <v>5387200</v>
      </c>
      <c r="K12" s="43">
        <f t="shared" si="0"/>
        <v>4310.0334800000001</v>
      </c>
      <c r="L12" s="20">
        <f t="shared" si="1"/>
        <v>1530.0345923120001</v>
      </c>
      <c r="M12" s="20">
        <f t="shared" si="3"/>
        <v>1637.4131788722216</v>
      </c>
      <c r="N12" s="20"/>
      <c r="O12" s="44">
        <f t="shared" si="2"/>
        <v>796.04840000000002</v>
      </c>
      <c r="P12" t="s">
        <v>22</v>
      </c>
      <c r="Q12" s="94"/>
      <c r="R12" s="19"/>
      <c r="BD12" s="15"/>
      <c r="BE12" s="15"/>
    </row>
    <row r="13" spans="1:57" x14ac:dyDescent="0.45">
      <c r="A13" t="s">
        <v>23</v>
      </c>
      <c r="B13" s="50">
        <v>396109</v>
      </c>
      <c r="C13" s="20">
        <f>'Tishman Steam'!B11*B13/SUM(B12:B13)</f>
        <v>13250.611094696362</v>
      </c>
      <c r="D13" s="20">
        <f>'Tishman Electric'!B12</f>
        <v>5324000</v>
      </c>
      <c r="E13" s="20">
        <f>'Tishman Steam'!C11*B13/SUM(B12:B13)</f>
        <v>13818.380398698064</v>
      </c>
      <c r="F13" s="20">
        <f>'Tishman Electric'!C12</f>
        <v>5498400</v>
      </c>
      <c r="G13" s="20">
        <f>'Tishman Steam'!D11*B13/SUM(B12:B13)</f>
        <v>11010.845999201838</v>
      </c>
      <c r="H13" s="20">
        <f>'Tishman Electric'!E12</f>
        <v>4960000</v>
      </c>
      <c r="I13" s="20">
        <f>'Tishman Steam'!E11*B13/SUM(B12:B13)</f>
        <v>11119.181994443956</v>
      </c>
      <c r="J13" s="49">
        <f>'Tishman Electric'!E12</f>
        <v>4960000</v>
      </c>
      <c r="K13" s="43">
        <f t="shared" si="0"/>
        <v>3002.5062199999998</v>
      </c>
      <c r="L13" s="20">
        <f t="shared" si="1"/>
        <v>1065.8706948680001</v>
      </c>
      <c r="M13" s="20">
        <f t="shared" si="3"/>
        <v>1315.704307330378</v>
      </c>
      <c r="N13" s="20"/>
      <c r="O13" s="44">
        <f t="shared" si="2"/>
        <v>554.55259999999998</v>
      </c>
      <c r="P13" t="s">
        <v>23</v>
      </c>
      <c r="Q13" s="94"/>
      <c r="R13" s="19"/>
      <c r="BD13" s="15"/>
      <c r="BE13" s="15"/>
    </row>
    <row r="14" spans="1:57" ht="14.65" thickBot="1" x14ac:dyDescent="0.5">
      <c r="A14" t="s">
        <v>24</v>
      </c>
      <c r="B14" s="92">
        <v>647524</v>
      </c>
      <c r="C14" s="46">
        <f>'radio city'!M5</f>
        <v>14087.370000000003</v>
      </c>
      <c r="D14" s="46">
        <f>'radio city'!L5</f>
        <v>5743840</v>
      </c>
      <c r="E14" s="46">
        <f>'radio city'!M4</f>
        <v>14294.059999999998</v>
      </c>
      <c r="F14" s="46">
        <f>'radio city'!L4</f>
        <v>5274720</v>
      </c>
      <c r="G14" s="46">
        <f>'radio city'!M3</f>
        <v>7729.9000000000005</v>
      </c>
      <c r="H14" s="46">
        <f>'radio city'!L3</f>
        <v>2991200</v>
      </c>
      <c r="I14" s="46">
        <f>'radio city'!M2</f>
        <v>12254.593333333334</v>
      </c>
      <c r="J14" s="52">
        <f>'radio city'!L2</f>
        <v>3872000</v>
      </c>
      <c r="K14" s="45">
        <f t="shared" ref="K14" si="4">B14*lim_24</f>
        <v>4908.2319200000002</v>
      </c>
      <c r="L14" s="46">
        <f t="shared" ref="L14" si="5">B14*lim_30</f>
        <v>1742.3912504480002</v>
      </c>
      <c r="M14" s="46">
        <f t="shared" si="3"/>
        <v>1218.8550608892001</v>
      </c>
      <c r="N14" s="46"/>
      <c r="O14" s="47">
        <f t="shared" ref="O14" si="6">B14*lim_50</f>
        <v>906.53359999999998</v>
      </c>
      <c r="P14" t="s">
        <v>25</v>
      </c>
      <c r="Q14" s="94"/>
      <c r="R14" s="19"/>
      <c r="BD14" s="15"/>
      <c r="BE14" s="15"/>
    </row>
    <row r="15" spans="1:57" x14ac:dyDescent="0.45">
      <c r="O15" s="1"/>
      <c r="Q15" s="94"/>
      <c r="R15" s="19"/>
      <c r="BD15" s="15"/>
      <c r="BE15" s="15"/>
    </row>
    <row r="16" spans="1:57" x14ac:dyDescent="0.45">
      <c r="A16" t="s">
        <v>26</v>
      </c>
      <c r="B16" s="16">
        <f t="shared" ref="B16:O16" si="7">SUM(B4:B14)</f>
        <v>8061543</v>
      </c>
      <c r="C16" s="16">
        <f t="shared" si="7"/>
        <v>363006.00999999995</v>
      </c>
      <c r="D16" s="16">
        <f t="shared" si="7"/>
        <v>172995204</v>
      </c>
      <c r="E16" s="16">
        <f t="shared" si="7"/>
        <v>328944.65999999997</v>
      </c>
      <c r="F16" s="16">
        <f t="shared" si="7"/>
        <v>170406246</v>
      </c>
      <c r="G16" s="16">
        <f t="shared" si="7"/>
        <v>266992.99</v>
      </c>
      <c r="H16" s="16">
        <f t="shared" si="7"/>
        <v>140290210</v>
      </c>
      <c r="I16" s="16">
        <f t="shared" si="7"/>
        <v>265329.34333333332</v>
      </c>
      <c r="J16" s="16">
        <f t="shared" si="7"/>
        <v>135840860</v>
      </c>
      <c r="K16" s="16">
        <f t="shared" si="7"/>
        <v>61106.495939999993</v>
      </c>
      <c r="L16" s="16">
        <f t="shared" si="7"/>
        <v>21692.419104636003</v>
      </c>
      <c r="M16" s="16"/>
      <c r="N16" s="16"/>
      <c r="O16" s="16">
        <f t="shared" si="7"/>
        <v>11286.1602</v>
      </c>
      <c r="P16" t="s">
        <v>26</v>
      </c>
      <c r="Q16" s="21"/>
      <c r="R16" s="19"/>
      <c r="BD16" s="15"/>
      <c r="BE16" s="15"/>
    </row>
    <row r="17" spans="1:57" x14ac:dyDescent="0.4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20"/>
      <c r="M17" s="16"/>
      <c r="N17" s="16"/>
      <c r="O17" s="16"/>
      <c r="Q17" s="94"/>
      <c r="R17" s="19"/>
      <c r="BD17" s="15"/>
      <c r="BE17" s="15"/>
    </row>
    <row r="18" spans="1:57" ht="14.65" thickBot="1" x14ac:dyDescent="0.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21"/>
      <c r="R18" s="19"/>
      <c r="BD18" s="15"/>
      <c r="BE18" s="15"/>
    </row>
    <row r="19" spans="1:57" ht="14.65" thickBot="1" x14ac:dyDescent="0.5">
      <c r="B19" s="101" t="s">
        <v>27</v>
      </c>
      <c r="D19" s="102"/>
      <c r="E19" s="102"/>
      <c r="F19" s="103"/>
      <c r="G19" s="101" t="s">
        <v>28</v>
      </c>
      <c r="H19" s="102"/>
      <c r="I19" s="103"/>
      <c r="O19" s="19"/>
      <c r="Q19" s="21"/>
      <c r="R19" s="19"/>
      <c r="BD19" s="15"/>
      <c r="BE19" s="15"/>
    </row>
    <row r="20" spans="1:57" ht="28.9" thickBot="1" x14ac:dyDescent="0.5">
      <c r="B20" s="67" t="s">
        <v>29</v>
      </c>
      <c r="C20" s="40" t="s">
        <v>280</v>
      </c>
      <c r="D20" s="68" t="s">
        <v>30</v>
      </c>
      <c r="E20" s="68" t="s">
        <v>31</v>
      </c>
      <c r="F20" s="69" t="s">
        <v>32</v>
      </c>
      <c r="G20" s="88" t="s">
        <v>33</v>
      </c>
      <c r="H20" s="89" t="s">
        <v>34</v>
      </c>
      <c r="I20" s="90" t="s">
        <v>35</v>
      </c>
      <c r="J20" s="68" t="s">
        <v>36</v>
      </c>
      <c r="K20" s="68" t="s">
        <v>37</v>
      </c>
      <c r="L20" s="69" t="s">
        <v>38</v>
      </c>
      <c r="M20" s="116"/>
      <c r="N20" s="116"/>
      <c r="O20" s="19"/>
      <c r="Q20" s="21"/>
      <c r="R20" s="19"/>
      <c r="BD20" s="15"/>
      <c r="BE20" s="15"/>
    </row>
    <row r="21" spans="1:57" ht="14.65" thickBot="1" x14ac:dyDescent="0.5">
      <c r="A21" t="s">
        <v>14</v>
      </c>
      <c r="B21" s="24">
        <f t="shared" ref="B21:B31" si="8">(I4*steam*kbtu_mlb)</f>
        <v>701.96394216420003</v>
      </c>
      <c r="C21" s="1">
        <f t="shared" ref="C21:C31" si="9">B21*steam_2030/steam</f>
        <v>674.93528380800012</v>
      </c>
      <c r="D21" s="25">
        <f t="shared" ref="D21:D31" si="10">J4*elec</f>
        <v>1150.9934383999998</v>
      </c>
      <c r="E21" s="25">
        <f t="shared" ref="E21:E30" si="11">D21*grid_2030</f>
        <v>577.56399999999985</v>
      </c>
      <c r="F21" s="38">
        <f t="shared" ref="F21:F30" si="12">D21*grid_2050</f>
        <v>115.09934383999999</v>
      </c>
      <c r="G21" s="41">
        <f t="shared" ref="G21:G31" si="13">IF(SUM(B21:D21)&lt;K4,0,(SUM(B21:D21)-K4)/SUM(B21:D21))</f>
        <v>0</v>
      </c>
      <c r="H21" s="26">
        <f t="shared" ref="H21:H31" si="14">IF(SUM(B21,E21)&lt;L4,0,(SUM(B21,E21)-L4)/SUM(B21,E21))</f>
        <v>0.13870221556242102</v>
      </c>
      <c r="I21" s="27">
        <f t="shared" ref="I21:I31" si="15">IF( SUM(B21,F21)&lt;O4, 0, (SUM(B21,F21)-O4)/SUM(B21,F21))</f>
        <v>0.29824481185040963</v>
      </c>
      <c r="J21" s="53">
        <f t="shared" ref="J21:J31" si="16">IF((K4&gt;SUM(B21,D21)),0, (SUM(B21,D21)-K4)*fine)</f>
        <v>0</v>
      </c>
      <c r="K21" s="36">
        <f t="shared" ref="K21:K31" si="17">IF((L4&gt;SUM(C21,E21)),0,(SUM(C21,E21)-L4)*fine)</f>
        <v>40319.180161727971</v>
      </c>
      <c r="L21" s="121">
        <f t="shared" ref="L21:L31" si="18">IF((O4&gt;SUM(B21,F21)),0,(SUM(B21,F21)-O4)*fine)</f>
        <v>65307.54944912561</v>
      </c>
      <c r="M21" s="71"/>
      <c r="N21" s="71"/>
      <c r="O21" s="19" t="s">
        <v>14</v>
      </c>
      <c r="BD21" s="15"/>
      <c r="BE21" s="15"/>
    </row>
    <row r="22" spans="1:57" ht="14.65" thickBot="1" x14ac:dyDescent="0.5">
      <c r="A22" t="s">
        <v>15</v>
      </c>
      <c r="B22" s="24">
        <f t="shared" si="8"/>
        <v>558.16846860359999</v>
      </c>
      <c r="C22" s="1">
        <f t="shared" si="9"/>
        <v>536.676560064</v>
      </c>
      <c r="D22" s="25">
        <f t="shared" si="10"/>
        <v>2066.1938848</v>
      </c>
      <c r="E22" s="25">
        <f t="shared" si="11"/>
        <v>1036.808</v>
      </c>
      <c r="F22" s="38">
        <f t="shared" si="12"/>
        <v>206.61938848</v>
      </c>
      <c r="G22" s="41">
        <f t="shared" si="13"/>
        <v>0</v>
      </c>
      <c r="H22" s="26">
        <f t="shared" si="14"/>
        <v>0</v>
      </c>
      <c r="I22" s="27">
        <f t="shared" si="15"/>
        <v>0</v>
      </c>
      <c r="J22" s="53">
        <f t="shared" si="16"/>
        <v>0</v>
      </c>
      <c r="K22" s="36">
        <f t="shared" si="17"/>
        <v>0</v>
      </c>
      <c r="L22" s="122">
        <f t="shared" si="18"/>
        <v>0</v>
      </c>
      <c r="M22" s="71"/>
      <c r="N22" s="71"/>
      <c r="O22" s="19" t="s">
        <v>15</v>
      </c>
      <c r="BD22" s="15"/>
      <c r="BE22" s="15"/>
    </row>
    <row r="23" spans="1:57" ht="14.65" thickBot="1" x14ac:dyDescent="0.5">
      <c r="A23" s="15" t="s">
        <v>16</v>
      </c>
      <c r="B23" s="24">
        <f t="shared" si="8"/>
        <v>6057.7752049679993</v>
      </c>
      <c r="C23" s="1">
        <f t="shared" si="9"/>
        <v>5824.5245683200001</v>
      </c>
      <c r="D23" s="25">
        <f t="shared" si="10"/>
        <v>24732.598555159999</v>
      </c>
      <c r="E23" s="25">
        <f t="shared" si="11"/>
        <v>12410.721099999999</v>
      </c>
      <c r="F23" s="38">
        <f t="shared" si="12"/>
        <v>2473.2598555160002</v>
      </c>
      <c r="G23" s="41">
        <f t="shared" si="13"/>
        <v>0.39725510959965954</v>
      </c>
      <c r="H23" s="26">
        <f t="shared" si="14"/>
        <v>0.57579045205946033</v>
      </c>
      <c r="I23" s="27">
        <f t="shared" si="15"/>
        <v>0.52219743898593884</v>
      </c>
      <c r="J23" s="111">
        <f t="shared" si="16"/>
        <v>2337209.4758743038</v>
      </c>
      <c r="K23" s="112">
        <f t="shared" si="17"/>
        <v>2787396.4975056639</v>
      </c>
      <c r="L23" s="122">
        <f t="shared" si="18"/>
        <v>1193909.0890097115</v>
      </c>
      <c r="M23" s="71"/>
      <c r="N23" s="71"/>
      <c r="O23" s="21" t="s">
        <v>16</v>
      </c>
      <c r="BD23" s="15"/>
      <c r="BE23" s="15"/>
    </row>
    <row r="24" spans="1:57" ht="14.65" thickBot="1" x14ac:dyDescent="0.5">
      <c r="A24" s="15" t="s">
        <v>17</v>
      </c>
      <c r="B24" s="24">
        <f t="shared" si="8"/>
        <v>2514.0429097439996</v>
      </c>
      <c r="C24" s="1">
        <f t="shared" si="9"/>
        <v>2417.2413465599998</v>
      </c>
      <c r="D24" s="25">
        <f t="shared" si="10"/>
        <v>4264.6167808</v>
      </c>
      <c r="E24" s="25">
        <f t="shared" si="11"/>
        <v>2139.9679999999998</v>
      </c>
      <c r="F24" s="38">
        <f t="shared" si="12"/>
        <v>426.46167808000001</v>
      </c>
      <c r="G24" s="41">
        <f t="shared" si="13"/>
        <v>0</v>
      </c>
      <c r="H24" s="26">
        <f t="shared" si="14"/>
        <v>0.29628950264748083</v>
      </c>
      <c r="I24" s="27">
        <f t="shared" si="15"/>
        <v>0.42052088370964025</v>
      </c>
      <c r="J24" s="53">
        <f t="shared" si="16"/>
        <v>0</v>
      </c>
      <c r="K24" s="36">
        <f t="shared" si="17"/>
        <v>343611.64790743968</v>
      </c>
      <c r="L24" s="122">
        <f t="shared" si="18"/>
        <v>331393.68153683195</v>
      </c>
      <c r="M24" s="71"/>
      <c r="N24" s="71"/>
      <c r="O24" s="21" t="s">
        <v>17</v>
      </c>
      <c r="BD24" s="15"/>
      <c r="BE24" s="15"/>
    </row>
    <row r="25" spans="1:57" ht="14.65" thickBot="1" x14ac:dyDescent="0.5">
      <c r="A25" t="s">
        <v>18</v>
      </c>
      <c r="B25" s="24">
        <f t="shared" si="8"/>
        <v>345.45504866159996</v>
      </c>
      <c r="C25" s="1">
        <f t="shared" si="9"/>
        <v>332.15352998399999</v>
      </c>
      <c r="D25" s="25">
        <f t="shared" si="10"/>
        <v>374.72592159999999</v>
      </c>
      <c r="E25" s="25">
        <f t="shared" si="11"/>
        <v>188.036</v>
      </c>
      <c r="F25" s="38">
        <f t="shared" si="12"/>
        <v>37.472592159999998</v>
      </c>
      <c r="G25" s="41">
        <f t="shared" si="13"/>
        <v>0.19973584463546978</v>
      </c>
      <c r="H25" s="26">
        <f t="shared" si="14"/>
        <v>0.43962256011228457</v>
      </c>
      <c r="I25" s="27">
        <f t="shared" si="15"/>
        <v>0.59380994365861317</v>
      </c>
      <c r="J25" s="53">
        <f t="shared" si="16"/>
        <v>0</v>
      </c>
      <c r="K25" s="36">
        <f t="shared" si="17"/>
        <v>59290.49275777601</v>
      </c>
      <c r="L25" s="122">
        <f t="shared" si="18"/>
        <v>60939.512540188778</v>
      </c>
      <c r="M25" s="71" t="s">
        <v>283</v>
      </c>
      <c r="N25" s="71"/>
      <c r="O25" s="19" t="s">
        <v>18</v>
      </c>
      <c r="BD25" s="15"/>
      <c r="BE25" s="15"/>
    </row>
    <row r="26" spans="1:57" ht="14.65" thickBot="1" x14ac:dyDescent="0.5">
      <c r="A26" t="s">
        <v>19</v>
      </c>
      <c r="B26" s="24">
        <f t="shared" si="8"/>
        <v>799.1626717769999</v>
      </c>
      <c r="C26" s="1">
        <f t="shared" si="9"/>
        <v>768.39144047999991</v>
      </c>
      <c r="D26" s="25">
        <f t="shared" si="10"/>
        <v>948.25769919999993</v>
      </c>
      <c r="E26" s="25">
        <f t="shared" si="11"/>
        <v>475.83199999999994</v>
      </c>
      <c r="F26" s="38">
        <f t="shared" si="12"/>
        <v>94.825769919999999</v>
      </c>
      <c r="G26" s="41">
        <f t="shared" si="13"/>
        <v>0</v>
      </c>
      <c r="H26" s="26">
        <f t="shared" si="14"/>
        <v>2.7871861707838477E-3</v>
      </c>
      <c r="I26" s="27">
        <f t="shared" si="15"/>
        <v>0.26004971748370215</v>
      </c>
      <c r="J26" s="53">
        <f t="shared" si="16"/>
        <v>0</v>
      </c>
      <c r="K26" s="36">
        <f t="shared" si="17"/>
        <v>0</v>
      </c>
      <c r="L26" s="122">
        <f t="shared" si="18"/>
        <v>62305.026374795976</v>
      </c>
      <c r="M26" s="71"/>
      <c r="N26" s="71"/>
      <c r="O26" s="19" t="s">
        <v>19</v>
      </c>
      <c r="BD26" s="15"/>
      <c r="BE26" s="15"/>
    </row>
    <row r="27" spans="1:57" ht="14.65" thickBot="1" x14ac:dyDescent="0.5">
      <c r="A27" t="s">
        <v>20</v>
      </c>
      <c r="B27" s="24">
        <f t="shared" si="8"/>
        <v>213.58624719539998</v>
      </c>
      <c r="C27" s="1">
        <f t="shared" si="9"/>
        <v>205.36224969599999</v>
      </c>
      <c r="D27" s="25">
        <f t="shared" si="10"/>
        <v>676.8877057599999</v>
      </c>
      <c r="E27" s="25">
        <f t="shared" si="11"/>
        <v>339.65959999999995</v>
      </c>
      <c r="F27" s="38">
        <f t="shared" si="12"/>
        <v>67.688770575999996</v>
      </c>
      <c r="G27" s="41">
        <f t="shared" si="13"/>
        <v>0</v>
      </c>
      <c r="H27" s="26">
        <f t="shared" si="14"/>
        <v>0.2821827864896046</v>
      </c>
      <c r="I27" s="27">
        <f t="shared" si="15"/>
        <v>0.2654200090819121</v>
      </c>
      <c r="J27" s="53">
        <f t="shared" si="16"/>
        <v>0</v>
      </c>
      <c r="K27" s="36">
        <f t="shared" si="17"/>
        <v>39635.178549967975</v>
      </c>
      <c r="L27" s="122">
        <f t="shared" si="18"/>
        <v>20007.812762735193</v>
      </c>
      <c r="M27" s="71"/>
      <c r="N27" s="71"/>
      <c r="O27" s="19" t="s">
        <v>20</v>
      </c>
      <c r="BD27" s="15"/>
      <c r="BE27" s="15"/>
    </row>
    <row r="28" spans="1:57" ht="14.65" thickBot="1" x14ac:dyDescent="0.5">
      <c r="A28" t="s">
        <v>21</v>
      </c>
      <c r="B28" s="24">
        <f t="shared" si="8"/>
        <v>933.62635057859984</v>
      </c>
      <c r="C28" s="1">
        <f t="shared" si="9"/>
        <v>897.67768406399989</v>
      </c>
      <c r="D28" s="25">
        <f t="shared" si="10"/>
        <v>929.76413119999995</v>
      </c>
      <c r="E28" s="25">
        <f t="shared" si="11"/>
        <v>466.55199999999996</v>
      </c>
      <c r="F28" s="38">
        <f t="shared" si="12"/>
        <v>92.976413120000004</v>
      </c>
      <c r="G28" s="41">
        <f t="shared" si="13"/>
        <v>0</v>
      </c>
      <c r="H28" s="26">
        <f t="shared" si="14"/>
        <v>0.13655600700267106</v>
      </c>
      <c r="I28" s="27">
        <f t="shared" si="15"/>
        <v>0.38729231768884059</v>
      </c>
      <c r="J28" s="53">
        <f t="shared" si="16"/>
        <v>0</v>
      </c>
      <c r="K28" s="36">
        <f t="shared" si="17"/>
        <v>41608.098299375961</v>
      </c>
      <c r="L28" s="122">
        <f t="shared" si="18"/>
        <v>106555.55747122476</v>
      </c>
      <c r="M28" s="71"/>
      <c r="N28" s="71"/>
      <c r="O28" s="19" t="s">
        <v>21</v>
      </c>
      <c r="BD28" s="15"/>
      <c r="BE28" s="15"/>
    </row>
    <row r="29" spans="1:57" ht="14.65" thickBot="1" x14ac:dyDescent="0.5">
      <c r="A29" t="s">
        <v>22</v>
      </c>
      <c r="B29" s="24">
        <f t="shared" si="8"/>
        <v>856.2691788722218</v>
      </c>
      <c r="C29" s="1">
        <f t="shared" si="9"/>
        <v>823.29909920498517</v>
      </c>
      <c r="D29" s="25">
        <f t="shared" si="10"/>
        <v>1556.6960863999998</v>
      </c>
      <c r="E29" s="25">
        <f t="shared" si="11"/>
        <v>781.14399999999989</v>
      </c>
      <c r="F29" s="38">
        <f t="shared" si="12"/>
        <v>155.66960863999998</v>
      </c>
      <c r="G29" s="41">
        <f t="shared" si="13"/>
        <v>0</v>
      </c>
      <c r="H29" s="26">
        <f t="shared" si="14"/>
        <v>6.55781863403464E-2</v>
      </c>
      <c r="I29" s="27">
        <f t="shared" si="15"/>
        <v>0.21334332686562263</v>
      </c>
      <c r="J29" s="53">
        <f t="shared" si="16"/>
        <v>0</v>
      </c>
      <c r="K29" s="36">
        <f t="shared" si="17"/>
        <v>19941.479847320003</v>
      </c>
      <c r="L29" s="122">
        <f t="shared" si="18"/>
        <v>57858.623853275436</v>
      </c>
      <c r="M29" s="71"/>
      <c r="N29" s="71"/>
      <c r="O29" s="19" t="s">
        <v>22</v>
      </c>
      <c r="BD29" s="15"/>
      <c r="BE29" s="15"/>
    </row>
    <row r="30" spans="1:57" ht="14.65" thickBot="1" x14ac:dyDescent="0.5">
      <c r="A30" t="s">
        <v>23</v>
      </c>
      <c r="B30" s="24">
        <f t="shared" si="8"/>
        <v>596.50430733037808</v>
      </c>
      <c r="C30" s="1">
        <f t="shared" si="9"/>
        <v>573.5363026190148</v>
      </c>
      <c r="D30" s="25">
        <f t="shared" si="10"/>
        <v>1433.2515199999998</v>
      </c>
      <c r="E30" s="25">
        <f t="shared" si="11"/>
        <v>719.19999999999993</v>
      </c>
      <c r="F30" s="38">
        <f t="shared" si="12"/>
        <v>143.32515199999997</v>
      </c>
      <c r="G30" s="41">
        <f t="shared" si="13"/>
        <v>0</v>
      </c>
      <c r="H30" s="26">
        <f t="shared" si="14"/>
        <v>0.18988583610347931</v>
      </c>
      <c r="I30" s="27">
        <f t="shared" si="15"/>
        <v>0.2504318488453714</v>
      </c>
      <c r="J30" s="53">
        <f t="shared" si="16"/>
        <v>0</v>
      </c>
      <c r="K30" s="36">
        <f t="shared" si="17"/>
        <v>60799.98287727189</v>
      </c>
      <c r="L30" s="122">
        <f t="shared" si="18"/>
        <v>49654.198300541335</v>
      </c>
      <c r="M30" s="71"/>
      <c r="N30" s="71"/>
      <c r="O30" s="19" t="s">
        <v>23</v>
      </c>
      <c r="BD30" s="15"/>
      <c r="BE30" s="15"/>
    </row>
    <row r="31" spans="1:57" ht="14.65" thickBot="1" x14ac:dyDescent="0.5">
      <c r="A31" t="s">
        <v>24</v>
      </c>
      <c r="B31" s="28">
        <f t="shared" si="8"/>
        <v>657.41506088920005</v>
      </c>
      <c r="C31" s="1">
        <f t="shared" si="9"/>
        <v>632.10172780800008</v>
      </c>
      <c r="D31" s="29">
        <f t="shared" si="10"/>
        <v>1118.860864</v>
      </c>
      <c r="E31" s="29">
        <f t="shared" ref="E31" si="19">D31*grid_2030</f>
        <v>561.43999999999994</v>
      </c>
      <c r="F31" s="39">
        <f t="shared" ref="F31" si="20">D31*grid_2050</f>
        <v>111.88608640000001</v>
      </c>
      <c r="G31" s="42">
        <f t="shared" si="13"/>
        <v>0</v>
      </c>
      <c r="H31" s="30">
        <f t="shared" si="14"/>
        <v>0</v>
      </c>
      <c r="I31" s="31">
        <f t="shared" si="15"/>
        <v>0</v>
      </c>
      <c r="J31" s="53">
        <f t="shared" si="16"/>
        <v>0</v>
      </c>
      <c r="K31" s="36">
        <f t="shared" si="17"/>
        <v>0</v>
      </c>
      <c r="L31" s="123">
        <f t="shared" si="18"/>
        <v>0</v>
      </c>
      <c r="M31" s="71"/>
      <c r="N31" s="71"/>
      <c r="O31" s="19"/>
      <c r="BD31" s="15"/>
      <c r="BE31" s="15"/>
    </row>
    <row r="32" spans="1:57" x14ac:dyDescent="0.45">
      <c r="B32" s="19"/>
      <c r="D32" s="19"/>
      <c r="E32" s="19"/>
      <c r="F32" s="19"/>
      <c r="G32" s="19"/>
      <c r="H32" s="19"/>
      <c r="I32" s="19"/>
      <c r="J32" s="106">
        <f>SUM(J21:J31)</f>
        <v>2337209.4758743038</v>
      </c>
      <c r="K32" s="114">
        <f>SUM(K21:K31)</f>
        <v>3392602.5579065429</v>
      </c>
      <c r="L32" s="124">
        <f>SUM(L21:L31)</f>
        <v>1947931.0512984307</v>
      </c>
      <c r="M32" s="105"/>
      <c r="N32" s="105"/>
      <c r="O32" s="21" t="s">
        <v>39</v>
      </c>
    </row>
    <row r="33" spans="1:57" x14ac:dyDescent="0.45">
      <c r="A33" t="s">
        <v>26</v>
      </c>
      <c r="B33" s="25">
        <f>(I16*steam*kbtu_mlb)</f>
        <v>14233.969390784197</v>
      </c>
      <c r="C33" s="110">
        <f>B33*steam_2030/steam</f>
        <v>13685.899792607999</v>
      </c>
      <c r="D33" s="25">
        <f>J16*elec</f>
        <v>39252.846587319997</v>
      </c>
      <c r="E33" s="25">
        <f>D33*grid_2030</f>
        <v>19696.9247</v>
      </c>
      <c r="F33" s="25">
        <f>D33*grid_2050</f>
        <v>3925.284658732</v>
      </c>
      <c r="G33" s="26">
        <f>IF(SUM(B33:D33)&lt;K16,0,(SUM(B33:D33)-K16)/SUM(B33:D33))</f>
        <v>9.0307794781123302E-2</v>
      </c>
      <c r="H33" s="26">
        <f>IF(SUM(B33,E33)&lt;L16,0,(SUM(B33,E33)-L16)/SUM(B33,E33))</f>
        <v>0.3606882551754575</v>
      </c>
      <c r="I33" s="26">
        <f>IF( SUM(B33,F33)&lt;O16, 0, (SUM(B33,F33)-O16)/SUM(B33,F33))</f>
        <v>0.37848987798589173</v>
      </c>
      <c r="J33" s="71">
        <f>IF((K16&gt;SUM(B33,D33)),0, (SUM(B33,D33)-K16)*fine)</f>
        <v>0</v>
      </c>
      <c r="K33" s="113">
        <f>IF((L16&gt;SUM(C33,E33)),0,(SUM(C33,E33)-L16)*fine)</f>
        <v>3133028.6439764956</v>
      </c>
      <c r="L33" s="125">
        <f>IF((O16&gt;SUM(B33,F33)),0,(SUM(B33,F33)-O16)*fine)</f>
        <v>1841989.1516703404</v>
      </c>
      <c r="M33" s="71"/>
      <c r="N33" s="71"/>
      <c r="O33" s="19" t="s">
        <v>40</v>
      </c>
      <c r="BD33" s="15"/>
      <c r="BE33" s="15"/>
    </row>
    <row r="34" spans="1:57" ht="14.65" thickBot="1" x14ac:dyDescent="0.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26"/>
      <c r="M34" s="59"/>
      <c r="N34" s="59"/>
      <c r="O34" s="9"/>
      <c r="BD34" s="15"/>
      <c r="BE34" s="15"/>
    </row>
    <row r="35" spans="1:57" ht="14.65" thickBot="1" x14ac:dyDescent="0.5">
      <c r="A35" s="23"/>
      <c r="B35" s="130" t="s">
        <v>41</v>
      </c>
      <c r="C35" s="131"/>
      <c r="D35" s="131"/>
      <c r="E35" s="132"/>
      <c r="F35" s="130" t="s">
        <v>28</v>
      </c>
      <c r="G35" s="131"/>
      <c r="H35" s="132"/>
      <c r="L35" s="124">
        <f>K32-K33</f>
        <v>259573.9139300473</v>
      </c>
      <c r="M35" s="19"/>
      <c r="N35" s="19"/>
      <c r="O35" s="9"/>
      <c r="BD35" s="15"/>
      <c r="BE35" s="15"/>
    </row>
    <row r="36" spans="1:57" ht="28.9" thickBot="1" x14ac:dyDescent="0.5">
      <c r="A36" s="23"/>
      <c r="B36" s="96" t="s">
        <v>42</v>
      </c>
      <c r="C36" s="97" t="s">
        <v>43</v>
      </c>
      <c r="D36" s="97" t="s">
        <v>44</v>
      </c>
      <c r="E36" s="99" t="s">
        <v>45</v>
      </c>
      <c r="F36" s="100" t="s">
        <v>33</v>
      </c>
      <c r="G36" s="98" t="s">
        <v>34</v>
      </c>
      <c r="H36" s="104" t="s">
        <v>35</v>
      </c>
      <c r="I36" s="97" t="s">
        <v>36</v>
      </c>
      <c r="J36" s="97" t="s">
        <v>37</v>
      </c>
      <c r="K36" s="99" t="s">
        <v>38</v>
      </c>
      <c r="L36" s="19"/>
      <c r="M36" s="19"/>
      <c r="N36" s="19"/>
      <c r="O36" s="9"/>
      <c r="BD36" s="15"/>
      <c r="BE36" s="15"/>
    </row>
    <row r="37" spans="1:57" x14ac:dyDescent="0.45">
      <c r="A37" t="s">
        <v>14</v>
      </c>
      <c r="B37" s="24">
        <f t="shared" ref="B37:B47" si="21">(G4*steam*kbtu_mlb)</f>
        <v>660.24419425860003</v>
      </c>
      <c r="C37" s="25">
        <f t="shared" ref="C37:C47" si="22">H4*elec</f>
        <v>1122.7907471999999</v>
      </c>
      <c r="D37" s="25">
        <f t="shared" ref="D37:D46" si="23">C37*grid_2030</f>
        <v>563.41199999999992</v>
      </c>
      <c r="E37" s="38">
        <f t="shared" ref="E37:E46" si="24">C37*grid_2050</f>
        <v>112.27907472</v>
      </c>
      <c r="F37" s="41">
        <f>IF(SUM(B37:C37)&lt;K4,0,(SUM(B37:C37)-K4)/SUM(B37:C37))</f>
        <v>0</v>
      </c>
      <c r="G37" s="26">
        <f>IF(SUM(B37,D37)&lt;L4,0,(SUM(B37,D37)-L4)/SUM(B37,D37))</f>
        <v>9.9375635997394657E-2</v>
      </c>
      <c r="H37" s="27">
        <f>IF( SUM(B37,E37)&lt;O4, 0, (SUM(B37,E37)-O4)/SUM(B37,E37))</f>
        <v>0.25778494574267213</v>
      </c>
      <c r="I37" s="53">
        <f t="shared" ref="I37:I47" si="25">IF((K4&gt;SUM(B37:C37)),0, (SUM(B37:C37)-K4)*fine)</f>
        <v>0</v>
      </c>
      <c r="J37" s="36">
        <f t="shared" ref="J37:J47" si="26">IF((L4&gt;SUM(B37,D37)),0,(SUM(B37,D37)-L4)*fine)</f>
        <v>32589.23216248877</v>
      </c>
      <c r="K37" s="37">
        <f t="shared" ref="K37:K47" si="27">IF((O4&gt;SUM(B37,E37)),0,(SUM(B37,E37)-O4)*fine)</f>
        <v>53370.824886264832</v>
      </c>
      <c r="L37" s="19" t="s">
        <v>14</v>
      </c>
      <c r="M37" s="19"/>
      <c r="N37" s="19"/>
      <c r="O37" s="9"/>
      <c r="BD37" s="15"/>
      <c r="BE37" s="15"/>
    </row>
    <row r="38" spans="1:57" x14ac:dyDescent="0.45">
      <c r="A38" s="15" t="s">
        <v>15</v>
      </c>
      <c r="B38" s="24">
        <f t="shared" si="21"/>
        <v>581.05564076819996</v>
      </c>
      <c r="C38" s="25">
        <f t="shared" si="22"/>
        <v>1982.2793199999999</v>
      </c>
      <c r="D38" s="25">
        <f t="shared" si="23"/>
        <v>994.69999999999993</v>
      </c>
      <c r="E38" s="38">
        <f t="shared" si="24"/>
        <v>198.22793200000001</v>
      </c>
      <c r="F38" s="41">
        <f t="shared" ref="F38:F47" si="28">IF(SUM(B38:C38)&lt;K5,0,(SUM(B38:C38)-K5)/SUM(B38:C38))</f>
        <v>0</v>
      </c>
      <c r="G38" s="26">
        <f t="shared" ref="G38:G47" si="29">IF(SUM(B38,D38)&lt;L5,0,(SUM(B38,D38)-L5)/SUM(B38,D38))</f>
        <v>0</v>
      </c>
      <c r="H38" s="27">
        <f t="shared" ref="H38:H47" si="30">IF( SUM(B38,E38)&lt;O5, 0, (SUM(B38,E38)-O5)/SUM(B38,E38))</f>
        <v>0</v>
      </c>
      <c r="I38" s="54">
        <f t="shared" si="25"/>
        <v>0</v>
      </c>
      <c r="J38" s="32">
        <f t="shared" si="26"/>
        <v>0</v>
      </c>
      <c r="K38" s="34">
        <f t="shared" si="27"/>
        <v>0</v>
      </c>
      <c r="L38" s="21" t="s">
        <v>15</v>
      </c>
      <c r="M38" s="21"/>
      <c r="N38" s="21"/>
      <c r="O38" s="9"/>
      <c r="BD38" s="15"/>
      <c r="BE38" s="15"/>
    </row>
    <row r="39" spans="1:57" x14ac:dyDescent="0.45">
      <c r="A39" s="15" t="s">
        <v>16</v>
      </c>
      <c r="B39" s="24">
        <f t="shared" si="21"/>
        <v>6282.5274180221986</v>
      </c>
      <c r="C39" s="25">
        <f t="shared" si="22"/>
        <v>25828.755674819997</v>
      </c>
      <c r="D39" s="25">
        <f t="shared" si="23"/>
        <v>12960.768449999998</v>
      </c>
      <c r="E39" s="38">
        <f t="shared" si="24"/>
        <v>2582.875567482</v>
      </c>
      <c r="F39" s="41">
        <f t="shared" si="28"/>
        <v>0.31271999265207145</v>
      </c>
      <c r="G39" s="26">
        <f t="shared" si="29"/>
        <v>0.59287054970187791</v>
      </c>
      <c r="H39" s="27">
        <f t="shared" si="30"/>
        <v>0.54021826118170768</v>
      </c>
      <c r="I39" s="54">
        <f t="shared" si="25"/>
        <v>2691213.1770417094</v>
      </c>
      <c r="J39" s="32">
        <f t="shared" si="26"/>
        <v>3057553.9510258525</v>
      </c>
      <c r="K39" s="34">
        <f t="shared" si="27"/>
        <v>1283519.6929151253</v>
      </c>
      <c r="L39" s="21" t="s">
        <v>16</v>
      </c>
      <c r="M39" s="21"/>
      <c r="N39" s="21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x14ac:dyDescent="0.45">
      <c r="A40" s="15" t="s">
        <v>17</v>
      </c>
      <c r="B40" s="24">
        <f t="shared" si="21"/>
        <v>2426.5965628230001</v>
      </c>
      <c r="C40" s="25">
        <f t="shared" si="22"/>
        <v>4292.1259631999992</v>
      </c>
      <c r="D40" s="25">
        <f t="shared" si="23"/>
        <v>2153.7719999999995</v>
      </c>
      <c r="E40" s="38">
        <f t="shared" si="24"/>
        <v>429.21259631999993</v>
      </c>
      <c r="F40" s="41">
        <f t="shared" si="28"/>
        <v>0</v>
      </c>
      <c r="G40" s="26">
        <f t="shared" si="29"/>
        <v>0.28497537107330811</v>
      </c>
      <c r="H40" s="27">
        <f t="shared" si="30"/>
        <v>0.4033351302398156</v>
      </c>
      <c r="I40" s="54">
        <f t="shared" si="25"/>
        <v>0</v>
      </c>
      <c r="J40" s="32">
        <f t="shared" si="26"/>
        <v>349818.3178659238</v>
      </c>
      <c r="K40" s="34">
        <f t="shared" si="27"/>
        <v>308695.30665032403</v>
      </c>
      <c r="L40" s="21" t="s">
        <v>17</v>
      </c>
      <c r="M40" s="21"/>
      <c r="N40" s="21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x14ac:dyDescent="0.45">
      <c r="A41" s="15" t="s">
        <v>18</v>
      </c>
      <c r="B41" s="24">
        <f t="shared" si="21"/>
        <v>363.40943250719999</v>
      </c>
      <c r="C41" s="25">
        <f t="shared" si="22"/>
        <v>413.44682959999994</v>
      </c>
      <c r="D41" s="25">
        <f t="shared" si="23"/>
        <v>207.46599999999998</v>
      </c>
      <c r="E41" s="38">
        <f t="shared" si="24"/>
        <v>41.34468296</v>
      </c>
      <c r="F41" s="41">
        <f t="shared" si="28"/>
        <v>0</v>
      </c>
      <c r="G41" s="26">
        <f t="shared" si="29"/>
        <v>0.47631947176457007</v>
      </c>
      <c r="H41" s="27">
        <f t="shared" si="30"/>
        <v>0.61571385180244176</v>
      </c>
      <c r="I41" s="54">
        <f t="shared" si="25"/>
        <v>0</v>
      </c>
      <c r="J41" s="32">
        <f t="shared" si="26"/>
        <v>72874.314633993592</v>
      </c>
      <c r="K41" s="34">
        <f t="shared" si="27"/>
        <v>66789.007745209601</v>
      </c>
      <c r="L41" s="21" t="s">
        <v>18</v>
      </c>
      <c r="M41" s="21"/>
      <c r="N41" s="21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x14ac:dyDescent="0.45">
      <c r="A42" s="15" t="s">
        <v>19</v>
      </c>
      <c r="B42" s="24">
        <f t="shared" si="21"/>
        <v>953.9186454078</v>
      </c>
      <c r="C42" s="25">
        <f t="shared" si="22"/>
        <v>1398.8072496</v>
      </c>
      <c r="D42" s="25">
        <f t="shared" si="23"/>
        <v>701.91599999999994</v>
      </c>
      <c r="E42" s="38">
        <f t="shared" si="24"/>
        <v>139.88072496000001</v>
      </c>
      <c r="F42" s="41">
        <f t="shared" si="28"/>
        <v>0</v>
      </c>
      <c r="G42" s="26">
        <f t="shared" si="29"/>
        <v>0.23214493199176381</v>
      </c>
      <c r="H42" s="27">
        <f t="shared" si="30"/>
        <v>0.39522089889523143</v>
      </c>
      <c r="I42" s="54">
        <f t="shared" si="25"/>
        <v>0</v>
      </c>
      <c r="J42" s="32">
        <f t="shared" si="26"/>
        <v>103017.49046761043</v>
      </c>
      <c r="K42" s="34">
        <f t="shared" si="27"/>
        <v>115854.35525857043</v>
      </c>
      <c r="L42" s="21" t="s">
        <v>19</v>
      </c>
      <c r="M42" s="21"/>
      <c r="N42" s="21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x14ac:dyDescent="0.45">
      <c r="A43" s="15" t="s">
        <v>20</v>
      </c>
      <c r="B43" s="24">
        <f t="shared" si="21"/>
        <v>279.09979176359997</v>
      </c>
      <c r="C43" s="25">
        <f t="shared" si="22"/>
        <v>658.3710208</v>
      </c>
      <c r="D43" s="25">
        <f t="shared" si="23"/>
        <v>330.36799999999999</v>
      </c>
      <c r="E43" s="38">
        <f t="shared" si="24"/>
        <v>65.837102080000008</v>
      </c>
      <c r="F43" s="41">
        <f t="shared" si="28"/>
        <v>0</v>
      </c>
      <c r="G43" s="26">
        <f t="shared" si="29"/>
        <v>0.34839970579768009</v>
      </c>
      <c r="H43" s="27">
        <f t="shared" si="30"/>
        <v>0.40099477995043226</v>
      </c>
      <c r="I43" s="54">
        <f t="shared" si="25"/>
        <v>0</v>
      </c>
      <c r="J43" s="32">
        <f t="shared" si="26"/>
        <v>56906.691024084794</v>
      </c>
      <c r="K43" s="34">
        <f t="shared" si="27"/>
        <v>37069.195550084798</v>
      </c>
      <c r="L43" s="21" t="s">
        <v>20</v>
      </c>
      <c r="M43" s="21"/>
      <c r="N43" s="21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x14ac:dyDescent="0.45">
      <c r="A44" s="15" t="s">
        <v>21</v>
      </c>
      <c r="B44" s="24">
        <f t="shared" si="21"/>
        <v>923.06605280159999</v>
      </c>
      <c r="C44" s="25">
        <f t="shared" si="22"/>
        <v>987.67211599999996</v>
      </c>
      <c r="D44" s="25">
        <f t="shared" si="23"/>
        <v>495.60999999999996</v>
      </c>
      <c r="E44" s="38">
        <f t="shared" si="24"/>
        <v>98.767211599999996</v>
      </c>
      <c r="F44" s="41">
        <f t="shared" si="28"/>
        <v>0</v>
      </c>
      <c r="G44" s="26">
        <f t="shared" si="29"/>
        <v>0.1478142007511043</v>
      </c>
      <c r="H44" s="27">
        <f t="shared" si="30"/>
        <v>0.38443244909593388</v>
      </c>
      <c r="I44" s="54">
        <f t="shared" si="25"/>
        <v>0</v>
      </c>
      <c r="J44" s="32">
        <f t="shared" si="26"/>
        <v>56199.72512105279</v>
      </c>
      <c r="K44" s="34">
        <f t="shared" si="27"/>
        <v>105277.33165962881</v>
      </c>
      <c r="L44" s="21" t="s">
        <v>21</v>
      </c>
      <c r="M44" s="21"/>
      <c r="N44" s="21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x14ac:dyDescent="0.45">
      <c r="A45" s="15" t="s">
        <v>22</v>
      </c>
      <c r="B45" s="24">
        <f t="shared" si="21"/>
        <v>847.9264092570985</v>
      </c>
      <c r="C45" s="25">
        <f t="shared" si="22"/>
        <v>1556.6960863999998</v>
      </c>
      <c r="D45" s="25">
        <f t="shared" si="23"/>
        <v>781.14399999999989</v>
      </c>
      <c r="E45" s="38">
        <f t="shared" si="24"/>
        <v>155.66960863999998</v>
      </c>
      <c r="F45" s="41">
        <f t="shared" si="28"/>
        <v>0</v>
      </c>
      <c r="G45" s="26">
        <f t="shared" si="29"/>
        <v>6.0792840126696182E-2</v>
      </c>
      <c r="H45" s="27">
        <f t="shared" si="30"/>
        <v>0.20680394720177028</v>
      </c>
      <c r="I45" s="54">
        <f t="shared" si="25"/>
        <v>0</v>
      </c>
      <c r="J45" s="32">
        <f t="shared" si="26"/>
        <v>26541.598941286346</v>
      </c>
      <c r="K45" s="34">
        <f t="shared" si="27"/>
        <v>55622.761596422388</v>
      </c>
      <c r="L45" s="21" t="s">
        <v>22</v>
      </c>
      <c r="M45" s="21"/>
      <c r="N45" s="21"/>
    </row>
    <row r="46" spans="1:57" x14ac:dyDescent="0.45">
      <c r="A46" s="15" t="s">
        <v>23</v>
      </c>
      <c r="B46" s="24">
        <f t="shared" si="21"/>
        <v>590.69246902850148</v>
      </c>
      <c r="C46" s="25">
        <f t="shared" si="22"/>
        <v>1433.2515199999998</v>
      </c>
      <c r="D46" s="25">
        <f t="shared" si="23"/>
        <v>719.19999999999993</v>
      </c>
      <c r="E46" s="38">
        <f t="shared" si="24"/>
        <v>143.32515199999997</v>
      </c>
      <c r="F46" s="41">
        <f t="shared" si="28"/>
        <v>0</v>
      </c>
      <c r="G46" s="26">
        <f t="shared" si="29"/>
        <v>0.18629145516157</v>
      </c>
      <c r="H46" s="27">
        <f t="shared" si="30"/>
        <v>0.24449688384460866</v>
      </c>
      <c r="I46" s="54">
        <f t="shared" si="25"/>
        <v>0</v>
      </c>
      <c r="J46" s="32">
        <f t="shared" si="26"/>
        <v>65397.835475014348</v>
      </c>
      <c r="K46" s="34">
        <f t="shared" si="27"/>
        <v>48096.625635638404</v>
      </c>
      <c r="L46" s="19" t="s">
        <v>23</v>
      </c>
      <c r="M46" s="19"/>
      <c r="N46" s="19"/>
    </row>
    <row r="47" spans="1:57" ht="14.65" thickBot="1" x14ac:dyDescent="0.5">
      <c r="A47" t="s">
        <v>24</v>
      </c>
      <c r="B47" s="28">
        <f t="shared" si="21"/>
        <v>414.68146195800006</v>
      </c>
      <c r="C47" s="29">
        <f t="shared" si="22"/>
        <v>864.34313439999994</v>
      </c>
      <c r="D47" s="29">
        <f t="shared" ref="D47" si="31">C47*grid_2030</f>
        <v>433.72399999999999</v>
      </c>
      <c r="E47" s="39">
        <f t="shared" ref="E47" si="32">C47*grid_2050</f>
        <v>86.434313439999997</v>
      </c>
      <c r="F47" s="42">
        <f t="shared" si="28"/>
        <v>0</v>
      </c>
      <c r="G47" s="30">
        <f t="shared" si="29"/>
        <v>0</v>
      </c>
      <c r="H47" s="31">
        <f t="shared" si="30"/>
        <v>0</v>
      </c>
      <c r="I47" s="55">
        <f t="shared" si="25"/>
        <v>0</v>
      </c>
      <c r="J47" s="33">
        <f t="shared" si="26"/>
        <v>0</v>
      </c>
      <c r="K47" s="35">
        <f t="shared" si="27"/>
        <v>0</v>
      </c>
      <c r="L47" s="19"/>
      <c r="M47" s="19"/>
      <c r="N47" s="19"/>
    </row>
    <row r="48" spans="1:57" x14ac:dyDescent="0.45">
      <c r="B48" s="19"/>
      <c r="C48" s="19"/>
      <c r="D48" s="19"/>
      <c r="E48" s="19"/>
      <c r="F48" s="19"/>
      <c r="G48" s="19"/>
      <c r="H48" s="19"/>
      <c r="I48" s="105">
        <f>SUM(I37:I47)</f>
        <v>2691213.1770417094</v>
      </c>
      <c r="J48" s="105">
        <f>SUM(J37:J47)</f>
        <v>3820899.1567173074</v>
      </c>
      <c r="K48" s="105">
        <f>SUM(K37:K47)</f>
        <v>2074295.1018972686</v>
      </c>
      <c r="L48" s="21" t="s">
        <v>39</v>
      </c>
      <c r="M48" s="21"/>
      <c r="N48" s="21"/>
    </row>
    <row r="49" spans="1:17" x14ac:dyDescent="0.45">
      <c r="A49" t="s">
        <v>26</v>
      </c>
      <c r="B49" s="25">
        <f>(G16*steam*kbtu_mlb)</f>
        <v>14323.218078595799</v>
      </c>
      <c r="C49" s="25">
        <f>H16*elec</f>
        <v>40538.539662019997</v>
      </c>
      <c r="D49" s="25">
        <f>C49*grid_2030</f>
        <v>20342.080449999998</v>
      </c>
      <c r="E49" s="25">
        <f>C49*grid_2050</f>
        <v>4053.8539662019998</v>
      </c>
      <c r="F49" s="26">
        <f t="shared" ref="F49" si="33">IF(SUM(B49:C49)&lt;K16,0,(SUM(B49:C49)-K16)/SUM(B49:C49))</f>
        <v>0</v>
      </c>
      <c r="G49" s="26">
        <f t="shared" ref="G49" si="34">IF(SUM(B49,D49)&lt;L16,0,(SUM(B49,D49)-L16)/SUM(B49,D49))</f>
        <v>0.37423244496966673</v>
      </c>
      <c r="H49" s="26">
        <f t="shared" ref="H49" si="35">IF( SUM(B49,E49)&lt;O16, 0, (SUM(B49,E49)-O16)/SUM(B49,E49))</f>
        <v>0.38585645349336817</v>
      </c>
      <c r="I49" s="71">
        <f>IF((K16&gt;SUM(B49:C49)),0, (SUM(B49:C49)-K16)*fine)</f>
        <v>0</v>
      </c>
      <c r="J49" s="71">
        <f>IF((L16&gt;SUM(B49,D49)),0,(SUM(B49,D49)-L16)*fine)</f>
        <v>3476731.6856212253</v>
      </c>
      <c r="K49" s="71">
        <f>IF((O16&gt;SUM(B49,E49)),0,(SUM(B49,E49)-O16)*fine)</f>
        <v>1900364.3744058099</v>
      </c>
      <c r="L49" s="19" t="s">
        <v>40</v>
      </c>
      <c r="M49" s="19"/>
      <c r="N49" s="19"/>
    </row>
    <row r="50" spans="1:17" ht="14.65" thickBot="1" x14ac:dyDescent="0.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7" ht="14.65" thickBot="1" x14ac:dyDescent="0.5">
      <c r="A51" s="21"/>
      <c r="B51" s="130" t="s">
        <v>46</v>
      </c>
      <c r="C51" s="131"/>
      <c r="D51" s="131"/>
      <c r="E51" s="132"/>
      <c r="F51" s="101"/>
      <c r="G51" s="102" t="s">
        <v>28</v>
      </c>
      <c r="H51" s="103"/>
      <c r="L51" s="19"/>
      <c r="M51" s="19"/>
      <c r="N51" s="19"/>
    </row>
    <row r="52" spans="1:17" ht="28.9" thickBot="1" x14ac:dyDescent="0.5">
      <c r="A52" s="21"/>
      <c r="B52" s="67" t="s">
        <v>47</v>
      </c>
      <c r="C52" s="68" t="s">
        <v>48</v>
      </c>
      <c r="D52" s="68" t="s">
        <v>44</v>
      </c>
      <c r="E52" s="69" t="s">
        <v>45</v>
      </c>
      <c r="F52" s="88" t="s">
        <v>33</v>
      </c>
      <c r="G52" s="89" t="s">
        <v>34</v>
      </c>
      <c r="H52" s="90" t="s">
        <v>35</v>
      </c>
      <c r="I52" s="68" t="s">
        <v>36</v>
      </c>
      <c r="J52" s="68" t="s">
        <v>37</v>
      </c>
      <c r="K52" s="69" t="s">
        <v>38</v>
      </c>
      <c r="L52" s="19"/>
      <c r="M52" s="19"/>
      <c r="N52" s="19"/>
    </row>
    <row r="53" spans="1:17" x14ac:dyDescent="0.45">
      <c r="A53" s="15" t="s">
        <v>14</v>
      </c>
      <c r="B53" s="24">
        <f t="shared" ref="B53:B63" si="36">(E4*steam*kbtu_mlb)</f>
        <v>921.970056441</v>
      </c>
      <c r="C53" s="25">
        <f t="shared" ref="C53:C63" si="37">F4*elec</f>
        <v>1427.9346191999998</v>
      </c>
      <c r="D53" s="25">
        <f t="shared" ref="D53:D62" si="38">C53*grid_2030</f>
        <v>716.53199999999993</v>
      </c>
      <c r="E53" s="38">
        <f t="shared" ref="E53:E62" si="39">C53*grid_2050</f>
        <v>142.79346192</v>
      </c>
      <c r="F53" s="41">
        <f>IF(SUM(B53:C53)&lt;K4,0,(SUM(B53:C53)-K4)/SUM(B53:C53))</f>
        <v>0</v>
      </c>
      <c r="G53" s="26">
        <f>IF(SUM(B53,D53)&lt;L4,0,(SUM(B53,D53)-L4)/SUM(B53,D53))</f>
        <v>0.32740116048082396</v>
      </c>
      <c r="H53" s="27">
        <f>IF( SUM(B53,E53)&lt;O4, 0, (SUM(B53,E53)-O4)/SUM(B53,E53))</f>
        <v>0.46149695203437618</v>
      </c>
      <c r="I53" s="32">
        <f t="shared" ref="I53:I63" si="40">IF((K4&gt;SUM(B53:C53)),0, (SUM(B53:C53)-K4)*fine)</f>
        <v>0</v>
      </c>
      <c r="J53" s="32">
        <f t="shared" ref="J53:J63" si="41">IF((L4&gt;SUM(B53,D53)),0,(SUM(B53,D53)-L4)*fine)</f>
        <v>143767.92322737197</v>
      </c>
      <c r="K53" s="71">
        <f t="shared" ref="K53:K63" si="42">IF((O4&gt;SUM(B53,E53)),0,(SUM(B53,E53)-O4)*fine)</f>
        <v>131691.21172074802</v>
      </c>
      <c r="L53" s="19" t="s">
        <v>14</v>
      </c>
      <c r="M53" s="19"/>
      <c r="N53" s="19"/>
    </row>
    <row r="54" spans="1:17" x14ac:dyDescent="0.45">
      <c r="A54" s="15" t="s">
        <v>15</v>
      </c>
      <c r="B54" s="24">
        <f t="shared" si="36"/>
        <v>744.06511611600001</v>
      </c>
      <c r="C54" s="25">
        <f t="shared" si="37"/>
        <v>2410.1742495999997</v>
      </c>
      <c r="D54" s="25">
        <f t="shared" si="38"/>
        <v>1209.4159999999999</v>
      </c>
      <c r="E54" s="38">
        <f t="shared" si="39"/>
        <v>241.01742495999997</v>
      </c>
      <c r="F54" s="41">
        <f t="shared" ref="F54:F63" si="43">IF(SUM(B54:C54)&lt;K5,0,(SUM(B54:C54)-K5)/SUM(B54:C54))</f>
        <v>0</v>
      </c>
      <c r="G54" s="26">
        <f t="shared" ref="G54:G63" si="44">IF(SUM(B54,D54)&lt;L5,0,(SUM(B54,D54)-L5)/SUM(B54,D54))</f>
        <v>0</v>
      </c>
      <c r="H54" s="27">
        <f t="shared" ref="H54:H63" si="45">IF( SUM(B54,E54)&lt;O5, 0, (SUM(B54,E54)-O5)/SUM(B54,E54))</f>
        <v>0</v>
      </c>
      <c r="I54" s="32">
        <f t="shared" si="40"/>
        <v>0</v>
      </c>
      <c r="J54" s="32">
        <f t="shared" si="41"/>
        <v>0</v>
      </c>
      <c r="K54" s="71">
        <f t="shared" si="42"/>
        <v>0</v>
      </c>
      <c r="L54" s="19" t="s">
        <v>15</v>
      </c>
      <c r="M54" s="19"/>
      <c r="N54" s="19"/>
    </row>
    <row r="55" spans="1:17" x14ac:dyDescent="0.45">
      <c r="A55" s="15" t="s">
        <v>16</v>
      </c>
      <c r="B55" s="24">
        <f t="shared" si="36"/>
        <v>7547.5035640517981</v>
      </c>
      <c r="C55" s="25">
        <f t="shared" si="37"/>
        <v>30051.911032011998</v>
      </c>
      <c r="D55" s="25">
        <f t="shared" si="38"/>
        <v>15079.931269999999</v>
      </c>
      <c r="E55" s="38">
        <f t="shared" si="39"/>
        <v>3005.1911032011999</v>
      </c>
      <c r="F55" s="41">
        <f t="shared" si="43"/>
        <v>0.41303759334831769</v>
      </c>
      <c r="G55" s="26">
        <f t="shared" si="44"/>
        <v>0.65376046705559732</v>
      </c>
      <c r="H55" s="27">
        <f t="shared" si="45"/>
        <v>0.61373369281221946</v>
      </c>
      <c r="I55" s="32">
        <f t="shared" si="40"/>
        <v>4162032.4199050982</v>
      </c>
      <c r="J55" s="32">
        <f t="shared" si="41"/>
        <v>3964503.1939217853</v>
      </c>
      <c r="K55" s="71">
        <f t="shared" si="42"/>
        <v>1735713.8636238032</v>
      </c>
      <c r="L55" s="21" t="s">
        <v>16</v>
      </c>
      <c r="M55" s="21"/>
      <c r="N55" s="21"/>
      <c r="P55" s="19"/>
      <c r="Q55" s="19"/>
    </row>
    <row r="56" spans="1:17" x14ac:dyDescent="0.45">
      <c r="A56" s="15" t="s">
        <v>17</v>
      </c>
      <c r="B56" s="24">
        <f t="shared" si="36"/>
        <v>2834.0400497945993</v>
      </c>
      <c r="C56" s="25">
        <f t="shared" si="37"/>
        <v>5556.8548447999992</v>
      </c>
      <c r="D56" s="25">
        <f t="shared" si="38"/>
        <v>2788.4079999999994</v>
      </c>
      <c r="E56" s="38">
        <f t="shared" si="39"/>
        <v>555.6854844799999</v>
      </c>
      <c r="F56" s="41">
        <f t="shared" si="43"/>
        <v>0</v>
      </c>
      <c r="G56" s="26">
        <f t="shared" si="44"/>
        <v>0.41749993899905458</v>
      </c>
      <c r="H56" s="27">
        <f t="shared" si="45"/>
        <v>0.49731593818711717</v>
      </c>
      <c r="I56" s="32">
        <f t="shared" si="40"/>
        <v>0</v>
      </c>
      <c r="J56" s="32">
        <f t="shared" si="41"/>
        <v>629095.62037431239</v>
      </c>
      <c r="K56" s="71">
        <f t="shared" si="42"/>
        <v>451784.89518559264</v>
      </c>
      <c r="L56" s="21" t="s">
        <v>17</v>
      </c>
      <c r="M56" s="21"/>
      <c r="N56" s="21"/>
      <c r="P56" s="83"/>
      <c r="Q56" s="19"/>
    </row>
    <row r="57" spans="1:17" x14ac:dyDescent="0.45">
      <c r="A57" s="15" t="s">
        <v>18</v>
      </c>
      <c r="B57" s="24">
        <f t="shared" si="36"/>
        <v>478.08670222019992</v>
      </c>
      <c r="C57" s="25">
        <f t="shared" si="37"/>
        <v>502.79387999999994</v>
      </c>
      <c r="D57" s="25">
        <f t="shared" si="38"/>
        <v>252.29999999999995</v>
      </c>
      <c r="E57" s="38">
        <f t="shared" si="39"/>
        <v>50.279387999999997</v>
      </c>
      <c r="F57" s="41">
        <f t="shared" si="43"/>
        <v>0.14143923810396619</v>
      </c>
      <c r="G57" s="26">
        <f t="shared" si="44"/>
        <v>0.59068758077981887</v>
      </c>
      <c r="H57" s="27">
        <f t="shared" si="45"/>
        <v>0.70561812561593962</v>
      </c>
      <c r="I57" s="32">
        <f t="shared" si="40"/>
        <v>37180.980595013549</v>
      </c>
      <c r="J57" s="32">
        <f t="shared" si="41"/>
        <v>115623.33491707755</v>
      </c>
      <c r="K57" s="71">
        <f t="shared" si="42"/>
        <v>99917.01697901357</v>
      </c>
      <c r="L57" s="19" t="s">
        <v>18</v>
      </c>
      <c r="M57" s="19"/>
      <c r="N57" s="19"/>
      <c r="P57" s="84"/>
      <c r="Q57" s="19"/>
    </row>
    <row r="58" spans="1:17" x14ac:dyDescent="0.45">
      <c r="A58" s="15" t="s">
        <v>19</v>
      </c>
      <c r="B58" s="24">
        <f t="shared" si="36"/>
        <v>1216.4631519594</v>
      </c>
      <c r="C58" s="25">
        <f t="shared" si="37"/>
        <v>1884.9569183999999</v>
      </c>
      <c r="D58" s="25">
        <f t="shared" si="38"/>
        <v>945.86399999999992</v>
      </c>
      <c r="E58" s="38">
        <f t="shared" si="39"/>
        <v>188.49569184000001</v>
      </c>
      <c r="F58" s="41">
        <f t="shared" si="43"/>
        <v>0</v>
      </c>
      <c r="G58" s="26">
        <f t="shared" si="44"/>
        <v>0.41200339499604421</v>
      </c>
      <c r="H58" s="27">
        <f t="shared" si="45"/>
        <v>0.52916272037471168</v>
      </c>
      <c r="I58" s="32">
        <f t="shared" si="40"/>
        <v>0</v>
      </c>
      <c r="J58" s="32">
        <f t="shared" si="41"/>
        <v>238757.4822234392</v>
      </c>
      <c r="K58" s="71">
        <f t="shared" si="42"/>
        <v>199245.09413823922</v>
      </c>
      <c r="L58" s="19" t="s">
        <v>19</v>
      </c>
      <c r="M58" s="19"/>
      <c r="N58" s="19"/>
      <c r="P58" s="32"/>
      <c r="Q58" s="19"/>
    </row>
    <row r="59" spans="1:17" x14ac:dyDescent="0.45">
      <c r="A59" s="15" t="s">
        <v>20</v>
      </c>
      <c r="B59" s="24">
        <f t="shared" si="36"/>
        <v>372.96225051659997</v>
      </c>
      <c r="C59" s="25">
        <f t="shared" si="37"/>
        <v>921.6731951999999</v>
      </c>
      <c r="D59" s="25">
        <f t="shared" si="38"/>
        <v>462.49199999999996</v>
      </c>
      <c r="E59" s="38">
        <f t="shared" si="39"/>
        <v>92.167319519999992</v>
      </c>
      <c r="F59" s="41">
        <f t="shared" si="43"/>
        <v>0.13590014571184086</v>
      </c>
      <c r="G59" s="26">
        <f t="shared" si="44"/>
        <v>0.52465453114346294</v>
      </c>
      <c r="H59" s="27">
        <f t="shared" si="45"/>
        <v>0.55578184379087814</v>
      </c>
      <c r="I59" s="32">
        <f t="shared" si="40"/>
        <v>47152.227052048795</v>
      </c>
      <c r="J59" s="32">
        <f t="shared" si="41"/>
        <v>117471.06196988879</v>
      </c>
      <c r="K59" s="71">
        <f t="shared" si="42"/>
        <v>69280.832769808781</v>
      </c>
      <c r="L59" s="19" t="s">
        <v>20</v>
      </c>
      <c r="M59" s="19"/>
      <c r="N59" s="19"/>
      <c r="P59" s="32"/>
      <c r="Q59" s="19"/>
    </row>
    <row r="60" spans="1:17" x14ac:dyDescent="0.45">
      <c r="A60" s="15" t="s">
        <v>21</v>
      </c>
      <c r="B60" s="24">
        <f t="shared" si="36"/>
        <v>959.35088189699991</v>
      </c>
      <c r="C60" s="25">
        <f t="shared" si="37"/>
        <v>1266.5782383999999</v>
      </c>
      <c r="D60" s="25">
        <f t="shared" si="38"/>
        <v>635.56399999999996</v>
      </c>
      <c r="E60" s="38">
        <f t="shared" si="39"/>
        <v>126.65782383999999</v>
      </c>
      <c r="F60" s="41">
        <f t="shared" si="43"/>
        <v>0</v>
      </c>
      <c r="G60" s="26">
        <f t="shared" si="44"/>
        <v>0.2419811240998401</v>
      </c>
      <c r="H60" s="27">
        <f t="shared" si="45"/>
        <v>0.42080814207365341</v>
      </c>
      <c r="I60" s="32">
        <f t="shared" si="40"/>
        <v>0</v>
      </c>
      <c r="J60" s="32">
        <f t="shared" si="41"/>
        <v>103431.73131861992</v>
      </c>
      <c r="K60" s="71">
        <f t="shared" si="42"/>
        <v>122476.34993751599</v>
      </c>
      <c r="L60" s="19" t="s">
        <v>21</v>
      </c>
      <c r="M60" s="19"/>
      <c r="N60" s="19"/>
      <c r="P60" s="32"/>
      <c r="Q60" s="19"/>
    </row>
    <row r="61" spans="1:17" x14ac:dyDescent="0.45">
      <c r="A61" s="15" t="s">
        <v>22</v>
      </c>
      <c r="B61" s="24">
        <f t="shared" si="36"/>
        <v>1064.1298292670763</v>
      </c>
      <c r="C61" s="25">
        <f t="shared" si="37"/>
        <v>2105.0303775999996</v>
      </c>
      <c r="D61" s="25">
        <f t="shared" si="38"/>
        <v>1056.2959999999998</v>
      </c>
      <c r="E61" s="38">
        <f t="shared" si="39"/>
        <v>210.50303775999998</v>
      </c>
      <c r="F61" s="41">
        <f t="shared" si="43"/>
        <v>0</v>
      </c>
      <c r="G61" s="26">
        <f t="shared" si="44"/>
        <v>0.27843050617768811</v>
      </c>
      <c r="H61" s="27">
        <f t="shared" si="45"/>
        <v>0.37546848147993822</v>
      </c>
      <c r="I61" s="32">
        <f t="shared" si="40"/>
        <v>0</v>
      </c>
      <c r="J61" s="32">
        <f t="shared" si="41"/>
        <v>158224.85150396038</v>
      </c>
      <c r="K61" s="71">
        <f t="shared" si="42"/>
        <v>128260.63716325647</v>
      </c>
      <c r="L61" s="19" t="s">
        <v>22</v>
      </c>
      <c r="M61" s="19"/>
      <c r="N61" s="19"/>
      <c r="P61" s="32"/>
      <c r="Q61" s="19"/>
    </row>
    <row r="62" spans="1:17" x14ac:dyDescent="0.45">
      <c r="A62" t="s">
        <v>23</v>
      </c>
      <c r="B62" s="24">
        <f t="shared" si="36"/>
        <v>741.30663858832372</v>
      </c>
      <c r="C62" s="25">
        <f t="shared" si="37"/>
        <v>1588.8286607999999</v>
      </c>
      <c r="D62" s="25">
        <f t="shared" si="38"/>
        <v>797.26799999999992</v>
      </c>
      <c r="E62" s="38">
        <f t="shared" si="39"/>
        <v>158.88286607999999</v>
      </c>
      <c r="F62" s="41">
        <f t="shared" si="43"/>
        <v>0</v>
      </c>
      <c r="G62" s="26">
        <f t="shared" si="44"/>
        <v>0.30723497701355573</v>
      </c>
      <c r="H62" s="27">
        <f t="shared" si="45"/>
        <v>0.38396015825098317</v>
      </c>
      <c r="I62" s="32">
        <f t="shared" si="40"/>
        <v>0</v>
      </c>
      <c r="J62" s="32">
        <f t="shared" si="41"/>
        <v>126684.65691704668</v>
      </c>
      <c r="K62" s="71">
        <f t="shared" si="42"/>
        <v>92630.690451110757</v>
      </c>
      <c r="L62" s="19" t="s">
        <v>23</v>
      </c>
      <c r="M62" s="19"/>
      <c r="N62" s="19"/>
      <c r="P62" s="32"/>
      <c r="Q62" s="19"/>
    </row>
    <row r="63" spans="1:17" ht="14.65" thickBot="1" x14ac:dyDescent="0.5">
      <c r="A63" t="s">
        <v>24</v>
      </c>
      <c r="B63" s="28">
        <f t="shared" si="36"/>
        <v>766.82514626519981</v>
      </c>
      <c r="C63" s="29">
        <f t="shared" si="37"/>
        <v>1524.1936406399998</v>
      </c>
      <c r="D63" s="29">
        <f t="shared" ref="D63" si="46">C63*grid_2030</f>
        <v>764.83439999999985</v>
      </c>
      <c r="E63" s="39">
        <f t="shared" ref="E63" si="47">C63*grid_2050</f>
        <v>152.41936406399998</v>
      </c>
      <c r="F63" s="42">
        <f t="shared" si="43"/>
        <v>0</v>
      </c>
      <c r="G63" s="30">
        <f t="shared" si="44"/>
        <v>0</v>
      </c>
      <c r="H63" s="31">
        <f t="shared" si="45"/>
        <v>1.3827561857995514E-2</v>
      </c>
      <c r="I63" s="32">
        <f t="shared" si="40"/>
        <v>0</v>
      </c>
      <c r="J63" s="32">
        <f t="shared" si="41"/>
        <v>0</v>
      </c>
      <c r="K63" s="71">
        <f t="shared" si="42"/>
        <v>3406.5239682255478</v>
      </c>
      <c r="L63" s="19"/>
      <c r="M63" s="19"/>
      <c r="N63" s="19"/>
      <c r="P63" s="32"/>
      <c r="Q63" s="19"/>
    </row>
    <row r="64" spans="1:17" x14ac:dyDescent="0.45">
      <c r="B64" s="19"/>
      <c r="C64" s="19"/>
      <c r="D64" s="19"/>
      <c r="E64" s="19"/>
      <c r="F64" s="19"/>
      <c r="G64" s="19"/>
      <c r="H64" s="19"/>
      <c r="I64" s="105">
        <f>SUM(I53:I63)</f>
        <v>4246365.6275521601</v>
      </c>
      <c r="J64" s="105">
        <f>SUM(J53:J63)</f>
        <v>5597559.8563735029</v>
      </c>
      <c r="K64" s="105">
        <f>SUM(K53:K63)</f>
        <v>3034407.1159373135</v>
      </c>
      <c r="L64" s="21" t="s">
        <v>39</v>
      </c>
      <c r="M64" s="21"/>
      <c r="N64" s="21"/>
    </row>
    <row r="65" spans="1:17" x14ac:dyDescent="0.45">
      <c r="A65" t="s">
        <v>26</v>
      </c>
      <c r="B65" s="25">
        <f>(E16*steam*kbtu_mlb)</f>
        <v>17646.703387117199</v>
      </c>
      <c r="C65" s="25">
        <f>F16*elec</f>
        <v>49240.929656651999</v>
      </c>
      <c r="D65" s="25">
        <f>C65*grid_2030</f>
        <v>24708.90567</v>
      </c>
      <c r="E65" s="25">
        <f>C65*grid_2050</f>
        <v>4924.0929656652006</v>
      </c>
      <c r="F65" s="26">
        <f t="shared" ref="F65" si="48">IF(SUM(B65:C65)&lt;K16,0,(SUM(B65:C65)-K16)/SUM(B65:C65))</f>
        <v>8.6430582765370148E-2</v>
      </c>
      <c r="G65" s="26">
        <f t="shared" ref="G65" si="49">IF(SUM(B65,D65)&lt;L16,0,(SUM(B65,D65)-L16)/SUM(B65,D65))</f>
        <v>0.48785014340406629</v>
      </c>
      <c r="H65" s="26">
        <f t="shared" ref="H65" si="50">IF( SUM(B65,E65)&lt;O16, 0, (SUM(B65,E65)-O16)/SUM(B65,E65))</f>
        <v>0.49996623851472094</v>
      </c>
      <c r="I65" s="32">
        <f>IF((K16&gt;SUM(B65:C65)),0, (SUM(B65:C65)-K16)*fine)</f>
        <v>1549344.7438101457</v>
      </c>
      <c r="J65" s="32">
        <f>IF((L16&gt;SUM(B65,D65)),0,(SUM(B65,D65)-L16)*fine)</f>
        <v>5537734.90726496</v>
      </c>
      <c r="K65" s="71">
        <f>IF((O16&gt;SUM(B65,E65)),0,(SUM(B65,E65)-O16)*fine)</f>
        <v>3024282.488945683</v>
      </c>
      <c r="L65" s="19" t="s">
        <v>40</v>
      </c>
      <c r="M65" s="19"/>
      <c r="N65" s="19"/>
      <c r="P65" s="32"/>
      <c r="Q65" s="19"/>
    </row>
    <row r="66" spans="1:17" ht="14.65" thickBot="1" x14ac:dyDescent="0.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 spans="1:17" ht="14.65" thickBot="1" x14ac:dyDescent="0.5">
      <c r="B67" s="130" t="s">
        <v>49</v>
      </c>
      <c r="C67" s="131"/>
      <c r="D67" s="131"/>
      <c r="E67" s="132"/>
      <c r="F67" s="130" t="s">
        <v>28</v>
      </c>
      <c r="G67" s="131"/>
      <c r="H67" s="132"/>
      <c r="L67" s="19"/>
      <c r="M67" s="19"/>
      <c r="N67" s="19"/>
    </row>
    <row r="68" spans="1:17" ht="28.9" thickBot="1" x14ac:dyDescent="0.5">
      <c r="B68" s="96" t="s">
        <v>50</v>
      </c>
      <c r="C68" s="97" t="s">
        <v>51</v>
      </c>
      <c r="D68" s="97" t="s">
        <v>44</v>
      </c>
      <c r="E68" s="99" t="s">
        <v>45</v>
      </c>
      <c r="F68" s="100" t="s">
        <v>33</v>
      </c>
      <c r="G68" s="98" t="s">
        <v>34</v>
      </c>
      <c r="H68" s="99" t="s">
        <v>35</v>
      </c>
      <c r="I68" s="97" t="s">
        <v>36</v>
      </c>
      <c r="J68" s="97" t="s">
        <v>37</v>
      </c>
      <c r="K68" s="99" t="s">
        <v>38</v>
      </c>
      <c r="L68" s="19"/>
      <c r="M68" s="19"/>
      <c r="N68" s="19"/>
    </row>
    <row r="69" spans="1:17" x14ac:dyDescent="0.45">
      <c r="A69" t="s">
        <v>14</v>
      </c>
      <c r="B69" s="24">
        <f t="shared" ref="B69:B79" si="51">(C4*steam*kbtu_mlb)</f>
        <v>1029.9688833282</v>
      </c>
      <c r="C69" s="25">
        <f t="shared" ref="C69:C79" si="52">D4*elec</f>
        <v>1610.5586031999999</v>
      </c>
      <c r="D69" s="25">
        <f t="shared" ref="D69:D78" si="53">C69*grid_2030</f>
        <v>808.17199999999991</v>
      </c>
      <c r="E69" s="38">
        <f t="shared" ref="E69:E78" si="54">C69*grid_2050</f>
        <v>161.05586031999999</v>
      </c>
      <c r="F69" s="41">
        <f>IF(SUM(B69:C69)&lt;K4,0,(SUM(B69:C69)-K4)/SUM(B69:C69))</f>
        <v>0</v>
      </c>
      <c r="G69" s="26">
        <f>IF(SUM(B69,D69)&lt;L4,0,(SUM(B69,D69)-L4)/SUM(B69,D69))</f>
        <v>0.40045151505657012</v>
      </c>
      <c r="H69" s="27">
        <f>IF( SUM(B69,E69)&lt;O4, 0, (SUM(B69,E69)-O4)/SUM(B69,E69))</f>
        <v>0.51858397312242399</v>
      </c>
      <c r="I69" s="53">
        <f t="shared" ref="I69:I79" si="55">IF((K4&gt;SUM(B69:C69)),0, (SUM(B69:C69)-K4)*fine)</f>
        <v>0</v>
      </c>
      <c r="J69" s="36">
        <f t="shared" ref="J69:J79" si="56">IF((L4&gt;SUM(B69,D69)),0,(SUM(B69,D69)-L4)*fine)</f>
        <v>197271.12883314153</v>
      </c>
      <c r="K69" s="37">
        <f t="shared" ref="K69:K79" si="57">IF((O4&gt;SUM(B69,E69)),0,(SUM(B69,E69)-O4)*fine)</f>
        <v>165529.22009771763</v>
      </c>
      <c r="L69" s="19"/>
      <c r="M69" s="19"/>
      <c r="N69" s="19"/>
    </row>
    <row r="70" spans="1:17" x14ac:dyDescent="0.45">
      <c r="A70" t="s">
        <v>15</v>
      </c>
      <c r="B70" s="24">
        <f t="shared" si="51"/>
        <v>809.55451979519989</v>
      </c>
      <c r="C70" s="25">
        <f t="shared" si="52"/>
        <v>2583.5514495999996</v>
      </c>
      <c r="D70" s="25">
        <f t="shared" si="53"/>
        <v>1296.4159999999997</v>
      </c>
      <c r="E70" s="38">
        <f t="shared" si="54"/>
        <v>258.35514495999996</v>
      </c>
      <c r="F70" s="41">
        <f t="shared" ref="F70:F79" si="58">IF(SUM(B70:C70)&lt;K5,0,(SUM(B70:C70)-K5)/SUM(B70:C70))</f>
        <v>0</v>
      </c>
      <c r="G70" s="26">
        <f t="shared" ref="G70:G79" si="59">IF(SUM(B70,D70)&lt;L5,0,(SUM(B70,D70)-L5)/SUM(B70,D70))</f>
        <v>6.6474665480509107E-2</v>
      </c>
      <c r="H70" s="27">
        <f t="shared" ref="H70:H79" si="60">IF( SUM(B70,E70)&lt;O5, 0, (SUM(B70,E70)-O5)/SUM(B70,E70))</f>
        <v>4.2183965780969411E-2</v>
      </c>
      <c r="I70" s="54">
        <f t="shared" si="55"/>
        <v>0</v>
      </c>
      <c r="J70" s="32">
        <f t="shared" si="56"/>
        <v>37518.307798473543</v>
      </c>
      <c r="K70" s="34">
        <f t="shared" si="57"/>
        <v>12073.042154393564</v>
      </c>
      <c r="L70" s="19"/>
      <c r="M70" s="19"/>
      <c r="N70" s="19"/>
    </row>
    <row r="71" spans="1:17" x14ac:dyDescent="0.45">
      <c r="A71" s="15" t="s">
        <v>16</v>
      </c>
      <c r="B71" s="24">
        <f t="shared" si="51"/>
        <v>9245.5731598475995</v>
      </c>
      <c r="C71" s="25">
        <f t="shared" si="52"/>
        <v>30157.046388167997</v>
      </c>
      <c r="D71" s="25">
        <f t="shared" si="53"/>
        <v>15132.687779999998</v>
      </c>
      <c r="E71" s="38">
        <f t="shared" si="54"/>
        <v>3015.7046388168001</v>
      </c>
      <c r="F71" s="41">
        <f t="shared" si="58"/>
        <v>0.43989909470088862</v>
      </c>
      <c r="G71" s="26">
        <f t="shared" si="59"/>
        <v>0.67862709780638775</v>
      </c>
      <c r="H71" s="27">
        <f t="shared" si="60"/>
        <v>0.66755908585286206</v>
      </c>
      <c r="I71" s="54">
        <f t="shared" si="55"/>
        <v>4645291.34702818</v>
      </c>
      <c r="J71" s="32">
        <f t="shared" si="56"/>
        <v>4433724.5902750604</v>
      </c>
      <c r="K71" s="34">
        <f t="shared" si="57"/>
        <v>2193614.142842059</v>
      </c>
      <c r="L71" s="19"/>
      <c r="M71" s="19"/>
      <c r="N71" s="19"/>
    </row>
    <row r="72" spans="1:17" x14ac:dyDescent="0.45">
      <c r="A72" s="15" t="s">
        <v>17</v>
      </c>
      <c r="B72" s="24">
        <f t="shared" si="51"/>
        <v>3098.6858866175999</v>
      </c>
      <c r="C72" s="25">
        <f t="shared" si="52"/>
        <v>5505.7663631999994</v>
      </c>
      <c r="D72" s="25">
        <f t="shared" si="53"/>
        <v>2762.7719999999995</v>
      </c>
      <c r="E72" s="38">
        <f t="shared" si="54"/>
        <v>550.57663631999992</v>
      </c>
      <c r="F72" s="41">
        <f t="shared" si="58"/>
        <v>0</v>
      </c>
      <c r="G72" s="26">
        <f t="shared" si="59"/>
        <v>0.44125226260562478</v>
      </c>
      <c r="H72" s="27">
        <f t="shared" si="60"/>
        <v>0.53306702675138384</v>
      </c>
      <c r="I72" s="54">
        <f t="shared" si="55"/>
        <v>0</v>
      </c>
      <c r="J72" s="32">
        <f t="shared" si="56"/>
        <v>693150.25664287666</v>
      </c>
      <c r="K72" s="34">
        <f t="shared" si="57"/>
        <v>521340.80814727675</v>
      </c>
      <c r="L72" s="19"/>
      <c r="M72" s="19"/>
      <c r="N72" s="19"/>
    </row>
    <row r="73" spans="1:17" x14ac:dyDescent="0.45">
      <c r="A73" t="s">
        <v>18</v>
      </c>
      <c r="B73" s="24">
        <f t="shared" si="51"/>
        <v>408.05827494479996</v>
      </c>
      <c r="C73" s="25">
        <f t="shared" si="52"/>
        <v>525.5640856</v>
      </c>
      <c r="D73" s="25">
        <f t="shared" si="53"/>
        <v>263.726</v>
      </c>
      <c r="E73" s="38">
        <f t="shared" si="54"/>
        <v>52.556408560000001</v>
      </c>
      <c r="F73" s="41">
        <f t="shared" si="58"/>
        <v>9.7980494481109195E-2</v>
      </c>
      <c r="G73" s="26">
        <f t="shared" si="59"/>
        <v>0.55498162252076377</v>
      </c>
      <c r="H73" s="27">
        <f t="shared" si="60"/>
        <v>0.6623177558811385</v>
      </c>
      <c r="I73" s="54">
        <f t="shared" si="55"/>
        <v>24515.777186006377</v>
      </c>
      <c r="J73" s="32">
        <f t="shared" si="56"/>
        <v>99917.884407270409</v>
      </c>
      <c r="K73" s="34">
        <f t="shared" si="57"/>
        <v>81759.639979286396</v>
      </c>
      <c r="L73" s="19"/>
      <c r="M73" s="19"/>
      <c r="N73" s="19"/>
    </row>
    <row r="74" spans="1:17" x14ac:dyDescent="0.45">
      <c r="A74" t="s">
        <v>19</v>
      </c>
      <c r="B74" s="24">
        <f t="shared" si="51"/>
        <v>1034.9885788475999</v>
      </c>
      <c r="C74" s="25">
        <f t="shared" si="52"/>
        <v>1939.0506047999997</v>
      </c>
      <c r="D74" s="25">
        <f t="shared" si="53"/>
        <v>973.00799999999981</v>
      </c>
      <c r="E74" s="38">
        <f t="shared" si="54"/>
        <v>193.90506047999997</v>
      </c>
      <c r="F74" s="41">
        <f t="shared" si="58"/>
        <v>0</v>
      </c>
      <c r="G74" s="26">
        <f t="shared" si="59"/>
        <v>0.36681116011179316</v>
      </c>
      <c r="H74" s="27">
        <f t="shared" si="60"/>
        <v>0.46170524540923702</v>
      </c>
      <c r="I74" s="54">
        <f t="shared" si="55"/>
        <v>0</v>
      </c>
      <c r="J74" s="32">
        <f t="shared" si="56"/>
        <v>197396.88862947674</v>
      </c>
      <c r="K74" s="34">
        <f t="shared" si="57"/>
        <v>152059.61933979677</v>
      </c>
      <c r="L74" s="19"/>
      <c r="M74" s="19"/>
      <c r="N74" s="19"/>
    </row>
    <row r="75" spans="1:17" x14ac:dyDescent="0.45">
      <c r="A75" t="s">
        <v>20</v>
      </c>
      <c r="B75" s="24">
        <f t="shared" si="51"/>
        <v>369.76438742040006</v>
      </c>
      <c r="C75" s="25">
        <f t="shared" si="52"/>
        <v>956.34863519999988</v>
      </c>
      <c r="D75" s="25">
        <f t="shared" si="53"/>
        <v>479.89199999999994</v>
      </c>
      <c r="E75" s="38">
        <f t="shared" si="54"/>
        <v>95.634863519999996</v>
      </c>
      <c r="F75" s="41">
        <f t="shared" si="58"/>
        <v>0.15641104421894644</v>
      </c>
      <c r="G75" s="26">
        <f t="shared" si="59"/>
        <v>0.53260000360180304</v>
      </c>
      <c r="H75" s="27">
        <f t="shared" si="60"/>
        <v>0.55603925106776753</v>
      </c>
      <c r="I75" s="54">
        <f t="shared" si="55"/>
        <v>55588.217662267227</v>
      </c>
      <c r="J75" s="32">
        <f t="shared" si="56"/>
        <v>121277.23466010722</v>
      </c>
      <c r="K75" s="34">
        <f t="shared" si="57"/>
        <v>69353.107252027214</v>
      </c>
      <c r="L75" s="19"/>
      <c r="M75" s="19"/>
      <c r="N75" s="19"/>
    </row>
    <row r="76" spans="1:17" x14ac:dyDescent="0.45">
      <c r="A76" t="s">
        <v>21</v>
      </c>
      <c r="B76" s="24">
        <f t="shared" si="51"/>
        <v>990.38748172379997</v>
      </c>
      <c r="C76" s="25">
        <f t="shared" si="52"/>
        <v>1358.9304935999999</v>
      </c>
      <c r="D76" s="25">
        <f t="shared" si="53"/>
        <v>681.90599999999995</v>
      </c>
      <c r="E76" s="38">
        <f t="shared" si="54"/>
        <v>135.89304935999999</v>
      </c>
      <c r="F76" s="41">
        <f t="shared" si="58"/>
        <v>0</v>
      </c>
      <c r="G76" s="26">
        <f t="shared" si="59"/>
        <v>0.27705537386548434</v>
      </c>
      <c r="H76" s="27">
        <f t="shared" si="60"/>
        <v>0.44151800316150619</v>
      </c>
      <c r="I76" s="54">
        <f t="shared" si="55"/>
        <v>0</v>
      </c>
      <c r="J76" s="32">
        <f t="shared" si="56"/>
        <v>124169.19607220237</v>
      </c>
      <c r="K76" s="34">
        <f t="shared" si="57"/>
        <v>133269.19913045841</v>
      </c>
      <c r="L76" s="19"/>
      <c r="M76" s="19"/>
      <c r="N76" s="19"/>
    </row>
    <row r="77" spans="1:17" x14ac:dyDescent="0.45">
      <c r="A77" t="s">
        <v>22</v>
      </c>
      <c r="B77" s="24">
        <f t="shared" si="51"/>
        <v>1020.4068867008592</v>
      </c>
      <c r="C77" s="25">
        <f t="shared" si="52"/>
        <v>2154.0383327999998</v>
      </c>
      <c r="D77" s="25">
        <f t="shared" si="53"/>
        <v>1080.8879999999999</v>
      </c>
      <c r="E77" s="38">
        <f t="shared" si="54"/>
        <v>215.40383327999999</v>
      </c>
      <c r="F77" s="41">
        <f t="shared" si="58"/>
        <v>0</v>
      </c>
      <c r="G77" s="26">
        <f t="shared" si="59"/>
        <v>0.27186107861603709</v>
      </c>
      <c r="H77" s="27">
        <f t="shared" si="60"/>
        <v>0.35584925172656734</v>
      </c>
      <c r="I77" s="54">
        <f t="shared" si="55"/>
        <v>0</v>
      </c>
      <c r="J77" s="32">
        <f t="shared" si="56"/>
        <v>153097.75889621419</v>
      </c>
      <c r="K77" s="34">
        <f t="shared" si="57"/>
        <v>117856.30175487025</v>
      </c>
      <c r="L77" s="19"/>
      <c r="M77" s="19"/>
      <c r="N77" s="19"/>
    </row>
    <row r="78" spans="1:17" x14ac:dyDescent="0.45">
      <c r="A78" t="s">
        <v>23</v>
      </c>
      <c r="B78" s="24">
        <f t="shared" si="51"/>
        <v>710.84784804274079</v>
      </c>
      <c r="C78" s="25">
        <f t="shared" si="52"/>
        <v>1538.4336879999998</v>
      </c>
      <c r="D78" s="25">
        <f t="shared" si="53"/>
        <v>771.9799999999999</v>
      </c>
      <c r="E78" s="38">
        <f t="shared" si="54"/>
        <v>153.84336880000001</v>
      </c>
      <c r="F78" s="41">
        <f t="shared" si="58"/>
        <v>0</v>
      </c>
      <c r="G78" s="26">
        <f t="shared" si="59"/>
        <v>0.28119053315939768</v>
      </c>
      <c r="H78" s="27">
        <f t="shared" si="60"/>
        <v>0.35866978963329166</v>
      </c>
      <c r="I78" s="54">
        <f t="shared" si="55"/>
        <v>0</v>
      </c>
      <c r="J78" s="32">
        <f t="shared" si="56"/>
        <v>111744.51705083047</v>
      </c>
      <c r="K78" s="34">
        <f t="shared" si="57"/>
        <v>83117.149313854534</v>
      </c>
      <c r="L78" s="19"/>
      <c r="M78" s="19"/>
      <c r="N78" s="19"/>
    </row>
    <row r="79" spans="1:17" ht="14.65" thickBot="1" x14ac:dyDescent="0.5">
      <c r="A79" t="s">
        <v>24</v>
      </c>
      <c r="B79" s="28">
        <f t="shared" si="51"/>
        <v>755.73696771540017</v>
      </c>
      <c r="C79" s="29">
        <f t="shared" si="52"/>
        <v>1659.7514940799999</v>
      </c>
      <c r="D79" s="29">
        <f t="shared" ref="D79" si="61">C79*grid_2030</f>
        <v>832.85679999999991</v>
      </c>
      <c r="E79" s="39">
        <f t="shared" ref="E79" si="62">C79*grid_2050</f>
        <v>165.97514940799999</v>
      </c>
      <c r="F79" s="42">
        <f t="shared" si="58"/>
        <v>0</v>
      </c>
      <c r="G79" s="30">
        <f t="shared" si="59"/>
        <v>0</v>
      </c>
      <c r="H79" s="31">
        <f t="shared" si="60"/>
        <v>1.6467741761680737E-2</v>
      </c>
      <c r="I79" s="55">
        <f t="shared" si="55"/>
        <v>0</v>
      </c>
      <c r="J79" s="33">
        <f t="shared" si="56"/>
        <v>0</v>
      </c>
      <c r="K79" s="35">
        <f t="shared" si="57"/>
        <v>4067.8425890712492</v>
      </c>
      <c r="L79" s="19"/>
      <c r="M79" s="19"/>
      <c r="N79" s="19"/>
    </row>
    <row r="80" spans="1:17" x14ac:dyDescent="0.45">
      <c r="B80" s="19"/>
      <c r="C80" s="19"/>
      <c r="D80" s="19"/>
      <c r="E80" s="19"/>
      <c r="F80" s="19"/>
      <c r="G80" s="19"/>
      <c r="H80" s="19"/>
      <c r="I80" s="105">
        <f>SUM(I69:I79)</f>
        <v>4725395.3418764537</v>
      </c>
      <c r="J80" s="105">
        <f>SUM(J69:J79)</f>
        <v>6169267.7632656544</v>
      </c>
      <c r="K80" s="105">
        <f>SUM(K69:K79)</f>
        <v>3534040.0726008117</v>
      </c>
      <c r="L80" s="21" t="s">
        <v>39</v>
      </c>
      <c r="M80" s="21"/>
      <c r="N80" s="21"/>
    </row>
    <row r="81" spans="1:14" x14ac:dyDescent="0.45">
      <c r="A81" t="s">
        <v>26</v>
      </c>
      <c r="B81" s="25">
        <f>(C16*steam*kbtu_mlb)</f>
        <v>19473.972874984196</v>
      </c>
      <c r="C81" s="25">
        <f>D16*elec</f>
        <v>49989.040138247998</v>
      </c>
      <c r="D81" s="25">
        <f>C81*grid_2030</f>
        <v>25084.30458</v>
      </c>
      <c r="E81" s="25">
        <f t="shared" ref="E81" si="63">C81*0.1</f>
        <v>4998.9040138248001</v>
      </c>
      <c r="F81" s="26">
        <f t="shared" ref="F81" si="64">IF(SUM(B81:C81)&lt;K16,0,(SUM(B81:C81)-K16)/SUM(B81:C81))</f>
        <v>0.12030167870259738</v>
      </c>
      <c r="G81" s="26">
        <f t="shared" ref="G81" si="65">IF(SUM(B81,D81)&lt;L16,0,(SUM(B81,D81)-L16)/SUM(B81,D81))</f>
        <v>0.51316746643648514</v>
      </c>
      <c r="H81" s="26">
        <f t="shared" ref="H81" si="66">IF( SUM(B81,E81)&lt;O16, 0, (SUM(B81,E81)-O16)/SUM(B81,E81))</f>
        <v>0.53882985432084785</v>
      </c>
      <c r="I81" s="32">
        <f>IF((K16&gt;SUM(B81:C81)),0, (SUM(B81:C81)-K16)*fine)</f>
        <v>2239546.5756262299</v>
      </c>
      <c r="J81" s="32">
        <f>IF((L16&gt;SUM(B81,D81)),0,(SUM(B81,D81)-L16)*fine)</f>
        <v>6128050.0378933167</v>
      </c>
      <c r="K81" s="71">
        <f>IF((O16&gt;SUM(B81,E81)),0,(SUM(B81,E81)-O16)*fine)</f>
        <v>3534040.0726008113</v>
      </c>
      <c r="L81" s="19" t="s">
        <v>40</v>
      </c>
      <c r="M81" s="19"/>
      <c r="N81" s="19"/>
    </row>
    <row r="82" spans="1:14" x14ac:dyDescent="0.45">
      <c r="B82" s="19"/>
      <c r="C82" s="5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 x14ac:dyDescent="0.45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 spans="1:14" x14ac:dyDescent="0.45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x14ac:dyDescent="0.45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1:14" x14ac:dyDescent="0.45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1:14" x14ac:dyDescent="0.45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</sheetData>
  <mergeCells count="7">
    <mergeCell ref="C2:J2"/>
    <mergeCell ref="K2:O2"/>
    <mergeCell ref="B67:E67"/>
    <mergeCell ref="F67:H67"/>
    <mergeCell ref="B35:E35"/>
    <mergeCell ref="F35:H35"/>
    <mergeCell ref="B51:E5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620E-CDEC-4CBB-B125-4BE56E2B92AA}">
  <dimension ref="A2:E16"/>
  <sheetViews>
    <sheetView workbookViewId="0">
      <pane xSplit="1" topLeftCell="B1" activePane="topRight" state="frozen"/>
      <selection pane="topRight" activeCell="H21" sqref="H21"/>
    </sheetView>
  </sheetViews>
  <sheetFormatPr defaultRowHeight="14.25" x14ac:dyDescent="0.45"/>
  <cols>
    <col min="1" max="1" width="17.73046875" customWidth="1"/>
    <col min="2" max="4" width="12.19921875" bestFit="1" customWidth="1"/>
    <col min="5" max="5" width="15.53125" customWidth="1"/>
  </cols>
  <sheetData>
    <row r="2" spans="1:5" x14ac:dyDescent="0.45">
      <c r="A2" s="15"/>
      <c r="B2" t="s">
        <v>3</v>
      </c>
      <c r="C2" t="s">
        <v>5</v>
      </c>
      <c r="D2" t="s">
        <v>7</v>
      </c>
      <c r="E2" t="s">
        <v>9</v>
      </c>
    </row>
    <row r="3" spans="1:5" x14ac:dyDescent="0.45">
      <c r="A3" s="15" t="s">
        <v>14</v>
      </c>
      <c r="B3" s="11">
        <v>19199.210000000003</v>
      </c>
      <c r="C3" s="11">
        <v>17186.05</v>
      </c>
      <c r="D3" s="11">
        <v>12307.33</v>
      </c>
      <c r="E3" s="11">
        <v>13085.010000000002</v>
      </c>
    </row>
    <row r="4" spans="1:5" x14ac:dyDescent="0.45">
      <c r="A4" s="15" t="s">
        <v>15</v>
      </c>
      <c r="B4" s="11">
        <v>15090.56</v>
      </c>
      <c r="C4" s="11">
        <v>13869.8</v>
      </c>
      <c r="D4" s="11">
        <v>10831.21</v>
      </c>
      <c r="E4" s="11">
        <v>10404.58</v>
      </c>
    </row>
    <row r="5" spans="1:5" x14ac:dyDescent="0.45">
      <c r="A5" s="15" t="s">
        <v>16</v>
      </c>
      <c r="B5" s="11">
        <v>172342.78</v>
      </c>
      <c r="C5" s="11">
        <v>140689.78999999998</v>
      </c>
      <c r="D5" s="11">
        <v>117109.90999999997</v>
      </c>
      <c r="E5" s="11">
        <v>112920.4</v>
      </c>
    </row>
    <row r="6" spans="1:5" x14ac:dyDescent="0.45">
      <c r="A6" s="15" t="s">
        <v>17</v>
      </c>
      <c r="B6" s="11">
        <v>57761.279999999999</v>
      </c>
      <c r="C6" s="11">
        <v>52828.13</v>
      </c>
      <c r="D6" s="11">
        <v>45233.15</v>
      </c>
      <c r="E6" s="11">
        <v>46863.199999999997</v>
      </c>
    </row>
    <row r="7" spans="1:5" x14ac:dyDescent="0.45">
      <c r="A7" s="15" t="s">
        <v>18</v>
      </c>
      <c r="B7" s="11">
        <v>7606.44</v>
      </c>
      <c r="C7" s="11">
        <v>8911.81</v>
      </c>
      <c r="D7" s="11">
        <v>6774.16</v>
      </c>
      <c r="E7" s="11">
        <v>6439.48</v>
      </c>
    </row>
    <row r="8" spans="1:5" x14ac:dyDescent="0.45">
      <c r="A8" s="15" t="s">
        <v>19</v>
      </c>
      <c r="B8" s="11">
        <v>19292.78</v>
      </c>
      <c r="C8" s="11">
        <v>22675.57</v>
      </c>
      <c r="D8" s="11">
        <v>17781.59</v>
      </c>
      <c r="E8" s="11">
        <v>14896.849999999999</v>
      </c>
    </row>
    <row r="9" spans="1:5" x14ac:dyDescent="0.45">
      <c r="A9" s="15" t="s">
        <v>20</v>
      </c>
      <c r="B9" s="11">
        <v>6892.6200000000008</v>
      </c>
      <c r="C9" s="11">
        <v>6952.23</v>
      </c>
      <c r="D9" s="11">
        <v>5202.58</v>
      </c>
      <c r="E9" s="11">
        <v>3981.37</v>
      </c>
    </row>
    <row r="10" spans="1:5" x14ac:dyDescent="0.45">
      <c r="A10" s="15" t="s">
        <v>21</v>
      </c>
      <c r="B10" s="11">
        <v>18461.39</v>
      </c>
      <c r="C10" s="11">
        <v>17882.849999999999</v>
      </c>
      <c r="D10" s="11">
        <v>17206.48</v>
      </c>
      <c r="E10" s="11">
        <v>17403.329999999998</v>
      </c>
    </row>
    <row r="11" spans="1:5" x14ac:dyDescent="0.45">
      <c r="A11" s="15" t="s">
        <v>52</v>
      </c>
      <c r="B11" s="11">
        <v>32271.58</v>
      </c>
      <c r="C11" s="11">
        <v>33654.370000000003</v>
      </c>
      <c r="D11" s="11">
        <v>26816.68</v>
      </c>
      <c r="E11" s="11">
        <v>27080.53</v>
      </c>
    </row>
    <row r="12" spans="1:5" x14ac:dyDescent="0.45">
      <c r="A12" s="15"/>
    </row>
    <row r="13" spans="1:5" x14ac:dyDescent="0.45">
      <c r="A13" s="15"/>
    </row>
    <row r="14" spans="1:5" x14ac:dyDescent="0.45">
      <c r="A14" s="15" t="s">
        <v>53</v>
      </c>
      <c r="B14" s="11">
        <f>SUM(B3:B11)</f>
        <v>348918.63999999996</v>
      </c>
      <c r="C14" s="11">
        <f>SUM(C3:C11)</f>
        <v>314650.59999999998</v>
      </c>
      <c r="D14" s="11">
        <f>SUM(D3:D11)</f>
        <v>259263.08999999997</v>
      </c>
      <c r="E14" s="11">
        <f>SUM(E3:E11)</f>
        <v>253074.75</v>
      </c>
    </row>
    <row r="15" spans="1:5" x14ac:dyDescent="0.45">
      <c r="A15" s="15"/>
    </row>
    <row r="16" spans="1:5" x14ac:dyDescent="0.45">
      <c r="A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FD88-89AA-4E9F-A8B4-38EBC7D51487}">
  <dimension ref="A2:E23"/>
  <sheetViews>
    <sheetView workbookViewId="0">
      <pane xSplit="1" topLeftCell="B1" activePane="topRight" state="frozen"/>
      <selection pane="topRight" activeCell="B15" sqref="B15"/>
    </sheetView>
  </sheetViews>
  <sheetFormatPr defaultRowHeight="14.25" x14ac:dyDescent="0.45"/>
  <cols>
    <col min="1" max="1" width="29.46484375" customWidth="1"/>
    <col min="2" max="2" width="15.46484375" customWidth="1"/>
    <col min="3" max="3" width="13" customWidth="1"/>
    <col min="4" max="4" width="14.19921875" customWidth="1"/>
    <col min="5" max="5" width="13" customWidth="1"/>
  </cols>
  <sheetData>
    <row r="2" spans="1:5" x14ac:dyDescent="0.45">
      <c r="B2" t="s">
        <v>4</v>
      </c>
      <c r="C2" t="s">
        <v>6</v>
      </c>
      <c r="D2" t="s">
        <v>8</v>
      </c>
      <c r="E2" t="s">
        <v>10</v>
      </c>
    </row>
    <row r="3" spans="1:5" x14ac:dyDescent="0.45">
      <c r="A3" t="s">
        <v>14</v>
      </c>
      <c r="B3" s="14">
        <v>5573600</v>
      </c>
      <c r="C3" s="14">
        <v>4941600</v>
      </c>
      <c r="D3" s="14">
        <v>3885600</v>
      </c>
      <c r="E3" s="14">
        <v>3983200</v>
      </c>
    </row>
    <row r="4" spans="1:5" x14ac:dyDescent="0.45">
      <c r="A4" t="s">
        <v>15</v>
      </c>
      <c r="B4" s="14">
        <v>8940800</v>
      </c>
      <c r="C4" s="14">
        <v>8340800</v>
      </c>
      <c r="D4" s="14">
        <v>6860000</v>
      </c>
      <c r="E4" s="14">
        <v>7150400</v>
      </c>
    </row>
    <row r="5" spans="1:5" x14ac:dyDescent="0.45">
      <c r="A5" t="s">
        <v>16</v>
      </c>
      <c r="B5" s="14">
        <v>38390160</v>
      </c>
      <c r="C5" s="14">
        <v>38301120</v>
      </c>
      <c r="D5" s="14">
        <v>29725760</v>
      </c>
      <c r="E5" s="14">
        <v>29362080</v>
      </c>
    </row>
    <row r="6" spans="1:5" x14ac:dyDescent="0.45">
      <c r="A6" t="s">
        <v>17</v>
      </c>
      <c r="B6" s="14">
        <v>19053600</v>
      </c>
      <c r="C6" s="14">
        <v>19230400</v>
      </c>
      <c r="D6" s="14">
        <v>14853600</v>
      </c>
      <c r="E6" s="14">
        <v>14758400</v>
      </c>
    </row>
    <row r="7" spans="1:5" x14ac:dyDescent="0.45">
      <c r="A7" t="s">
        <v>18</v>
      </c>
      <c r="B7" s="14">
        <v>1818800</v>
      </c>
      <c r="C7" s="14">
        <v>1740000</v>
      </c>
      <c r="D7" s="14">
        <v>1430800</v>
      </c>
      <c r="E7" s="14">
        <v>1296800</v>
      </c>
    </row>
    <row r="8" spans="1:5" x14ac:dyDescent="0.45">
      <c r="A8" t="s">
        <v>19</v>
      </c>
      <c r="B8" s="14">
        <v>6710400</v>
      </c>
      <c r="C8" s="14">
        <v>6523200</v>
      </c>
      <c r="D8" s="14">
        <v>4840800</v>
      </c>
      <c r="E8" s="14">
        <v>3281600</v>
      </c>
    </row>
    <row r="9" spans="1:5" x14ac:dyDescent="0.45">
      <c r="A9" t="s">
        <v>20</v>
      </c>
      <c r="B9" s="14">
        <v>3309600</v>
      </c>
      <c r="C9" s="14">
        <v>3189600</v>
      </c>
      <c r="D9" s="14">
        <v>2278400</v>
      </c>
      <c r="E9" s="14">
        <v>2342480</v>
      </c>
    </row>
    <row r="10" spans="1:5" x14ac:dyDescent="0.45">
      <c r="A10" t="s">
        <v>21</v>
      </c>
      <c r="B10" s="14">
        <v>4702800</v>
      </c>
      <c r="C10" s="14">
        <v>4383200</v>
      </c>
      <c r="D10" s="14">
        <v>3418000</v>
      </c>
      <c r="E10" s="14">
        <v>3217600</v>
      </c>
    </row>
    <row r="11" spans="1:5" x14ac:dyDescent="0.45">
      <c r="A11" t="s">
        <v>22</v>
      </c>
      <c r="B11" s="14">
        <v>7454400</v>
      </c>
      <c r="C11" s="14">
        <v>7284800</v>
      </c>
      <c r="D11" s="14">
        <v>5735600</v>
      </c>
      <c r="E11" s="14">
        <v>5387200</v>
      </c>
    </row>
    <row r="12" spans="1:5" x14ac:dyDescent="0.45">
      <c r="A12" t="s">
        <v>23</v>
      </c>
      <c r="B12" s="14">
        <v>5324000</v>
      </c>
      <c r="C12" s="14">
        <v>5498400</v>
      </c>
      <c r="D12" s="14">
        <v>4772800</v>
      </c>
      <c r="E12" s="14">
        <v>4960000</v>
      </c>
    </row>
    <row r="13" spans="1:5" x14ac:dyDescent="0.45">
      <c r="A13" t="s">
        <v>54</v>
      </c>
      <c r="B13" s="14">
        <v>32990400</v>
      </c>
      <c r="C13" s="14">
        <v>33216000</v>
      </c>
      <c r="D13" s="14">
        <v>30028800</v>
      </c>
      <c r="E13" s="14">
        <v>29500800</v>
      </c>
    </row>
    <row r="14" spans="1:5" x14ac:dyDescent="0.45">
      <c r="A14" t="s">
        <v>55</v>
      </c>
      <c r="B14" s="11"/>
      <c r="C14" s="11"/>
      <c r="D14" s="11"/>
      <c r="E14" s="11"/>
    </row>
    <row r="15" spans="1:5" x14ac:dyDescent="0.45">
      <c r="A15" t="s">
        <v>56</v>
      </c>
      <c r="B15" s="11">
        <v>306240</v>
      </c>
      <c r="C15" s="11">
        <v>206240</v>
      </c>
      <c r="D15" s="11">
        <v>218400</v>
      </c>
      <c r="E15" s="11">
        <v>240340</v>
      </c>
    </row>
    <row r="16" spans="1:5" x14ac:dyDescent="0.45">
      <c r="A16" t="s">
        <v>57</v>
      </c>
    </row>
    <row r="17" spans="1:5" x14ac:dyDescent="0.45">
      <c r="A17" t="s">
        <v>58</v>
      </c>
    </row>
    <row r="18" spans="1:5" x14ac:dyDescent="0.45">
      <c r="A18" t="s">
        <v>59</v>
      </c>
    </row>
    <row r="19" spans="1:5" x14ac:dyDescent="0.45">
      <c r="A19" t="s">
        <v>60</v>
      </c>
      <c r="B19" s="11">
        <v>412960</v>
      </c>
      <c r="C19" s="11">
        <v>290560</v>
      </c>
      <c r="D19" s="11">
        <v>296050</v>
      </c>
      <c r="E19" s="11">
        <v>344160</v>
      </c>
    </row>
    <row r="20" spans="1:5" x14ac:dyDescent="0.45">
      <c r="A20" t="s">
        <v>61</v>
      </c>
    </row>
    <row r="23" spans="1:5" x14ac:dyDescent="0.45">
      <c r="A23" t="s">
        <v>53</v>
      </c>
      <c r="B23" s="14">
        <f>SUM(B3:B18)</f>
        <v>134574800</v>
      </c>
      <c r="C23" s="14">
        <f>SUM(C3:C18)</f>
        <v>132855360</v>
      </c>
      <c r="D23" s="14">
        <f>SUM(D3:D18)</f>
        <v>108048560</v>
      </c>
      <c r="E23" s="14">
        <f>SUM(E3:E18)</f>
        <v>105480900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8A9C-F745-4FD9-A09C-427BDCADA20B}">
  <dimension ref="A2:BC105"/>
  <sheetViews>
    <sheetView workbookViewId="0">
      <selection activeCell="D17" sqref="D17"/>
    </sheetView>
  </sheetViews>
  <sheetFormatPr defaultRowHeight="14.25" x14ac:dyDescent="0.45"/>
  <cols>
    <col min="1" max="1" width="22.796875" customWidth="1"/>
    <col min="2" max="2" width="21.19921875" customWidth="1"/>
    <col min="3" max="3" width="14.73046875" customWidth="1"/>
    <col min="4" max="4" width="16.46484375" customWidth="1"/>
    <col min="5" max="5" width="14.796875" customWidth="1"/>
    <col min="6" max="6" width="17.796875" customWidth="1"/>
    <col min="7" max="7" width="12.265625" customWidth="1"/>
    <col min="8" max="8" width="14.796875" customWidth="1"/>
    <col min="9" max="9" width="14.46484375" customWidth="1"/>
    <col min="10" max="10" width="15.19921875" customWidth="1"/>
    <col min="11" max="11" width="13.265625" customWidth="1"/>
    <col min="12" max="12" width="11.19921875" customWidth="1"/>
    <col min="13" max="13" width="12" customWidth="1"/>
    <col min="15" max="15" width="17.19921875" customWidth="1"/>
    <col min="16" max="16" width="9.796875" customWidth="1"/>
    <col min="17" max="17" width="10.796875" customWidth="1"/>
    <col min="18" max="18" width="10.265625" customWidth="1"/>
    <col min="21" max="21" width="11.46484375" customWidth="1"/>
    <col min="22" max="22" width="16.19921875" customWidth="1"/>
    <col min="23" max="23" width="13.796875" customWidth="1"/>
    <col min="24" max="24" width="12.265625" customWidth="1"/>
    <col min="32" max="32" width="13.53125" bestFit="1" customWidth="1"/>
    <col min="33" max="33" width="14.46484375" customWidth="1"/>
    <col min="34" max="34" width="15.796875" customWidth="1"/>
    <col min="42" max="42" width="12.53125" bestFit="1" customWidth="1"/>
    <col min="43" max="43" width="16.46484375" customWidth="1"/>
    <col min="44" max="44" width="18.46484375" customWidth="1"/>
    <col min="52" max="52" width="12.53125" bestFit="1" customWidth="1"/>
    <col min="53" max="53" width="13.46484375" customWidth="1"/>
    <col min="54" max="54" width="14.73046875" customWidth="1"/>
  </cols>
  <sheetData>
    <row r="2" spans="1:55" ht="14.65" thickBot="1" x14ac:dyDescent="0.5"/>
    <row r="3" spans="1:55" ht="23.2" customHeight="1" thickBot="1" x14ac:dyDescent="0.5">
      <c r="B3" s="129" t="s">
        <v>62</v>
      </c>
      <c r="C3" s="127"/>
      <c r="D3" s="127"/>
      <c r="E3" s="127"/>
      <c r="F3" s="127"/>
      <c r="G3" s="127"/>
      <c r="H3" s="127"/>
      <c r="I3" s="127"/>
      <c r="J3" s="128"/>
      <c r="K3" s="129" t="s">
        <v>1</v>
      </c>
      <c r="L3" s="127"/>
      <c r="M3" s="128"/>
    </row>
    <row r="4" spans="1:55" x14ac:dyDescent="0.45">
      <c r="B4" s="60" t="s">
        <v>2</v>
      </c>
      <c r="C4" s="56" t="s">
        <v>3</v>
      </c>
      <c r="D4" s="56" t="s">
        <v>4</v>
      </c>
      <c r="E4" s="56" t="s">
        <v>5</v>
      </c>
      <c r="F4" s="56" t="s">
        <v>6</v>
      </c>
      <c r="G4" s="56" t="s">
        <v>7</v>
      </c>
      <c r="H4" s="56" t="s">
        <v>8</v>
      </c>
      <c r="I4" s="56" t="s">
        <v>9</v>
      </c>
      <c r="J4" s="56" t="s">
        <v>10</v>
      </c>
      <c r="K4" s="60" t="s">
        <v>63</v>
      </c>
      <c r="L4" s="56" t="s">
        <v>64</v>
      </c>
      <c r="M4" s="57">
        <v>2050</v>
      </c>
    </row>
    <row r="5" spans="1:55" x14ac:dyDescent="0.45">
      <c r="A5" t="s">
        <v>65</v>
      </c>
      <c r="B5" s="50">
        <v>2911536</v>
      </c>
      <c r="C5" s="22">
        <f>'Tishman Steam'!B5</f>
        <v>172342.78</v>
      </c>
      <c r="D5" s="25">
        <f>SUM(D7:D9)</f>
        <v>104363364</v>
      </c>
      <c r="E5" s="22">
        <f>'Tishman Steam'!C5</f>
        <v>140689.78999999998</v>
      </c>
      <c r="F5" s="25">
        <f>SUM(F7:F9)</f>
        <v>103999526</v>
      </c>
      <c r="G5" s="22">
        <f>'Tishman Steam'!D5</f>
        <v>117109.90999999997</v>
      </c>
      <c r="H5" s="25">
        <f>SUM(H7:H9)</f>
        <v>89384610</v>
      </c>
      <c r="I5" s="22">
        <f>'Tishman Steam'!E5</f>
        <v>112920.4</v>
      </c>
      <c r="J5" s="59">
        <f>SUM(J7:J9)</f>
        <v>85591180</v>
      </c>
      <c r="K5" s="50">
        <f>B5*lim_24</f>
        <v>22069.442879999999</v>
      </c>
      <c r="L5" s="22">
        <f>B5*lim_30</f>
        <v>7834.5124686720001</v>
      </c>
      <c r="M5" s="38">
        <f>B5*lim_50</f>
        <v>4076.1504</v>
      </c>
      <c r="BC5" s="15"/>
    </row>
    <row r="6" spans="1:55" x14ac:dyDescent="0.45">
      <c r="B6" s="50"/>
      <c r="C6" s="22"/>
      <c r="D6" s="59"/>
      <c r="E6" s="22"/>
      <c r="F6" s="59"/>
      <c r="G6" s="22"/>
      <c r="H6" s="59"/>
      <c r="I6" s="22"/>
      <c r="J6" s="59"/>
      <c r="K6" s="50"/>
      <c r="L6" s="22"/>
      <c r="M6" s="38"/>
      <c r="BC6" s="15"/>
    </row>
    <row r="7" spans="1:55" x14ac:dyDescent="0.45">
      <c r="A7" s="15" t="s">
        <v>66</v>
      </c>
      <c r="B7" s="58"/>
      <c r="C7" s="61">
        <f>$B7/$B$5*C$5</f>
        <v>0</v>
      </c>
      <c r="D7" s="22">
        <f>SUM('Tishman Electric'!B5,'Tishman Electric'!B15,'Tishman Electric'!B19)</f>
        <v>39109360</v>
      </c>
      <c r="E7" s="61">
        <f>$B7/$B$5*E$5</f>
        <v>0</v>
      </c>
      <c r="F7" s="22">
        <f>SUM('Tishman Electric'!C5,'Tishman Electric'!C15,'Tishman Electric'!C19)</f>
        <v>38797920</v>
      </c>
      <c r="G7" s="61">
        <f>$B7/$B$5*G$5</f>
        <v>0</v>
      </c>
      <c r="H7" s="22">
        <f>SUM('Tishman Electric'!D5,'Tishman Electric'!D15,'Tishman Electric'!D19)</f>
        <v>30240210</v>
      </c>
      <c r="I7" s="61">
        <f>$B7/$B$5*I$5</f>
        <v>0</v>
      </c>
      <c r="J7" s="22">
        <f>SUM('Tishman Electric'!E5,'Tishman Electric'!E15,'Tishman Electric'!E19)</f>
        <v>29946580</v>
      </c>
      <c r="K7" s="50"/>
      <c r="L7" s="22"/>
      <c r="M7" s="38"/>
      <c r="BC7" s="15"/>
    </row>
    <row r="8" spans="1:55" x14ac:dyDescent="0.45">
      <c r="A8" t="s">
        <v>67</v>
      </c>
      <c r="B8" s="43"/>
      <c r="C8" s="61">
        <f>$B8/$B$5*C$5</f>
        <v>0</v>
      </c>
      <c r="D8" s="20">
        <f>'NBC Energy'!I6</f>
        <v>32263604</v>
      </c>
      <c r="E8" s="61">
        <f>$B8/$B$5*E$5</f>
        <v>0</v>
      </c>
      <c r="F8" s="59">
        <f>'NBC Energy'!I5</f>
        <v>31985606</v>
      </c>
      <c r="G8" s="61">
        <f>$B8/$B$5*G$5</f>
        <v>0</v>
      </c>
      <c r="H8" s="59">
        <f>'NBC Energy'!I4</f>
        <v>29115600</v>
      </c>
      <c r="I8" s="61">
        <f>$B8/$B$5*I$5</f>
        <v>0</v>
      </c>
      <c r="J8" s="59">
        <f>'NBC Energy'!I3</f>
        <v>26143800</v>
      </c>
      <c r="K8" s="50"/>
      <c r="L8" s="22"/>
      <c r="M8" s="38"/>
      <c r="BC8" s="15"/>
    </row>
    <row r="9" spans="1:55" ht="14.65" thickBot="1" x14ac:dyDescent="0.5">
      <c r="A9" t="s">
        <v>54</v>
      </c>
      <c r="B9" s="62"/>
      <c r="C9" s="63"/>
      <c r="D9" s="64">
        <f>'Tishman Electric'!B13</f>
        <v>32990400</v>
      </c>
      <c r="E9" s="63"/>
      <c r="F9" s="64">
        <f>'Tishman Electric'!C13</f>
        <v>33216000</v>
      </c>
      <c r="G9" s="63"/>
      <c r="H9" s="64">
        <f>'Tishman Electric'!D13</f>
        <v>30028800</v>
      </c>
      <c r="I9" s="63"/>
      <c r="J9" s="64">
        <f>'Tishman Electric'!E13</f>
        <v>29500800</v>
      </c>
      <c r="K9" s="62"/>
      <c r="L9" s="63"/>
      <c r="M9" s="65"/>
      <c r="O9" s="9"/>
      <c r="Z9" s="9"/>
      <c r="AA9" s="9"/>
      <c r="AB9" s="9"/>
      <c r="AW9" s="15"/>
      <c r="AX9" s="15"/>
      <c r="AY9" s="15"/>
      <c r="AZ9" s="15"/>
      <c r="BA9" s="15"/>
      <c r="BB9" s="15"/>
      <c r="BC9" s="15"/>
    </row>
    <row r="11" spans="1:55" x14ac:dyDescent="0.45">
      <c r="AW11" s="15"/>
      <c r="AX11" s="15"/>
      <c r="AY11" s="15"/>
      <c r="AZ11" s="15"/>
      <c r="BA11" s="15"/>
      <c r="BB11" s="15"/>
      <c r="BC11" s="15"/>
    </row>
    <row r="12" spans="1:55" x14ac:dyDescent="0.45">
      <c r="AW12" s="15"/>
      <c r="AX12" s="15"/>
      <c r="AY12" s="15"/>
      <c r="AZ12" s="15"/>
      <c r="BA12" s="15"/>
      <c r="BB12" s="15"/>
      <c r="BC12" s="15"/>
    </row>
    <row r="13" spans="1:55" x14ac:dyDescent="0.45">
      <c r="E13" s="11"/>
      <c r="F13" s="11"/>
      <c r="H13" s="11"/>
    </row>
    <row r="14" spans="1:55" x14ac:dyDescent="0.45">
      <c r="E14" s="11"/>
      <c r="F14" s="11"/>
      <c r="H14" s="11"/>
    </row>
    <row r="15" spans="1:55" x14ac:dyDescent="0.45">
      <c r="E15" s="11"/>
      <c r="F15" s="11"/>
      <c r="H15" s="11"/>
    </row>
    <row r="16" spans="1:55" x14ac:dyDescent="0.45">
      <c r="E16" s="11"/>
      <c r="F16" s="11"/>
      <c r="H16" s="11"/>
    </row>
    <row r="17" spans="5:7" x14ac:dyDescent="0.45">
      <c r="E17" s="11"/>
      <c r="F17" s="11"/>
      <c r="G17" s="11"/>
    </row>
    <row r="18" spans="5:7" x14ac:dyDescent="0.45">
      <c r="E18" s="11"/>
      <c r="F18" s="11"/>
      <c r="G18" s="11"/>
    </row>
    <row r="19" spans="5:7" x14ac:dyDescent="0.45">
      <c r="E19" s="11"/>
      <c r="F19" s="11"/>
      <c r="G19" s="11"/>
    </row>
    <row r="20" spans="5:7" x14ac:dyDescent="0.45">
      <c r="E20" s="11"/>
      <c r="F20" s="11"/>
      <c r="G20" s="11"/>
    </row>
    <row r="21" spans="5:7" x14ac:dyDescent="0.45">
      <c r="E21" s="11"/>
      <c r="F21" s="11"/>
      <c r="G21" s="11"/>
    </row>
    <row r="22" spans="5:7" x14ac:dyDescent="0.45">
      <c r="E22" s="11"/>
      <c r="F22" s="11"/>
      <c r="G22" s="11"/>
    </row>
    <row r="23" spans="5:7" x14ac:dyDescent="0.45">
      <c r="E23" s="11"/>
      <c r="F23" s="11"/>
      <c r="G23" s="11"/>
    </row>
    <row r="24" spans="5:7" x14ac:dyDescent="0.45">
      <c r="E24" s="11"/>
      <c r="F24" s="11"/>
      <c r="G24" s="11"/>
    </row>
    <row r="25" spans="5:7" x14ac:dyDescent="0.45">
      <c r="E25" s="11"/>
      <c r="F25" s="11"/>
      <c r="G25" s="11"/>
    </row>
    <row r="26" spans="5:7" x14ac:dyDescent="0.45">
      <c r="E26" s="11"/>
      <c r="F26" s="11"/>
      <c r="G26" s="11"/>
    </row>
    <row r="27" spans="5:7" x14ac:dyDescent="0.45">
      <c r="E27" s="11"/>
      <c r="F27" s="11"/>
      <c r="G27" s="11"/>
    </row>
    <row r="28" spans="5:7" x14ac:dyDescent="0.45">
      <c r="E28" s="11"/>
      <c r="F28" s="11"/>
      <c r="G28" s="11"/>
    </row>
    <row r="29" spans="5:7" x14ac:dyDescent="0.45">
      <c r="E29" s="11"/>
      <c r="F29" s="11"/>
      <c r="G29" s="11"/>
    </row>
    <row r="30" spans="5:7" x14ac:dyDescent="0.45">
      <c r="E30" s="11"/>
      <c r="F30" s="11"/>
      <c r="G30" s="11"/>
    </row>
    <row r="31" spans="5:7" x14ac:dyDescent="0.45">
      <c r="E31" s="11"/>
      <c r="F31" s="11"/>
      <c r="G31" s="11"/>
    </row>
    <row r="32" spans="5:7" x14ac:dyDescent="0.45">
      <c r="E32" s="11"/>
      <c r="F32" s="11"/>
      <c r="G32" s="11"/>
    </row>
    <row r="33" spans="5:7" x14ac:dyDescent="0.45">
      <c r="E33" s="11"/>
      <c r="F33" s="11"/>
      <c r="G33" s="11"/>
    </row>
    <row r="34" spans="5:7" x14ac:dyDescent="0.45">
      <c r="E34" s="11"/>
      <c r="F34" s="11"/>
      <c r="G34" s="11"/>
    </row>
    <row r="35" spans="5:7" x14ac:dyDescent="0.45">
      <c r="E35" s="11"/>
      <c r="F35" s="11"/>
      <c r="G35" s="11"/>
    </row>
    <row r="36" spans="5:7" x14ac:dyDescent="0.45">
      <c r="E36" s="11"/>
      <c r="F36" s="11"/>
      <c r="G36" s="11"/>
    </row>
    <row r="37" spans="5:7" x14ac:dyDescent="0.45">
      <c r="E37" s="11"/>
      <c r="F37" s="11"/>
      <c r="G37" s="11"/>
    </row>
    <row r="38" spans="5:7" x14ac:dyDescent="0.45">
      <c r="E38" s="11"/>
      <c r="F38" s="11"/>
      <c r="G38" s="11"/>
    </row>
    <row r="39" spans="5:7" x14ac:dyDescent="0.45">
      <c r="E39" s="11"/>
      <c r="F39" s="11"/>
      <c r="G39" s="11"/>
    </row>
    <row r="40" spans="5:7" x14ac:dyDescent="0.45">
      <c r="E40" s="11"/>
      <c r="F40" s="11"/>
      <c r="G40" s="11"/>
    </row>
    <row r="41" spans="5:7" x14ac:dyDescent="0.45">
      <c r="E41" s="11"/>
      <c r="F41" s="11"/>
      <c r="G41" s="11"/>
    </row>
    <row r="42" spans="5:7" x14ac:dyDescent="0.45">
      <c r="E42" s="11"/>
      <c r="F42" s="11"/>
      <c r="G42" s="11"/>
    </row>
    <row r="43" spans="5:7" x14ac:dyDescent="0.45">
      <c r="E43" s="11"/>
      <c r="F43" s="11"/>
      <c r="G43" s="11"/>
    </row>
    <row r="44" spans="5:7" x14ac:dyDescent="0.45">
      <c r="E44" s="11"/>
      <c r="F44" s="11"/>
      <c r="G44" s="11"/>
    </row>
    <row r="45" spans="5:7" x14ac:dyDescent="0.45">
      <c r="E45" s="11"/>
      <c r="F45" s="11"/>
      <c r="G45" s="11"/>
    </row>
    <row r="46" spans="5:7" x14ac:dyDescent="0.45">
      <c r="E46" s="11"/>
      <c r="F46" s="11"/>
      <c r="G46" s="11"/>
    </row>
    <row r="47" spans="5:7" x14ac:dyDescent="0.45">
      <c r="E47" s="11"/>
      <c r="F47" s="11"/>
      <c r="G47" s="11"/>
    </row>
    <row r="48" spans="5:7" x14ac:dyDescent="0.45">
      <c r="E48" s="11"/>
      <c r="F48" s="11"/>
      <c r="G48" s="11"/>
    </row>
    <row r="49" spans="5:7" x14ac:dyDescent="0.45">
      <c r="E49" s="11"/>
      <c r="F49" s="11"/>
      <c r="G49" s="11"/>
    </row>
    <row r="50" spans="5:7" x14ac:dyDescent="0.45">
      <c r="E50" s="11"/>
      <c r="F50" s="11"/>
      <c r="G50" s="11"/>
    </row>
    <row r="51" spans="5:7" x14ac:dyDescent="0.45">
      <c r="E51" s="11"/>
      <c r="F51" s="11"/>
      <c r="G51" s="11"/>
    </row>
    <row r="52" spans="5:7" x14ac:dyDescent="0.45">
      <c r="E52" s="11"/>
      <c r="F52" s="11"/>
      <c r="G52" s="11"/>
    </row>
    <row r="53" spans="5:7" x14ac:dyDescent="0.45">
      <c r="E53" s="11"/>
      <c r="F53" s="11"/>
      <c r="G53" s="11"/>
    </row>
    <row r="54" spans="5:7" x14ac:dyDescent="0.45">
      <c r="E54" s="11"/>
      <c r="F54" s="11"/>
      <c r="G54" s="11"/>
    </row>
    <row r="55" spans="5:7" x14ac:dyDescent="0.45">
      <c r="E55" s="11"/>
      <c r="F55" s="11"/>
      <c r="G55" s="11"/>
    </row>
    <row r="56" spans="5:7" x14ac:dyDescent="0.45">
      <c r="E56" s="11"/>
      <c r="F56" s="11"/>
      <c r="G56" s="11"/>
    </row>
    <row r="57" spans="5:7" x14ac:dyDescent="0.45">
      <c r="E57" s="11"/>
      <c r="F57" s="11"/>
      <c r="G57" s="11"/>
    </row>
    <row r="58" spans="5:7" x14ac:dyDescent="0.45">
      <c r="E58" s="11"/>
      <c r="F58" s="11"/>
      <c r="G58" s="11"/>
    </row>
    <row r="59" spans="5:7" x14ac:dyDescent="0.45">
      <c r="E59" s="11"/>
      <c r="F59" s="11"/>
      <c r="G59" s="11"/>
    </row>
    <row r="60" spans="5:7" x14ac:dyDescent="0.45">
      <c r="E60" s="11"/>
      <c r="F60" s="11"/>
      <c r="G60" s="11"/>
    </row>
    <row r="61" spans="5:7" x14ac:dyDescent="0.45">
      <c r="E61" s="11"/>
      <c r="F61" s="11"/>
      <c r="G61" s="11"/>
    </row>
    <row r="62" spans="5:7" x14ac:dyDescent="0.45">
      <c r="E62" s="11"/>
      <c r="F62" s="11"/>
      <c r="G62" s="11"/>
    </row>
    <row r="63" spans="5:7" x14ac:dyDescent="0.45">
      <c r="E63" s="11"/>
      <c r="F63" s="11"/>
      <c r="G63" s="11"/>
    </row>
    <row r="64" spans="5:7" x14ac:dyDescent="0.45">
      <c r="E64" s="11"/>
      <c r="F64" s="11"/>
      <c r="G64" s="11"/>
    </row>
    <row r="65" spans="5:7" x14ac:dyDescent="0.45">
      <c r="E65" s="11"/>
      <c r="F65" s="11"/>
      <c r="G65" s="11"/>
    </row>
    <row r="66" spans="5:7" x14ac:dyDescent="0.45">
      <c r="E66" s="11"/>
      <c r="F66" s="11"/>
      <c r="G66" s="11"/>
    </row>
    <row r="67" spans="5:7" x14ac:dyDescent="0.45">
      <c r="E67" s="11"/>
      <c r="F67" s="11"/>
      <c r="G67" s="11"/>
    </row>
    <row r="68" spans="5:7" x14ac:dyDescent="0.45">
      <c r="E68" s="11"/>
      <c r="F68" s="11"/>
      <c r="G68" s="11"/>
    </row>
    <row r="69" spans="5:7" x14ac:dyDescent="0.45">
      <c r="E69" s="11"/>
      <c r="F69" s="11"/>
      <c r="G69" s="11"/>
    </row>
    <row r="70" spans="5:7" x14ac:dyDescent="0.45">
      <c r="E70" s="11"/>
      <c r="F70" s="11"/>
      <c r="G70" s="11"/>
    </row>
    <row r="71" spans="5:7" x14ac:dyDescent="0.45">
      <c r="E71" s="11"/>
      <c r="F71" s="11"/>
      <c r="G71" s="11"/>
    </row>
    <row r="72" spans="5:7" x14ac:dyDescent="0.45">
      <c r="E72" s="11"/>
      <c r="F72" s="11"/>
      <c r="G72" s="11"/>
    </row>
    <row r="73" spans="5:7" x14ac:dyDescent="0.45">
      <c r="E73" s="11"/>
      <c r="F73" s="11"/>
      <c r="G73" s="11"/>
    </row>
    <row r="74" spans="5:7" x14ac:dyDescent="0.45">
      <c r="E74" s="11"/>
      <c r="F74" s="11"/>
      <c r="G74" s="11"/>
    </row>
    <row r="75" spans="5:7" x14ac:dyDescent="0.45">
      <c r="E75" s="11"/>
      <c r="F75" s="11"/>
      <c r="G75" s="11"/>
    </row>
    <row r="76" spans="5:7" x14ac:dyDescent="0.45">
      <c r="E76" s="11"/>
      <c r="F76" s="11"/>
      <c r="G76" s="11"/>
    </row>
    <row r="77" spans="5:7" x14ac:dyDescent="0.45">
      <c r="E77" s="11"/>
      <c r="F77" s="11"/>
      <c r="G77" s="11"/>
    </row>
    <row r="78" spans="5:7" x14ac:dyDescent="0.45">
      <c r="E78" s="11"/>
      <c r="F78" s="11"/>
      <c r="G78" s="11"/>
    </row>
    <row r="79" spans="5:7" x14ac:dyDescent="0.45">
      <c r="E79" s="11"/>
      <c r="F79" s="11"/>
      <c r="G79" s="11"/>
    </row>
    <row r="80" spans="5:7" x14ac:dyDescent="0.45">
      <c r="E80" s="11"/>
      <c r="F80" s="11"/>
      <c r="G80" s="11"/>
    </row>
    <row r="81" spans="5:7" x14ac:dyDescent="0.45">
      <c r="E81" s="11"/>
      <c r="F81" s="11"/>
      <c r="G81" s="11"/>
    </row>
    <row r="82" spans="5:7" x14ac:dyDescent="0.45">
      <c r="E82" s="11"/>
      <c r="F82" s="11"/>
      <c r="G82" s="11"/>
    </row>
    <row r="83" spans="5:7" x14ac:dyDescent="0.45">
      <c r="E83" s="11"/>
      <c r="F83" s="11"/>
      <c r="G83" s="11"/>
    </row>
    <row r="84" spans="5:7" x14ac:dyDescent="0.45">
      <c r="E84" s="11"/>
      <c r="F84" s="11"/>
      <c r="G84" s="11"/>
    </row>
    <row r="85" spans="5:7" x14ac:dyDescent="0.45">
      <c r="E85" s="11"/>
      <c r="F85" s="11"/>
      <c r="G85" s="11"/>
    </row>
    <row r="86" spans="5:7" x14ac:dyDescent="0.45">
      <c r="E86" s="11"/>
      <c r="F86" s="11"/>
      <c r="G86" s="11"/>
    </row>
    <row r="87" spans="5:7" x14ac:dyDescent="0.45">
      <c r="E87" s="11"/>
      <c r="F87" s="11"/>
      <c r="G87" s="11"/>
    </row>
    <row r="88" spans="5:7" x14ac:dyDescent="0.45">
      <c r="E88" s="11"/>
      <c r="F88" s="11"/>
      <c r="G88" s="11"/>
    </row>
    <row r="89" spans="5:7" x14ac:dyDescent="0.45">
      <c r="E89" s="11"/>
      <c r="F89" s="11"/>
      <c r="G89" s="11"/>
    </row>
    <row r="90" spans="5:7" x14ac:dyDescent="0.45">
      <c r="E90" s="11"/>
      <c r="F90" s="11"/>
      <c r="G90" s="11"/>
    </row>
    <row r="91" spans="5:7" x14ac:dyDescent="0.45">
      <c r="E91" s="11"/>
      <c r="F91" s="11"/>
      <c r="G91" s="11"/>
    </row>
    <row r="92" spans="5:7" x14ac:dyDescent="0.45">
      <c r="E92" s="11"/>
      <c r="F92" s="11"/>
      <c r="G92" s="11"/>
    </row>
    <row r="93" spans="5:7" x14ac:dyDescent="0.45">
      <c r="E93" s="11"/>
      <c r="F93" s="11"/>
      <c r="G93" s="11"/>
    </row>
    <row r="94" spans="5:7" x14ac:dyDescent="0.45">
      <c r="E94" s="11"/>
      <c r="F94" s="11"/>
      <c r="G94" s="11"/>
    </row>
    <row r="95" spans="5:7" x14ac:dyDescent="0.45">
      <c r="E95" s="11"/>
      <c r="F95" s="11"/>
      <c r="G95" s="11"/>
    </row>
    <row r="96" spans="5:7" x14ac:dyDescent="0.45">
      <c r="E96" s="11"/>
      <c r="F96" s="11"/>
      <c r="G96" s="11"/>
    </row>
    <row r="97" spans="5:7" x14ac:dyDescent="0.45">
      <c r="E97" s="11"/>
      <c r="F97" s="11"/>
      <c r="G97" s="11"/>
    </row>
    <row r="98" spans="5:7" x14ac:dyDescent="0.45">
      <c r="E98" s="11"/>
      <c r="F98" s="11"/>
      <c r="G98" s="11"/>
    </row>
    <row r="99" spans="5:7" x14ac:dyDescent="0.45">
      <c r="E99" s="11"/>
      <c r="F99" s="11"/>
      <c r="G99" s="11"/>
    </row>
    <row r="100" spans="5:7" x14ac:dyDescent="0.45">
      <c r="E100" s="11"/>
      <c r="F100" s="11"/>
      <c r="G100" s="11"/>
    </row>
    <row r="101" spans="5:7" x14ac:dyDescent="0.45">
      <c r="E101" s="11"/>
      <c r="F101" s="11"/>
      <c r="G101" s="11"/>
    </row>
    <row r="102" spans="5:7" x14ac:dyDescent="0.45">
      <c r="E102" s="11"/>
      <c r="F102" s="11"/>
      <c r="G102" s="11"/>
    </row>
    <row r="103" spans="5:7" x14ac:dyDescent="0.45">
      <c r="E103" s="11"/>
      <c r="F103" s="11"/>
      <c r="G103" s="11"/>
    </row>
    <row r="104" spans="5:7" x14ac:dyDescent="0.45">
      <c r="E104" s="11"/>
      <c r="F104" s="11"/>
      <c r="G104" s="11"/>
    </row>
    <row r="105" spans="5:7" x14ac:dyDescent="0.45">
      <c r="E105" s="11"/>
      <c r="F105" s="11"/>
      <c r="G105" s="11"/>
    </row>
  </sheetData>
  <mergeCells count="2">
    <mergeCell ref="B3:J3"/>
    <mergeCell ref="K3:M3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563A-FF2C-441A-8C25-4BF69356AAC5}">
  <dimension ref="B1:I64"/>
  <sheetViews>
    <sheetView workbookViewId="0">
      <selection activeCell="J36" sqref="J36"/>
    </sheetView>
  </sheetViews>
  <sheetFormatPr defaultRowHeight="14.25" x14ac:dyDescent="0.45"/>
  <cols>
    <col min="2" max="2" width="14.53125" style="70" customWidth="1"/>
    <col min="3" max="3" width="11.53125" style="70" customWidth="1"/>
    <col min="4" max="4" width="18.73046875" customWidth="1"/>
    <col min="9" max="9" width="11.53125" bestFit="1" customWidth="1"/>
  </cols>
  <sheetData>
    <row r="1" spans="2:9" x14ac:dyDescent="0.45">
      <c r="B1" s="70" t="s">
        <v>68</v>
      </c>
      <c r="C1" s="70" t="s">
        <v>69</v>
      </c>
      <c r="D1" t="s">
        <v>70</v>
      </c>
    </row>
    <row r="2" spans="2:9" x14ac:dyDescent="0.45">
      <c r="B2" s="70" t="s">
        <v>71</v>
      </c>
      <c r="C2" s="70" t="s">
        <v>72</v>
      </c>
      <c r="D2" s="11">
        <v>2144800</v>
      </c>
    </row>
    <row r="3" spans="2:9" x14ac:dyDescent="0.45">
      <c r="B3" s="70" t="s">
        <v>73</v>
      </c>
      <c r="C3" s="70" t="s">
        <v>71</v>
      </c>
      <c r="D3" s="11">
        <v>2157200</v>
      </c>
      <c r="H3">
        <v>2021</v>
      </c>
      <c r="I3" s="9">
        <f>SUM(D9:D20)</f>
        <v>26143800</v>
      </c>
    </row>
    <row r="4" spans="2:9" x14ac:dyDescent="0.45">
      <c r="B4" s="70" t="s">
        <v>74</v>
      </c>
      <c r="C4" s="70" t="s">
        <v>73</v>
      </c>
      <c r="D4" s="11">
        <v>2334800</v>
      </c>
      <c r="H4">
        <v>2020</v>
      </c>
      <c r="I4" s="9">
        <f>SUM(D21:D32)</f>
        <v>29115600</v>
      </c>
    </row>
    <row r="5" spans="2:9" x14ac:dyDescent="0.45">
      <c r="B5" s="70" t="s">
        <v>75</v>
      </c>
      <c r="C5" s="70" t="s">
        <v>74</v>
      </c>
      <c r="D5" s="11">
        <v>1952800</v>
      </c>
      <c r="H5">
        <v>2019</v>
      </c>
      <c r="I5" s="9">
        <f>SUM(D33:D44)</f>
        <v>31985606</v>
      </c>
    </row>
    <row r="6" spans="2:9" x14ac:dyDescent="0.45">
      <c r="B6" s="70" t="s">
        <v>76</v>
      </c>
      <c r="C6" s="70" t="s">
        <v>75</v>
      </c>
      <c r="D6" s="11">
        <v>2193600</v>
      </c>
      <c r="H6">
        <v>2018</v>
      </c>
      <c r="I6" s="9">
        <f>SUM(D45:D56)</f>
        <v>32263604</v>
      </c>
    </row>
    <row r="7" spans="2:9" x14ac:dyDescent="0.45">
      <c r="B7" s="70" t="s">
        <v>77</v>
      </c>
      <c r="C7" s="70" t="s">
        <v>76</v>
      </c>
      <c r="D7" s="11">
        <v>2242000</v>
      </c>
    </row>
    <row r="8" spans="2:9" x14ac:dyDescent="0.45">
      <c r="B8" s="70" t="s">
        <v>78</v>
      </c>
      <c r="C8" s="70" t="s">
        <v>77</v>
      </c>
      <c r="D8" s="11">
        <v>2028000</v>
      </c>
    </row>
    <row r="9" spans="2:9" x14ac:dyDescent="0.45">
      <c r="B9" s="70" t="s">
        <v>79</v>
      </c>
      <c r="C9" s="70" t="s">
        <v>78</v>
      </c>
      <c r="D9" s="11">
        <v>2016400</v>
      </c>
    </row>
    <row r="10" spans="2:9" x14ac:dyDescent="0.45">
      <c r="B10" s="70" t="s">
        <v>80</v>
      </c>
      <c r="C10" s="70" t="s">
        <v>79</v>
      </c>
      <c r="D10" s="11">
        <v>2142800</v>
      </c>
    </row>
    <row r="11" spans="2:9" x14ac:dyDescent="0.45">
      <c r="B11" s="70" t="s">
        <v>81</v>
      </c>
      <c r="C11" s="70" t="s">
        <v>80</v>
      </c>
      <c r="D11" s="11">
        <v>1945200</v>
      </c>
    </row>
    <row r="12" spans="2:9" x14ac:dyDescent="0.45">
      <c r="B12" s="70" t="s">
        <v>82</v>
      </c>
      <c r="C12" s="70" t="s">
        <v>81</v>
      </c>
      <c r="D12" s="11">
        <v>2215600</v>
      </c>
    </row>
    <row r="13" spans="2:9" x14ac:dyDescent="0.45">
      <c r="B13" s="70" t="s">
        <v>83</v>
      </c>
      <c r="C13" s="70" t="s">
        <v>82</v>
      </c>
      <c r="D13" s="11">
        <v>2208400</v>
      </c>
    </row>
    <row r="14" spans="2:9" x14ac:dyDescent="0.45">
      <c r="B14" s="70" t="s">
        <v>84</v>
      </c>
      <c r="C14" s="70" t="s">
        <v>83</v>
      </c>
      <c r="D14" s="11">
        <v>2110800</v>
      </c>
    </row>
    <row r="15" spans="2:9" x14ac:dyDescent="0.45">
      <c r="B15" s="70" t="s">
        <v>85</v>
      </c>
      <c r="C15" s="70" t="s">
        <v>84</v>
      </c>
      <c r="D15" s="11">
        <v>2620800</v>
      </c>
    </row>
    <row r="16" spans="2:9" x14ac:dyDescent="0.45">
      <c r="B16" s="70" t="s">
        <v>86</v>
      </c>
      <c r="C16" s="70" t="s">
        <v>85</v>
      </c>
      <c r="D16" s="11">
        <v>2343200</v>
      </c>
    </row>
    <row r="17" spans="2:4" x14ac:dyDescent="0.45">
      <c r="B17" s="70" t="s">
        <v>87</v>
      </c>
      <c r="C17" s="70" t="s">
        <v>86</v>
      </c>
      <c r="D17" s="11">
        <v>2029600</v>
      </c>
    </row>
    <row r="18" spans="2:4" x14ac:dyDescent="0.45">
      <c r="B18" s="70" t="s">
        <v>88</v>
      </c>
      <c r="C18" s="70" t="s">
        <v>87</v>
      </c>
      <c r="D18" s="12">
        <f>AVERAGE(D17,D19)</f>
        <v>2133800</v>
      </c>
    </row>
    <row r="19" spans="2:4" x14ac:dyDescent="0.45">
      <c r="B19" s="70" t="s">
        <v>89</v>
      </c>
      <c r="C19" s="70" t="s">
        <v>88</v>
      </c>
      <c r="D19" s="11">
        <v>2238000</v>
      </c>
    </row>
    <row r="20" spans="2:4" x14ac:dyDescent="0.45">
      <c r="B20" s="70" t="s">
        <v>90</v>
      </c>
      <c r="C20" s="70" t="s">
        <v>89</v>
      </c>
      <c r="D20" s="11">
        <v>2139200</v>
      </c>
    </row>
    <row r="21" spans="2:4" x14ac:dyDescent="0.45">
      <c r="B21" s="70" t="s">
        <v>91</v>
      </c>
      <c r="C21" s="70" t="s">
        <v>90</v>
      </c>
      <c r="D21" s="11">
        <v>2324400</v>
      </c>
    </row>
    <row r="22" spans="2:4" x14ac:dyDescent="0.45">
      <c r="B22" s="70" t="s">
        <v>92</v>
      </c>
      <c r="C22" s="70" t="s">
        <v>91</v>
      </c>
      <c r="D22" s="11">
        <v>2634400</v>
      </c>
    </row>
    <row r="23" spans="2:4" x14ac:dyDescent="0.45">
      <c r="B23" s="70" t="s">
        <v>93</v>
      </c>
      <c r="C23" s="70" t="s">
        <v>92</v>
      </c>
      <c r="D23" s="11">
        <v>2570400</v>
      </c>
    </row>
    <row r="24" spans="2:4" x14ac:dyDescent="0.45">
      <c r="B24" s="70" t="s">
        <v>94</v>
      </c>
      <c r="C24" s="70" t="s">
        <v>93</v>
      </c>
      <c r="D24" s="11">
        <v>2247600</v>
      </c>
    </row>
    <row r="25" spans="2:4" x14ac:dyDescent="0.45">
      <c r="B25" s="70" t="s">
        <v>95</v>
      </c>
      <c r="C25" s="70" t="s">
        <v>94</v>
      </c>
      <c r="D25" s="11">
        <v>2376000</v>
      </c>
    </row>
    <row r="26" spans="2:4" x14ac:dyDescent="0.45">
      <c r="B26" s="70" t="s">
        <v>96</v>
      </c>
      <c r="C26" s="70" t="s">
        <v>95</v>
      </c>
      <c r="D26" s="12">
        <f>AVERAGE(D25,D27)</f>
        <v>2500400</v>
      </c>
    </row>
    <row r="27" spans="2:4" x14ac:dyDescent="0.45">
      <c r="B27" s="70" t="s">
        <v>97</v>
      </c>
      <c r="C27" s="70" t="s">
        <v>96</v>
      </c>
      <c r="D27" s="11">
        <v>2624800</v>
      </c>
    </row>
    <row r="28" spans="2:4" x14ac:dyDescent="0.45">
      <c r="B28" s="70" t="s">
        <v>98</v>
      </c>
      <c r="C28" s="70" t="s">
        <v>97</v>
      </c>
      <c r="D28" s="11">
        <v>2316000</v>
      </c>
    </row>
    <row r="29" spans="2:4" x14ac:dyDescent="0.45">
      <c r="B29" s="70" t="s">
        <v>99</v>
      </c>
      <c r="C29" s="70" t="s">
        <v>98</v>
      </c>
      <c r="D29" s="11">
        <v>2196800</v>
      </c>
    </row>
    <row r="30" spans="2:4" x14ac:dyDescent="0.45">
      <c r="B30" s="70" t="s">
        <v>100</v>
      </c>
      <c r="C30" s="70" t="s">
        <v>99</v>
      </c>
      <c r="D30" s="11">
        <v>2504000</v>
      </c>
    </row>
    <row r="31" spans="2:4" x14ac:dyDescent="0.45">
      <c r="B31" s="70" t="s">
        <v>101</v>
      </c>
      <c r="C31" s="70" t="s">
        <v>100</v>
      </c>
      <c r="D31" s="11">
        <v>2452800</v>
      </c>
    </row>
    <row r="32" spans="2:4" x14ac:dyDescent="0.45">
      <c r="B32" s="70" t="s">
        <v>102</v>
      </c>
      <c r="C32" s="70" t="s">
        <v>101</v>
      </c>
      <c r="D32" s="11">
        <v>2368000</v>
      </c>
    </row>
    <row r="33" spans="2:4" x14ac:dyDescent="0.45">
      <c r="B33" s="70" t="s">
        <v>103</v>
      </c>
      <c r="C33" s="70" t="s">
        <v>102</v>
      </c>
      <c r="D33" s="11">
        <v>2900800</v>
      </c>
    </row>
    <row r="34" spans="2:4" x14ac:dyDescent="0.45">
      <c r="B34" s="70" t="s">
        <v>104</v>
      </c>
      <c r="C34" s="70" t="s">
        <v>103</v>
      </c>
      <c r="D34" s="11">
        <v>2899200</v>
      </c>
    </row>
    <row r="35" spans="2:4" x14ac:dyDescent="0.45">
      <c r="B35" s="70" t="s">
        <v>105</v>
      </c>
      <c r="C35" s="70" t="s">
        <v>104</v>
      </c>
      <c r="D35" s="11">
        <v>2377200</v>
      </c>
    </row>
    <row r="36" spans="2:4" x14ac:dyDescent="0.45">
      <c r="B36" s="70" t="s">
        <v>106</v>
      </c>
      <c r="C36" s="70" t="s">
        <v>105</v>
      </c>
      <c r="D36" s="11">
        <v>2637201</v>
      </c>
    </row>
    <row r="37" spans="2:4" x14ac:dyDescent="0.45">
      <c r="B37" s="70" t="s">
        <v>107</v>
      </c>
      <c r="C37" s="70" t="s">
        <v>106</v>
      </c>
      <c r="D37" s="11">
        <v>2752401</v>
      </c>
    </row>
    <row r="38" spans="2:4" x14ac:dyDescent="0.45">
      <c r="B38" s="70" t="s">
        <v>108</v>
      </c>
      <c r="C38" s="70" t="s">
        <v>107</v>
      </c>
      <c r="D38" s="11">
        <v>2741201</v>
      </c>
    </row>
    <row r="39" spans="2:4" x14ac:dyDescent="0.45">
      <c r="B39" s="70" t="s">
        <v>109</v>
      </c>
      <c r="C39" s="70" t="s">
        <v>108</v>
      </c>
      <c r="D39" s="11">
        <v>2678801</v>
      </c>
    </row>
    <row r="40" spans="2:4" x14ac:dyDescent="0.45">
      <c r="B40" s="70" t="s">
        <v>110</v>
      </c>
      <c r="C40" s="70" t="s">
        <v>109</v>
      </c>
      <c r="D40" s="11">
        <v>2730001</v>
      </c>
    </row>
    <row r="41" spans="2:4" x14ac:dyDescent="0.45">
      <c r="B41" s="70" t="s">
        <v>111</v>
      </c>
      <c r="C41" s="70" t="s">
        <v>110</v>
      </c>
      <c r="D41" s="11">
        <v>2958800</v>
      </c>
    </row>
    <row r="42" spans="2:4" x14ac:dyDescent="0.45">
      <c r="B42" s="70" t="s">
        <v>112</v>
      </c>
      <c r="C42" s="70" t="s">
        <v>111</v>
      </c>
      <c r="D42" s="11">
        <v>2336400</v>
      </c>
    </row>
    <row r="43" spans="2:4" x14ac:dyDescent="0.45">
      <c r="B43" s="70" t="s">
        <v>113</v>
      </c>
      <c r="C43" s="70" t="s">
        <v>112</v>
      </c>
      <c r="D43" s="11">
        <v>2238800</v>
      </c>
    </row>
    <row r="44" spans="2:4" x14ac:dyDescent="0.45">
      <c r="B44" s="70" t="s">
        <v>114</v>
      </c>
      <c r="C44" s="70" t="s">
        <v>113</v>
      </c>
      <c r="D44" s="11">
        <v>2734801</v>
      </c>
    </row>
    <row r="45" spans="2:4" x14ac:dyDescent="0.45">
      <c r="B45" s="70" t="s">
        <v>115</v>
      </c>
      <c r="C45" s="70" t="s">
        <v>114</v>
      </c>
      <c r="D45" s="11">
        <v>2296400</v>
      </c>
    </row>
    <row r="46" spans="2:4" x14ac:dyDescent="0.45">
      <c r="B46" s="70" t="s">
        <v>116</v>
      </c>
      <c r="C46" s="70" t="s">
        <v>115</v>
      </c>
      <c r="D46" s="11">
        <v>2989200</v>
      </c>
    </row>
    <row r="47" spans="2:4" x14ac:dyDescent="0.45">
      <c r="B47" s="70" t="s">
        <v>117</v>
      </c>
      <c r="C47" s="70" t="s">
        <v>116</v>
      </c>
      <c r="D47" s="11">
        <v>2234001</v>
      </c>
    </row>
    <row r="48" spans="2:4" x14ac:dyDescent="0.45">
      <c r="B48" s="70" t="s">
        <v>118</v>
      </c>
      <c r="C48" s="70" t="s">
        <v>117</v>
      </c>
      <c r="D48" s="11">
        <v>2888801</v>
      </c>
    </row>
    <row r="49" spans="2:4" x14ac:dyDescent="0.45">
      <c r="B49" s="70" t="s">
        <v>119</v>
      </c>
      <c r="C49" s="70" t="s">
        <v>118</v>
      </c>
      <c r="D49" s="11">
        <v>2877200</v>
      </c>
    </row>
    <row r="50" spans="2:4" x14ac:dyDescent="0.45">
      <c r="B50" s="70" t="s">
        <v>120</v>
      </c>
      <c r="C50" s="70" t="s">
        <v>119</v>
      </c>
      <c r="D50" s="11">
        <v>2456801</v>
      </c>
    </row>
    <row r="51" spans="2:4" x14ac:dyDescent="0.45">
      <c r="B51" s="70" t="s">
        <v>121</v>
      </c>
      <c r="C51" s="70" t="s">
        <v>120</v>
      </c>
      <c r="D51" s="11">
        <v>2659201</v>
      </c>
    </row>
    <row r="52" spans="2:4" x14ac:dyDescent="0.45">
      <c r="B52" s="70" t="s">
        <v>122</v>
      </c>
      <c r="C52" s="70" t="s">
        <v>121</v>
      </c>
      <c r="D52" s="11">
        <v>2843200</v>
      </c>
    </row>
    <row r="53" spans="2:4" x14ac:dyDescent="0.45">
      <c r="B53" s="70" t="s">
        <v>123</v>
      </c>
      <c r="C53" s="70" t="s">
        <v>122</v>
      </c>
      <c r="D53" s="11">
        <v>2610800</v>
      </c>
    </row>
    <row r="54" spans="2:4" x14ac:dyDescent="0.45">
      <c r="B54" s="70" t="s">
        <v>124</v>
      </c>
      <c r="C54" s="70" t="s">
        <v>123</v>
      </c>
      <c r="D54" s="11">
        <v>2608400</v>
      </c>
    </row>
    <row r="55" spans="2:4" x14ac:dyDescent="0.45">
      <c r="B55" s="70" t="s">
        <v>125</v>
      </c>
      <c r="C55" s="70" t="s">
        <v>124</v>
      </c>
      <c r="D55" s="11">
        <v>2873200</v>
      </c>
    </row>
    <row r="56" spans="2:4" x14ac:dyDescent="0.45">
      <c r="B56" s="70" t="s">
        <v>126</v>
      </c>
      <c r="C56" s="70" t="s">
        <v>125</v>
      </c>
      <c r="D56" s="11">
        <v>2926400</v>
      </c>
    </row>
    <row r="57" spans="2:4" x14ac:dyDescent="0.45">
      <c r="B57" s="70" t="s">
        <v>127</v>
      </c>
      <c r="C57" s="70" t="s">
        <v>126</v>
      </c>
      <c r="D57" s="11">
        <v>2423600</v>
      </c>
    </row>
    <row r="58" spans="2:4" x14ac:dyDescent="0.45">
      <c r="B58" s="70" t="s">
        <v>128</v>
      </c>
      <c r="C58" s="70" t="s">
        <v>127</v>
      </c>
      <c r="D58" s="11">
        <v>3153200</v>
      </c>
    </row>
    <row r="59" spans="2:4" x14ac:dyDescent="0.45">
      <c r="B59" s="70" t="s">
        <v>129</v>
      </c>
      <c r="C59" s="70" t="s">
        <v>128</v>
      </c>
      <c r="D59" s="11">
        <v>2422400</v>
      </c>
    </row>
    <row r="60" spans="2:4" x14ac:dyDescent="0.45">
      <c r="B60" s="70" t="s">
        <v>130</v>
      </c>
      <c r="C60" s="70" t="s">
        <v>129</v>
      </c>
      <c r="D60" s="11">
        <v>2759601</v>
      </c>
    </row>
    <row r="61" spans="2:4" x14ac:dyDescent="0.45">
      <c r="B61" s="70" t="s">
        <v>131</v>
      </c>
      <c r="C61" s="70" t="s">
        <v>130</v>
      </c>
      <c r="D61" s="11">
        <v>3041601</v>
      </c>
    </row>
    <row r="62" spans="2:4" x14ac:dyDescent="0.45">
      <c r="B62" s="70" t="s">
        <v>132</v>
      </c>
      <c r="C62" s="70" t="s">
        <v>131</v>
      </c>
      <c r="D62" s="11">
        <v>2810400</v>
      </c>
    </row>
    <row r="63" spans="2:4" x14ac:dyDescent="0.45">
      <c r="B63" s="70" t="s">
        <v>133</v>
      </c>
      <c r="C63" s="70" t="s">
        <v>132</v>
      </c>
      <c r="D63" s="11">
        <v>2569035</v>
      </c>
    </row>
    <row r="64" spans="2:4" x14ac:dyDescent="0.45">
      <c r="B64" s="70" t="s">
        <v>134</v>
      </c>
      <c r="C64" s="70" t="s">
        <v>133</v>
      </c>
      <c r="D64" s="11">
        <v>2739600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8201-ACEF-4C0C-8A4C-A857096A52B6}">
  <dimension ref="A1:M66"/>
  <sheetViews>
    <sheetView workbookViewId="0">
      <selection activeCell="E8" sqref="E8:E24"/>
    </sheetView>
  </sheetViews>
  <sheetFormatPr defaultRowHeight="14.25" x14ac:dyDescent="0.45"/>
  <cols>
    <col min="1" max="1" width="10.53125" customWidth="1"/>
    <col min="2" max="2" width="20.46484375" style="70" customWidth="1"/>
    <col min="3" max="3" width="19.53125" style="70" customWidth="1"/>
    <col min="4" max="4" width="12.265625" style="11" customWidth="1"/>
    <col min="5" max="5" width="12.796875" customWidth="1"/>
    <col min="6" max="6" width="12.53125" style="70" customWidth="1"/>
    <col min="7" max="7" width="13.53125" style="70" customWidth="1"/>
    <col min="8" max="8" width="11.73046875" customWidth="1"/>
    <col min="9" max="9" width="8.73046875" customWidth="1"/>
    <col min="10" max="10" width="13.53125" customWidth="1"/>
    <col min="11" max="11" width="12" customWidth="1"/>
    <col min="12" max="12" width="14.19921875" customWidth="1"/>
  </cols>
  <sheetData>
    <row r="1" spans="1:13" x14ac:dyDescent="0.45">
      <c r="A1" t="s">
        <v>135</v>
      </c>
      <c r="B1" s="70" t="s">
        <v>68</v>
      </c>
      <c r="C1" s="70" t="s">
        <v>69</v>
      </c>
      <c r="D1" s="11" t="s">
        <v>70</v>
      </c>
      <c r="F1" s="70" t="s">
        <v>68</v>
      </c>
      <c r="G1" s="70" t="s">
        <v>69</v>
      </c>
      <c r="H1" s="11" t="s">
        <v>136</v>
      </c>
      <c r="I1" s="11"/>
      <c r="L1" t="s">
        <v>70</v>
      </c>
      <c r="M1" t="s">
        <v>137</v>
      </c>
    </row>
    <row r="2" spans="1:13" x14ac:dyDescent="0.45">
      <c r="B2" s="70" t="s">
        <v>71</v>
      </c>
      <c r="C2" s="70" t="s">
        <v>72</v>
      </c>
      <c r="K2">
        <v>2021</v>
      </c>
      <c r="L2" s="9">
        <f>SUM(D9:D20)</f>
        <v>3872000</v>
      </c>
      <c r="M2" s="9">
        <f>SUM(H9:H20)</f>
        <v>12254.593333333334</v>
      </c>
    </row>
    <row r="3" spans="1:13" x14ac:dyDescent="0.45">
      <c r="B3" s="70" t="s">
        <v>73</v>
      </c>
      <c r="C3" s="70" t="s">
        <v>71</v>
      </c>
      <c r="D3" s="11">
        <v>376800</v>
      </c>
      <c r="K3">
        <v>2020</v>
      </c>
      <c r="L3" s="9">
        <f>SUM(D21:D32)</f>
        <v>2991200</v>
      </c>
      <c r="M3" s="9">
        <f>SUM(H21:H32)</f>
        <v>7729.9000000000005</v>
      </c>
    </row>
    <row r="4" spans="1:13" x14ac:dyDescent="0.45">
      <c r="B4" s="70" t="s">
        <v>74</v>
      </c>
      <c r="C4" s="70" t="s">
        <v>73</v>
      </c>
      <c r="D4" s="11">
        <v>499600</v>
      </c>
      <c r="K4">
        <v>2019</v>
      </c>
      <c r="L4" s="9">
        <f>SUM(D33:D44)</f>
        <v>5274720</v>
      </c>
      <c r="M4" s="9">
        <f>SUM(H33:H44)</f>
        <v>14294.059999999998</v>
      </c>
    </row>
    <row r="5" spans="1:13" x14ac:dyDescent="0.45">
      <c r="B5" s="70" t="s">
        <v>75</v>
      </c>
      <c r="C5" s="70" t="s">
        <v>74</v>
      </c>
      <c r="D5" s="11">
        <v>375200</v>
      </c>
      <c r="J5" s="21"/>
      <c r="K5" s="21">
        <v>2018</v>
      </c>
      <c r="L5" s="25">
        <f>SUM(D45:D56)</f>
        <v>5743840</v>
      </c>
      <c r="M5" s="25">
        <f>SUM(H45:H56)</f>
        <v>14087.370000000003</v>
      </c>
    </row>
    <row r="6" spans="1:13" x14ac:dyDescent="0.45">
      <c r="B6" s="70" t="s">
        <v>76</v>
      </c>
      <c r="C6" s="70" t="s">
        <v>75</v>
      </c>
      <c r="D6" s="11">
        <v>389600</v>
      </c>
      <c r="J6" s="21"/>
      <c r="K6" s="21"/>
      <c r="L6" s="21"/>
      <c r="M6" s="21"/>
    </row>
    <row r="7" spans="1:13" x14ac:dyDescent="0.45">
      <c r="B7" s="70" t="s">
        <v>77</v>
      </c>
      <c r="C7" s="70" t="s">
        <v>76</v>
      </c>
      <c r="D7" s="11">
        <v>388400</v>
      </c>
      <c r="J7" s="21"/>
      <c r="K7" s="21"/>
      <c r="L7" s="21"/>
      <c r="M7" s="21"/>
    </row>
    <row r="8" spans="1:13" x14ac:dyDescent="0.45">
      <c r="B8" s="70" t="s">
        <v>78</v>
      </c>
      <c r="C8" s="70" t="s">
        <v>77</v>
      </c>
      <c r="D8" s="11">
        <v>334000</v>
      </c>
      <c r="J8" s="21"/>
      <c r="K8" s="21"/>
      <c r="L8" s="21"/>
      <c r="M8" s="21"/>
    </row>
    <row r="9" spans="1:13" x14ac:dyDescent="0.45">
      <c r="B9" s="70" t="s">
        <v>138</v>
      </c>
      <c r="C9" s="70" t="s">
        <v>78</v>
      </c>
      <c r="D9" s="11">
        <v>388800</v>
      </c>
      <c r="H9" s="72">
        <f>AVERAGE(H21,H33,H10)</f>
        <v>2040.0233333333333</v>
      </c>
      <c r="J9" s="21"/>
      <c r="K9" s="21"/>
      <c r="L9" s="21"/>
      <c r="M9" s="21"/>
    </row>
    <row r="10" spans="1:13" x14ac:dyDescent="0.45">
      <c r="B10" s="70" t="s">
        <v>80</v>
      </c>
      <c r="C10" s="70" t="s">
        <v>138</v>
      </c>
      <c r="D10" s="11">
        <v>631600</v>
      </c>
      <c r="F10" s="70" t="s">
        <v>80</v>
      </c>
      <c r="G10" s="70" t="s">
        <v>138</v>
      </c>
      <c r="H10" s="11">
        <v>1698.31</v>
      </c>
      <c r="J10" s="80"/>
      <c r="K10" s="80"/>
      <c r="L10" s="81"/>
      <c r="M10" s="21"/>
    </row>
    <row r="11" spans="1:13" x14ac:dyDescent="0.45">
      <c r="B11" s="70" t="s">
        <v>139</v>
      </c>
      <c r="C11" s="70" t="s">
        <v>80</v>
      </c>
      <c r="D11" s="11">
        <v>517600</v>
      </c>
      <c r="F11" s="70" t="s">
        <v>140</v>
      </c>
      <c r="G11" s="70" t="s">
        <v>80</v>
      </c>
      <c r="H11" s="11">
        <v>1817.57</v>
      </c>
      <c r="J11" s="80"/>
      <c r="K11" s="80"/>
      <c r="L11" s="81"/>
      <c r="M11" s="21"/>
    </row>
    <row r="12" spans="1:13" x14ac:dyDescent="0.45">
      <c r="B12" s="70" t="s">
        <v>82</v>
      </c>
      <c r="C12" s="70" t="s">
        <v>139</v>
      </c>
      <c r="D12" s="11">
        <v>352000</v>
      </c>
      <c r="F12" s="70" t="s">
        <v>82</v>
      </c>
      <c r="G12" s="70" t="s">
        <v>140</v>
      </c>
      <c r="H12" s="11">
        <v>137.5</v>
      </c>
      <c r="J12" s="80"/>
      <c r="K12" s="80"/>
      <c r="L12" s="81"/>
      <c r="M12" s="21"/>
    </row>
    <row r="13" spans="1:13" x14ac:dyDescent="0.45">
      <c r="B13" s="70" t="s">
        <v>141</v>
      </c>
      <c r="C13" s="70" t="s">
        <v>82</v>
      </c>
      <c r="D13" s="11">
        <v>308800</v>
      </c>
      <c r="E13" s="74"/>
      <c r="F13" s="70" t="s">
        <v>83</v>
      </c>
      <c r="G13" s="70" t="s">
        <v>82</v>
      </c>
      <c r="H13" s="11">
        <v>134.32</v>
      </c>
      <c r="J13" s="80"/>
      <c r="K13" s="80"/>
      <c r="L13" s="81"/>
      <c r="M13" s="21"/>
    </row>
    <row r="14" spans="1:13" x14ac:dyDescent="0.45">
      <c r="B14" s="70" t="s">
        <v>84</v>
      </c>
      <c r="C14" s="70" t="s">
        <v>141</v>
      </c>
      <c r="D14" s="11">
        <v>333200</v>
      </c>
      <c r="E14" s="74"/>
      <c r="F14" s="70" t="s">
        <v>84</v>
      </c>
      <c r="G14" s="70" t="s">
        <v>83</v>
      </c>
      <c r="H14" s="11">
        <v>151.38</v>
      </c>
      <c r="J14" s="80"/>
      <c r="K14" s="80"/>
      <c r="L14" s="81"/>
      <c r="M14" s="21"/>
    </row>
    <row r="15" spans="1:13" x14ac:dyDescent="0.45">
      <c r="B15" s="70" t="s">
        <v>85</v>
      </c>
      <c r="C15" s="70" t="s">
        <v>84</v>
      </c>
      <c r="D15" s="11">
        <v>264800</v>
      </c>
      <c r="E15" s="74"/>
      <c r="F15" s="70" t="s">
        <v>85</v>
      </c>
      <c r="G15" s="70" t="s">
        <v>84</v>
      </c>
      <c r="H15" s="11">
        <v>142.09</v>
      </c>
      <c r="J15" s="80"/>
      <c r="K15" s="80"/>
      <c r="L15" s="81"/>
      <c r="M15" s="21"/>
    </row>
    <row r="16" spans="1:13" x14ac:dyDescent="0.45">
      <c r="B16" s="70" t="s">
        <v>86</v>
      </c>
      <c r="C16" s="70" t="s">
        <v>85</v>
      </c>
      <c r="D16" s="14">
        <v>221600</v>
      </c>
      <c r="E16" s="74"/>
      <c r="F16" s="70" t="s">
        <v>86</v>
      </c>
      <c r="G16" s="70" t="s">
        <v>85</v>
      </c>
      <c r="H16" s="11">
        <v>213.49</v>
      </c>
      <c r="J16" s="80"/>
      <c r="K16" s="80"/>
      <c r="L16" s="81"/>
      <c r="M16" s="21"/>
    </row>
    <row r="17" spans="2:13" x14ac:dyDescent="0.45">
      <c r="B17" s="70" t="s">
        <v>87</v>
      </c>
      <c r="C17" s="70" t="s">
        <v>86</v>
      </c>
      <c r="D17" s="14">
        <v>210800</v>
      </c>
      <c r="E17" s="74"/>
      <c r="F17" s="70" t="s">
        <v>142</v>
      </c>
      <c r="G17" s="70" t="s">
        <v>86</v>
      </c>
      <c r="H17" s="11">
        <v>242.2</v>
      </c>
      <c r="J17" s="80"/>
      <c r="K17" s="80"/>
      <c r="L17" s="81"/>
      <c r="M17" s="21"/>
    </row>
    <row r="18" spans="2:13" x14ac:dyDescent="0.45">
      <c r="B18" s="70" t="s">
        <v>88</v>
      </c>
      <c r="C18" s="70" t="s">
        <v>87</v>
      </c>
      <c r="D18" s="14">
        <v>187600</v>
      </c>
      <c r="E18" s="74"/>
      <c r="F18" s="70" t="s">
        <v>143</v>
      </c>
      <c r="G18" s="70" t="s">
        <v>142</v>
      </c>
      <c r="H18" s="11">
        <v>898.31</v>
      </c>
      <c r="J18" s="82"/>
      <c r="K18" s="80"/>
      <c r="L18" s="81"/>
      <c r="M18" s="21"/>
    </row>
    <row r="19" spans="2:13" x14ac:dyDescent="0.45">
      <c r="B19" s="70" t="s">
        <v>89</v>
      </c>
      <c r="C19" s="70" t="s">
        <v>88</v>
      </c>
      <c r="D19" s="14">
        <v>237200</v>
      </c>
      <c r="E19" s="74"/>
      <c r="F19" s="70" t="s">
        <v>89</v>
      </c>
      <c r="G19" s="70" t="s">
        <v>143</v>
      </c>
      <c r="H19" s="11">
        <v>2162.86</v>
      </c>
      <c r="J19" s="80"/>
      <c r="K19" s="80"/>
      <c r="L19" s="81"/>
      <c r="M19" s="21"/>
    </row>
    <row r="20" spans="2:13" x14ac:dyDescent="0.45">
      <c r="B20" s="70" t="s">
        <v>90</v>
      </c>
      <c r="C20" s="70" t="s">
        <v>89</v>
      </c>
      <c r="D20" s="14">
        <v>218000</v>
      </c>
      <c r="E20" s="74"/>
      <c r="F20" s="70" t="s">
        <v>90</v>
      </c>
      <c r="G20" s="70" t="s">
        <v>89</v>
      </c>
      <c r="H20" s="11">
        <v>2616.54</v>
      </c>
      <c r="J20" s="80"/>
      <c r="K20" s="80"/>
      <c r="L20" s="81"/>
      <c r="M20" s="21"/>
    </row>
    <row r="21" spans="2:13" x14ac:dyDescent="0.45">
      <c r="B21" s="70" t="s">
        <v>91</v>
      </c>
      <c r="C21" s="70" t="s">
        <v>90</v>
      </c>
      <c r="D21" s="11">
        <v>230400</v>
      </c>
      <c r="E21" s="74"/>
      <c r="F21" s="70" t="s">
        <v>144</v>
      </c>
      <c r="G21" s="70" t="s">
        <v>90</v>
      </c>
      <c r="H21" s="11">
        <v>1594.82</v>
      </c>
      <c r="J21" s="80"/>
      <c r="K21" s="80"/>
      <c r="L21" s="81"/>
      <c r="M21" s="21"/>
    </row>
    <row r="22" spans="2:13" x14ac:dyDescent="0.45">
      <c r="B22" s="70" t="s">
        <v>92</v>
      </c>
      <c r="C22" s="70" t="s">
        <v>91</v>
      </c>
      <c r="D22" s="11">
        <v>234800</v>
      </c>
      <c r="E22" s="74"/>
      <c r="F22" s="70" t="s">
        <v>92</v>
      </c>
      <c r="G22" s="70" t="s">
        <v>144</v>
      </c>
      <c r="H22" s="11">
        <v>569.67999999999995</v>
      </c>
      <c r="J22" s="80"/>
      <c r="K22" s="80"/>
      <c r="L22" s="81"/>
      <c r="M22" s="21"/>
    </row>
    <row r="23" spans="2:13" x14ac:dyDescent="0.45">
      <c r="B23" s="70" t="s">
        <v>93</v>
      </c>
      <c r="C23" s="70" t="s">
        <v>92</v>
      </c>
      <c r="D23" s="11">
        <v>201200</v>
      </c>
      <c r="E23" s="74"/>
      <c r="F23" s="70" t="s">
        <v>93</v>
      </c>
      <c r="G23" s="70" t="s">
        <v>92</v>
      </c>
      <c r="H23" s="11">
        <v>328.11</v>
      </c>
      <c r="J23" s="80"/>
      <c r="K23" s="80"/>
      <c r="L23" s="81"/>
      <c r="M23" s="21"/>
    </row>
    <row r="24" spans="2:13" x14ac:dyDescent="0.45">
      <c r="B24" s="70" t="s">
        <v>94</v>
      </c>
      <c r="C24" s="70" t="s">
        <v>93</v>
      </c>
      <c r="D24" s="11">
        <v>204400</v>
      </c>
      <c r="E24" s="74"/>
      <c r="F24" s="70" t="s">
        <v>94</v>
      </c>
      <c r="G24" s="70" t="s">
        <v>93</v>
      </c>
      <c r="H24" s="11">
        <v>172.53</v>
      </c>
      <c r="J24" s="80"/>
      <c r="K24" s="80"/>
      <c r="L24" s="81"/>
      <c r="M24" s="21"/>
    </row>
    <row r="25" spans="2:13" x14ac:dyDescent="0.45">
      <c r="B25" s="70" t="s">
        <v>95</v>
      </c>
      <c r="C25" s="70" t="s">
        <v>94</v>
      </c>
      <c r="D25" s="11">
        <v>224000</v>
      </c>
      <c r="E25" s="74"/>
      <c r="F25" s="70" t="s">
        <v>95</v>
      </c>
      <c r="G25" s="70" t="s">
        <v>94</v>
      </c>
      <c r="H25" s="11">
        <v>181.48</v>
      </c>
      <c r="J25" s="80"/>
      <c r="K25" s="80"/>
      <c r="L25" s="81"/>
      <c r="M25" s="21"/>
    </row>
    <row r="26" spans="2:13" x14ac:dyDescent="0.45">
      <c r="B26" s="70" t="s">
        <v>145</v>
      </c>
      <c r="C26" s="70" t="s">
        <v>95</v>
      </c>
      <c r="D26" s="11">
        <v>217600</v>
      </c>
      <c r="E26" s="74"/>
      <c r="F26" s="70" t="s">
        <v>96</v>
      </c>
      <c r="G26" s="70" t="s">
        <v>95</v>
      </c>
      <c r="H26" s="11">
        <v>206.66</v>
      </c>
      <c r="J26" s="80"/>
      <c r="K26" s="80"/>
      <c r="L26" s="81"/>
      <c r="M26" s="21"/>
    </row>
    <row r="27" spans="2:13" x14ac:dyDescent="0.45">
      <c r="B27" s="70" t="s">
        <v>97</v>
      </c>
      <c r="C27" s="70" t="s">
        <v>145</v>
      </c>
      <c r="D27" s="11">
        <v>244000</v>
      </c>
      <c r="E27" s="74"/>
      <c r="F27" s="70" t="s">
        <v>97</v>
      </c>
      <c r="G27" s="70" t="s">
        <v>96</v>
      </c>
      <c r="H27" s="11">
        <v>173.4</v>
      </c>
      <c r="J27" s="80"/>
      <c r="K27" s="80"/>
      <c r="L27" s="81"/>
      <c r="M27" s="21"/>
    </row>
    <row r="28" spans="2:13" x14ac:dyDescent="0.45">
      <c r="B28" s="70" t="s">
        <v>98</v>
      </c>
      <c r="C28" s="70" t="s">
        <v>97</v>
      </c>
      <c r="D28" s="11">
        <v>211600</v>
      </c>
      <c r="E28" s="74"/>
      <c r="F28" s="70" t="s">
        <v>98</v>
      </c>
      <c r="G28" s="70" t="s">
        <v>97</v>
      </c>
      <c r="H28" s="79">
        <v>286.98</v>
      </c>
      <c r="I28" s="75"/>
      <c r="J28" s="80"/>
      <c r="K28" s="80"/>
      <c r="L28" s="81"/>
      <c r="M28" s="21"/>
    </row>
    <row r="29" spans="2:13" x14ac:dyDescent="0.45">
      <c r="B29" s="70" t="s">
        <v>99</v>
      </c>
      <c r="C29" s="70" t="s">
        <v>98</v>
      </c>
      <c r="D29" s="11">
        <v>211600</v>
      </c>
      <c r="E29" s="74"/>
      <c r="F29" s="70" t="s">
        <v>99</v>
      </c>
      <c r="G29" s="70" t="s">
        <v>98</v>
      </c>
      <c r="H29" s="79">
        <v>244.42</v>
      </c>
      <c r="I29" s="75"/>
      <c r="J29" s="80"/>
      <c r="K29" s="80"/>
      <c r="L29" s="81"/>
      <c r="M29" s="21"/>
    </row>
    <row r="30" spans="2:13" x14ac:dyDescent="0.45">
      <c r="B30" s="70" t="s">
        <v>100</v>
      </c>
      <c r="C30" s="70" t="s">
        <v>99</v>
      </c>
      <c r="D30" s="11">
        <v>253200</v>
      </c>
      <c r="E30" s="74"/>
      <c r="F30" s="70" t="s">
        <v>100</v>
      </c>
      <c r="G30" s="70" t="s">
        <v>99</v>
      </c>
      <c r="H30" s="79">
        <v>443.06</v>
      </c>
      <c r="I30" s="75"/>
      <c r="J30" s="80"/>
      <c r="K30" s="80"/>
      <c r="L30" s="81"/>
      <c r="M30" s="21"/>
    </row>
    <row r="31" spans="2:13" x14ac:dyDescent="0.45">
      <c r="B31" s="70" t="s">
        <v>101</v>
      </c>
      <c r="C31" s="70" t="s">
        <v>100</v>
      </c>
      <c r="D31" s="11">
        <v>374400</v>
      </c>
      <c r="E31" s="74"/>
      <c r="F31" s="70" t="s">
        <v>101</v>
      </c>
      <c r="G31" s="70" t="s">
        <v>100</v>
      </c>
      <c r="H31" s="79">
        <v>1549.98</v>
      </c>
      <c r="I31" s="75"/>
      <c r="J31" s="80"/>
      <c r="K31" s="80"/>
      <c r="L31" s="81"/>
      <c r="M31" s="21"/>
    </row>
    <row r="32" spans="2:13" x14ac:dyDescent="0.45">
      <c r="B32" s="70" t="s">
        <v>102</v>
      </c>
      <c r="C32" s="70" t="s">
        <v>101</v>
      </c>
      <c r="D32" s="11">
        <v>384000</v>
      </c>
      <c r="E32" s="74"/>
      <c r="F32" s="70" t="s">
        <v>102</v>
      </c>
      <c r="G32" s="70" t="s">
        <v>101</v>
      </c>
      <c r="H32" s="79">
        <v>1978.78</v>
      </c>
      <c r="I32" s="75"/>
      <c r="J32" s="80"/>
      <c r="K32" s="80"/>
      <c r="L32" s="81"/>
      <c r="M32" s="21"/>
    </row>
    <row r="33" spans="2:13" x14ac:dyDescent="0.45">
      <c r="B33" s="70" t="s">
        <v>146</v>
      </c>
      <c r="C33" s="70" t="s">
        <v>102</v>
      </c>
      <c r="D33" s="11">
        <v>664400</v>
      </c>
      <c r="E33" s="74"/>
      <c r="F33" s="70" t="s">
        <v>146</v>
      </c>
      <c r="G33" s="70" t="s">
        <v>102</v>
      </c>
      <c r="H33" s="79">
        <v>2826.94</v>
      </c>
      <c r="I33" s="75"/>
      <c r="J33" s="80"/>
      <c r="K33" s="80"/>
      <c r="L33" s="81"/>
      <c r="M33" s="21"/>
    </row>
    <row r="34" spans="2:13" x14ac:dyDescent="0.45">
      <c r="B34" s="70" t="s">
        <v>104</v>
      </c>
      <c r="C34" s="70" t="s">
        <v>146</v>
      </c>
      <c r="D34" s="11">
        <v>724000</v>
      </c>
      <c r="E34" s="74"/>
      <c r="F34" s="70" t="s">
        <v>104</v>
      </c>
      <c r="G34" s="70" t="s">
        <v>146</v>
      </c>
      <c r="H34" s="79">
        <v>3307.02</v>
      </c>
      <c r="I34" s="75"/>
      <c r="J34" s="80"/>
      <c r="K34" s="80"/>
      <c r="L34" s="81"/>
      <c r="M34" s="21"/>
    </row>
    <row r="35" spans="2:13" x14ac:dyDescent="0.45">
      <c r="B35" s="70" t="s">
        <v>105</v>
      </c>
      <c r="C35" s="70" t="s">
        <v>104</v>
      </c>
      <c r="D35" s="11">
        <v>381200</v>
      </c>
      <c r="E35" s="74"/>
      <c r="H35" s="79"/>
      <c r="I35" s="75"/>
      <c r="J35" s="21"/>
      <c r="K35" s="21"/>
      <c r="L35" s="21"/>
      <c r="M35" s="21"/>
    </row>
    <row r="36" spans="2:13" x14ac:dyDescent="0.45">
      <c r="B36" s="70" t="s">
        <v>106</v>
      </c>
      <c r="C36" s="70" t="s">
        <v>105</v>
      </c>
      <c r="D36" s="11">
        <v>396400</v>
      </c>
      <c r="E36" s="74"/>
      <c r="F36" s="70" t="s">
        <v>106</v>
      </c>
      <c r="G36" s="70" t="s">
        <v>104</v>
      </c>
      <c r="H36" s="79">
        <v>102.48</v>
      </c>
      <c r="I36" s="75"/>
      <c r="J36" s="80"/>
      <c r="K36" s="80"/>
      <c r="L36" s="81"/>
      <c r="M36" s="21"/>
    </row>
    <row r="37" spans="2:13" x14ac:dyDescent="0.45">
      <c r="B37" s="70" t="s">
        <v>107</v>
      </c>
      <c r="C37" s="70" t="s">
        <v>106</v>
      </c>
      <c r="D37" s="11">
        <v>337200</v>
      </c>
      <c r="F37" s="70" t="s">
        <v>107</v>
      </c>
      <c r="G37" s="70" t="s">
        <v>106</v>
      </c>
      <c r="H37" s="79">
        <v>87.16</v>
      </c>
      <c r="I37" s="75"/>
      <c r="J37" s="80"/>
      <c r="K37" s="80"/>
      <c r="L37" s="81"/>
      <c r="M37" s="21"/>
    </row>
    <row r="38" spans="2:13" x14ac:dyDescent="0.45">
      <c r="B38" s="70" t="s">
        <v>108</v>
      </c>
      <c r="C38" s="70" t="s">
        <v>107</v>
      </c>
      <c r="D38" s="11">
        <v>372000</v>
      </c>
      <c r="F38" s="70" t="s">
        <v>108</v>
      </c>
      <c r="G38" s="70" t="s">
        <v>107</v>
      </c>
      <c r="H38" s="79">
        <v>96.11</v>
      </c>
      <c r="I38" s="75"/>
      <c r="J38" s="80"/>
      <c r="K38" s="80"/>
      <c r="L38" s="81"/>
      <c r="M38" s="21"/>
    </row>
    <row r="39" spans="2:13" x14ac:dyDescent="0.45">
      <c r="B39" s="70" t="s">
        <v>109</v>
      </c>
      <c r="C39" s="70" t="s">
        <v>108</v>
      </c>
      <c r="D39" s="11">
        <v>381520</v>
      </c>
      <c r="F39" s="70" t="s">
        <v>109</v>
      </c>
      <c r="G39" s="70" t="s">
        <v>108</v>
      </c>
      <c r="H39" s="79">
        <v>110.77</v>
      </c>
      <c r="I39" s="75"/>
      <c r="J39" s="80"/>
      <c r="K39" s="80"/>
      <c r="L39" s="81"/>
      <c r="M39" s="21"/>
    </row>
    <row r="40" spans="2:13" x14ac:dyDescent="0.45">
      <c r="B40" s="70" t="s">
        <v>110</v>
      </c>
      <c r="C40" s="70" t="s">
        <v>109</v>
      </c>
      <c r="D40" s="11">
        <v>457200</v>
      </c>
      <c r="F40" s="70" t="s">
        <v>110</v>
      </c>
      <c r="G40" s="70" t="s">
        <v>109</v>
      </c>
      <c r="H40" s="79">
        <v>140</v>
      </c>
      <c r="I40" s="75"/>
      <c r="J40" s="80"/>
      <c r="K40" s="80"/>
      <c r="L40" s="81"/>
      <c r="M40" s="21"/>
    </row>
    <row r="41" spans="2:13" x14ac:dyDescent="0.45">
      <c r="B41" s="70" t="s">
        <v>111</v>
      </c>
      <c r="C41" s="70" t="s">
        <v>110</v>
      </c>
      <c r="D41" s="11">
        <v>460400</v>
      </c>
      <c r="F41" s="70" t="s">
        <v>111</v>
      </c>
      <c r="G41" s="70" t="s">
        <v>110</v>
      </c>
      <c r="H41" s="11">
        <v>239.99</v>
      </c>
      <c r="J41" s="80"/>
      <c r="K41" s="80"/>
      <c r="L41" s="81"/>
      <c r="M41" s="21"/>
    </row>
    <row r="42" spans="2:13" x14ac:dyDescent="0.45">
      <c r="B42" s="70" t="s">
        <v>112</v>
      </c>
      <c r="C42" s="70" t="s">
        <v>111</v>
      </c>
      <c r="D42" s="11">
        <v>348400</v>
      </c>
      <c r="F42" s="70" t="s">
        <v>112</v>
      </c>
      <c r="G42" s="70" t="s">
        <v>111</v>
      </c>
      <c r="H42" s="11">
        <v>1353.56</v>
      </c>
      <c r="J42" s="80"/>
      <c r="K42" s="80"/>
      <c r="L42" s="81"/>
      <c r="M42" s="21"/>
    </row>
    <row r="43" spans="2:13" x14ac:dyDescent="0.45">
      <c r="B43" s="70" t="s">
        <v>113</v>
      </c>
      <c r="C43" s="70" t="s">
        <v>112</v>
      </c>
      <c r="D43" s="11">
        <v>360000</v>
      </c>
      <c r="F43" s="70" t="s">
        <v>113</v>
      </c>
      <c r="G43" s="70" t="s">
        <v>112</v>
      </c>
      <c r="H43" s="11">
        <v>2775.73</v>
      </c>
      <c r="J43" s="80"/>
      <c r="K43" s="80"/>
      <c r="L43" s="81"/>
      <c r="M43" s="21"/>
    </row>
    <row r="44" spans="2:13" x14ac:dyDescent="0.45">
      <c r="B44" s="70" t="s">
        <v>114</v>
      </c>
      <c r="C44" s="70" t="s">
        <v>113</v>
      </c>
      <c r="D44" s="11">
        <v>392000</v>
      </c>
      <c r="F44" s="70" t="s">
        <v>114</v>
      </c>
      <c r="G44" s="70" t="s">
        <v>113</v>
      </c>
      <c r="H44" s="11">
        <v>3254.3</v>
      </c>
      <c r="J44" s="80"/>
      <c r="K44" s="80"/>
      <c r="L44" s="81"/>
      <c r="M44" s="21"/>
    </row>
    <row r="45" spans="2:13" x14ac:dyDescent="0.45">
      <c r="B45" s="70" t="s">
        <v>115</v>
      </c>
      <c r="C45" s="70" t="s">
        <v>114</v>
      </c>
      <c r="D45" s="11">
        <v>645600</v>
      </c>
      <c r="F45" s="70" t="s">
        <v>115</v>
      </c>
      <c r="G45" s="70" t="s">
        <v>114</v>
      </c>
      <c r="H45" s="11">
        <v>2788.7</v>
      </c>
      <c r="J45" s="80"/>
      <c r="K45" s="80"/>
      <c r="L45" s="81"/>
      <c r="M45" s="21"/>
    </row>
    <row r="46" spans="2:13" x14ac:dyDescent="0.45">
      <c r="B46" s="70" t="s">
        <v>116</v>
      </c>
      <c r="C46" s="70" t="s">
        <v>115</v>
      </c>
      <c r="D46" s="11">
        <v>761600</v>
      </c>
      <c r="F46" s="70" t="s">
        <v>116</v>
      </c>
      <c r="G46" s="70" t="s">
        <v>115</v>
      </c>
      <c r="H46" s="11">
        <v>3520.89</v>
      </c>
      <c r="J46" s="80"/>
      <c r="K46" s="80"/>
      <c r="L46" s="81"/>
      <c r="M46" s="21"/>
    </row>
    <row r="47" spans="2:13" x14ac:dyDescent="0.45">
      <c r="B47" s="70" t="s">
        <v>117</v>
      </c>
      <c r="C47" s="70" t="s">
        <v>116</v>
      </c>
      <c r="D47" s="11">
        <v>456480</v>
      </c>
      <c r="F47" s="70" t="s">
        <v>147</v>
      </c>
      <c r="G47" s="70" t="s">
        <v>116</v>
      </c>
      <c r="H47" s="11">
        <v>530.16</v>
      </c>
      <c r="J47" s="80"/>
      <c r="K47" s="80"/>
      <c r="L47" s="81"/>
      <c r="M47" s="21"/>
    </row>
    <row r="48" spans="2:13" x14ac:dyDescent="0.45">
      <c r="B48" s="70" t="s">
        <v>118</v>
      </c>
      <c r="C48" s="70" t="s">
        <v>117</v>
      </c>
      <c r="D48" s="11">
        <v>417200</v>
      </c>
      <c r="F48" s="70" t="s">
        <v>118</v>
      </c>
      <c r="G48" s="70" t="s">
        <v>147</v>
      </c>
      <c r="H48" s="11">
        <v>209.27</v>
      </c>
      <c r="J48" s="80"/>
      <c r="K48" s="80"/>
      <c r="L48" s="81"/>
      <c r="M48" s="21"/>
    </row>
    <row r="49" spans="2:13" x14ac:dyDescent="0.45">
      <c r="B49" s="70" t="s">
        <v>119</v>
      </c>
      <c r="C49" s="70" t="s">
        <v>118</v>
      </c>
      <c r="D49" s="11">
        <v>501040</v>
      </c>
      <c r="F49" s="70" t="s">
        <v>119</v>
      </c>
      <c r="G49" s="70" t="s">
        <v>118</v>
      </c>
      <c r="H49" s="11">
        <v>225.77</v>
      </c>
      <c r="J49" s="80"/>
      <c r="K49" s="80"/>
      <c r="L49" s="81"/>
      <c r="M49" s="21"/>
    </row>
    <row r="50" spans="2:13" x14ac:dyDescent="0.45">
      <c r="B50" s="70" t="s">
        <v>120</v>
      </c>
      <c r="C50" s="70" t="s">
        <v>119</v>
      </c>
      <c r="D50" s="11">
        <v>404320</v>
      </c>
      <c r="F50" s="70" t="s">
        <v>120</v>
      </c>
      <c r="G50" s="70" t="s">
        <v>119</v>
      </c>
      <c r="H50" s="11">
        <v>206.04</v>
      </c>
      <c r="J50" s="80"/>
      <c r="K50" s="80"/>
      <c r="L50" s="81"/>
      <c r="M50" s="21"/>
    </row>
    <row r="51" spans="2:13" x14ac:dyDescent="0.45">
      <c r="B51" s="70" t="s">
        <v>121</v>
      </c>
      <c r="C51" s="70" t="s">
        <v>120</v>
      </c>
      <c r="D51" s="20">
        <v>409200</v>
      </c>
      <c r="E51" s="19"/>
      <c r="F51" s="70" t="s">
        <v>148</v>
      </c>
      <c r="G51" s="70" t="s">
        <v>120</v>
      </c>
      <c r="H51" s="11">
        <v>215.27</v>
      </c>
      <c r="J51" s="80"/>
      <c r="K51" s="80"/>
      <c r="L51" s="81"/>
      <c r="M51" s="21"/>
    </row>
    <row r="52" spans="2:13" x14ac:dyDescent="0.45">
      <c r="B52" s="70" t="s">
        <v>122</v>
      </c>
      <c r="C52" s="70" t="s">
        <v>121</v>
      </c>
      <c r="D52" s="20">
        <v>514000</v>
      </c>
      <c r="E52" s="19"/>
      <c r="F52" s="70" t="s">
        <v>122</v>
      </c>
      <c r="G52" s="70" t="s">
        <v>148</v>
      </c>
      <c r="H52" s="11">
        <v>241</v>
      </c>
      <c r="J52" s="80"/>
      <c r="K52" s="80"/>
      <c r="L52" s="81"/>
      <c r="M52" s="21"/>
    </row>
    <row r="53" spans="2:13" x14ac:dyDescent="0.45">
      <c r="B53" s="70" t="s">
        <v>123</v>
      </c>
      <c r="C53" s="70" t="s">
        <v>122</v>
      </c>
      <c r="D53" s="20">
        <v>442800</v>
      </c>
      <c r="E53" s="19"/>
      <c r="F53" s="70" t="s">
        <v>123</v>
      </c>
      <c r="G53" s="70" t="s">
        <v>122</v>
      </c>
      <c r="H53" s="11">
        <v>381.06</v>
      </c>
      <c r="J53" s="80"/>
      <c r="K53" s="80"/>
      <c r="L53" s="81"/>
      <c r="M53" s="21"/>
    </row>
    <row r="54" spans="2:13" x14ac:dyDescent="0.45">
      <c r="B54" s="70" t="s">
        <v>149</v>
      </c>
      <c r="C54" s="70" t="s">
        <v>123</v>
      </c>
      <c r="D54" s="20">
        <v>350400</v>
      </c>
      <c r="E54" s="19"/>
      <c r="F54" s="70" t="s">
        <v>150</v>
      </c>
      <c r="G54" s="70" t="s">
        <v>123</v>
      </c>
      <c r="H54" s="11">
        <v>1454.81</v>
      </c>
      <c r="J54" s="80"/>
      <c r="K54" s="80"/>
      <c r="L54" s="81"/>
      <c r="M54" s="21"/>
    </row>
    <row r="55" spans="2:13" x14ac:dyDescent="0.45">
      <c r="B55" s="70" t="s">
        <v>125</v>
      </c>
      <c r="C55" s="70" t="s">
        <v>149</v>
      </c>
      <c r="D55" s="77">
        <v>362000</v>
      </c>
      <c r="E55" s="74"/>
      <c r="F55" s="70" t="s">
        <v>151</v>
      </c>
      <c r="G55" s="70" t="s">
        <v>150</v>
      </c>
      <c r="H55" s="11">
        <v>1703.85</v>
      </c>
      <c r="J55" s="80"/>
      <c r="K55" s="80"/>
      <c r="L55" s="81"/>
      <c r="M55" s="21"/>
    </row>
    <row r="56" spans="2:13" x14ac:dyDescent="0.45">
      <c r="B56" s="70" t="s">
        <v>152</v>
      </c>
      <c r="C56" s="70" t="s">
        <v>125</v>
      </c>
      <c r="D56" s="77">
        <v>479200</v>
      </c>
      <c r="E56" s="74"/>
      <c r="F56" s="70" t="s">
        <v>126</v>
      </c>
      <c r="G56" s="70" t="s">
        <v>151</v>
      </c>
      <c r="H56" s="11">
        <v>2610.5500000000002</v>
      </c>
      <c r="J56" s="80"/>
      <c r="K56" s="80"/>
      <c r="L56" s="81"/>
      <c r="M56" s="21"/>
    </row>
    <row r="57" spans="2:13" x14ac:dyDescent="0.45">
      <c r="D57" s="77"/>
      <c r="E57" s="74"/>
      <c r="F57" s="78"/>
      <c r="G57" s="76"/>
      <c r="J57" s="21"/>
      <c r="K57" s="21"/>
      <c r="L57" s="21"/>
      <c r="M57" s="21"/>
    </row>
    <row r="58" spans="2:13" x14ac:dyDescent="0.45">
      <c r="C58" s="76"/>
      <c r="D58" s="77"/>
      <c r="E58" s="74"/>
      <c r="F58" s="78"/>
      <c r="G58" s="76"/>
      <c r="J58" s="21"/>
      <c r="K58" s="21"/>
      <c r="L58" s="21"/>
      <c r="M58" s="21"/>
    </row>
    <row r="59" spans="2:13" x14ac:dyDescent="0.45">
      <c r="C59" s="76"/>
      <c r="D59" s="77"/>
      <c r="E59" s="74"/>
      <c r="F59" s="78"/>
      <c r="G59" s="76"/>
      <c r="J59" s="21"/>
      <c r="K59" s="21"/>
      <c r="L59" s="21"/>
      <c r="M59" s="21"/>
    </row>
    <row r="60" spans="2:13" x14ac:dyDescent="0.45">
      <c r="C60" s="76"/>
      <c r="D60" s="77"/>
      <c r="E60" s="74"/>
      <c r="F60" s="78"/>
      <c r="G60" s="76"/>
    </row>
    <row r="61" spans="2:13" x14ac:dyDescent="0.45">
      <c r="C61" s="76"/>
      <c r="D61" s="20"/>
      <c r="E61" s="19"/>
      <c r="F61" s="76"/>
      <c r="G61" s="76"/>
    </row>
    <row r="62" spans="2:13" x14ac:dyDescent="0.45">
      <c r="C62" s="76"/>
      <c r="D62" s="20"/>
      <c r="E62" s="19"/>
      <c r="F62" s="76"/>
      <c r="G62" s="76"/>
    </row>
    <row r="63" spans="2:13" x14ac:dyDescent="0.45">
      <c r="C63" s="76"/>
      <c r="D63" s="20"/>
      <c r="E63" s="19"/>
      <c r="F63" s="76"/>
      <c r="G63" s="76"/>
    </row>
    <row r="64" spans="2:13" x14ac:dyDescent="0.45">
      <c r="C64" s="76"/>
      <c r="D64" s="20"/>
      <c r="E64" s="19"/>
      <c r="F64" s="76"/>
      <c r="G64" s="76"/>
    </row>
    <row r="65" spans="3:7" x14ac:dyDescent="0.45">
      <c r="C65" s="76"/>
      <c r="D65" s="20"/>
      <c r="E65" s="19"/>
      <c r="F65" s="76"/>
      <c r="G65" s="76"/>
    </row>
    <row r="66" spans="3:7" x14ac:dyDescent="0.45">
      <c r="C66" s="76"/>
      <c r="D66" s="20"/>
      <c r="E66" s="19"/>
      <c r="F66" s="76"/>
      <c r="G66" s="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662C-5A87-4D90-837D-04977AE57874}">
  <dimension ref="A1:R62"/>
  <sheetViews>
    <sheetView workbookViewId="0">
      <selection activeCell="D8" sqref="D8"/>
    </sheetView>
  </sheetViews>
  <sheetFormatPr defaultRowHeight="14.25" x14ac:dyDescent="0.45"/>
  <cols>
    <col min="1" max="1" width="34.796875" customWidth="1"/>
    <col min="2" max="2" width="25.46484375" customWidth="1"/>
    <col min="3" max="3" width="14.19921875" customWidth="1"/>
    <col min="4" max="4" width="11.73046875" customWidth="1"/>
    <col min="5" max="5" width="11.46484375" customWidth="1"/>
    <col min="7" max="7" width="12.53125" customWidth="1"/>
    <col min="12" max="12" width="26.46484375" customWidth="1"/>
    <col min="13" max="13" width="11.73046875" customWidth="1"/>
    <col min="14" max="14" width="11.19921875" customWidth="1"/>
    <col min="16" max="16" width="26.46484375" customWidth="1"/>
    <col min="17" max="18" width="11.19921875" customWidth="1"/>
  </cols>
  <sheetData>
    <row r="1" spans="1:18" x14ac:dyDescent="0.45">
      <c r="A1" t="s">
        <v>153</v>
      </c>
      <c r="L1" t="s">
        <v>215</v>
      </c>
      <c r="M1" s="107" t="s">
        <v>63</v>
      </c>
      <c r="N1" t="s">
        <v>272</v>
      </c>
      <c r="P1" t="s">
        <v>215</v>
      </c>
      <c r="Q1" t="s">
        <v>63</v>
      </c>
      <c r="R1" s="107" t="s">
        <v>272</v>
      </c>
    </row>
    <row r="2" spans="1:18" x14ac:dyDescent="0.45">
      <c r="A2" s="15" t="s">
        <v>273</v>
      </c>
      <c r="B2">
        <v>7.5799999999999999E-3</v>
      </c>
      <c r="C2" t="s">
        <v>154</v>
      </c>
      <c r="L2" s="15" t="s">
        <v>211</v>
      </c>
      <c r="M2" s="15">
        <v>2.3810000000000001E-2</v>
      </c>
      <c r="N2">
        <v>1.4791131000000001E-2</v>
      </c>
      <c r="P2" s="15" t="s">
        <v>233</v>
      </c>
      <c r="Q2" s="15">
        <v>2.3810000000000001E-2</v>
      </c>
      <c r="R2">
        <v>2.6029868000000001E-2</v>
      </c>
    </row>
    <row r="3" spans="1:18" x14ac:dyDescent="0.45">
      <c r="A3" t="s">
        <v>274</v>
      </c>
      <c r="B3">
        <v>2.6908520000000001E-3</v>
      </c>
      <c r="C3" t="s">
        <v>154</v>
      </c>
      <c r="L3" s="15" t="s">
        <v>231</v>
      </c>
      <c r="M3" s="15">
        <v>2.3810000000000001E-2</v>
      </c>
      <c r="N3">
        <v>7.3352039999999997E-3</v>
      </c>
      <c r="P3" s="15" t="s">
        <v>211</v>
      </c>
      <c r="Q3" s="15">
        <v>2.3810000000000001E-2</v>
      </c>
      <c r="R3">
        <v>1.4791131000000001E-2</v>
      </c>
    </row>
    <row r="4" spans="1:18" x14ac:dyDescent="0.45">
      <c r="A4" t="s">
        <v>155</v>
      </c>
      <c r="B4">
        <v>1.4E-3</v>
      </c>
      <c r="C4" t="s">
        <v>154</v>
      </c>
      <c r="G4" t="s">
        <v>275</v>
      </c>
      <c r="L4" s="15" t="s">
        <v>233</v>
      </c>
      <c r="M4" s="15">
        <v>2.3810000000000001E-2</v>
      </c>
      <c r="N4">
        <v>2.6029868000000001E-2</v>
      </c>
      <c r="P4" s="15" t="s">
        <v>250</v>
      </c>
      <c r="Q4">
        <v>2.3810000000000001E-2</v>
      </c>
      <c r="R4">
        <v>1.0446456E-2</v>
      </c>
    </row>
    <row r="5" spans="1:18" x14ac:dyDescent="0.45">
      <c r="A5" t="s">
        <v>156</v>
      </c>
      <c r="B5">
        <v>2.8896199999999998E-4</v>
      </c>
      <c r="C5" t="s">
        <v>157</v>
      </c>
      <c r="L5" s="15" t="s">
        <v>247</v>
      </c>
      <c r="M5" s="15">
        <v>2.3810000000000001E-2</v>
      </c>
      <c r="N5">
        <v>8.5050750000000008E-3</v>
      </c>
      <c r="P5" s="15" t="s">
        <v>218</v>
      </c>
      <c r="Q5" s="15">
        <v>1.1809999999999999E-2</v>
      </c>
      <c r="R5">
        <v>8.9806120000000007E-3</v>
      </c>
    </row>
    <row r="6" spans="1:18" x14ac:dyDescent="0.45">
      <c r="A6" t="s">
        <v>158</v>
      </c>
      <c r="B6">
        <v>5.3109999999999998E-5</v>
      </c>
      <c r="C6" t="s">
        <v>159</v>
      </c>
      <c r="L6" s="15" t="s">
        <v>249</v>
      </c>
      <c r="M6">
        <v>2.3810000000000001E-2</v>
      </c>
      <c r="N6">
        <v>6.3218190000000002E-3</v>
      </c>
      <c r="P6" s="15" t="s">
        <v>247</v>
      </c>
      <c r="Q6" s="15">
        <v>2.3810000000000001E-2</v>
      </c>
      <c r="R6">
        <v>8.5050750000000008E-3</v>
      </c>
    </row>
    <row r="7" spans="1:18" x14ac:dyDescent="0.45">
      <c r="A7" t="s">
        <v>160</v>
      </c>
      <c r="B7">
        <v>4.4929999999999998E-5</v>
      </c>
      <c r="C7" t="s">
        <v>161</v>
      </c>
      <c r="G7" t="s">
        <v>162</v>
      </c>
      <c r="H7" t="s">
        <v>163</v>
      </c>
      <c r="L7" s="15" t="s">
        <v>250</v>
      </c>
      <c r="M7">
        <v>2.3810000000000001E-2</v>
      </c>
      <c r="N7">
        <v>1.0446456E-2</v>
      </c>
      <c r="P7" s="15" t="s">
        <v>230</v>
      </c>
      <c r="Q7" s="15">
        <v>1.1809999999999999E-2</v>
      </c>
      <c r="R7">
        <v>7.7494139999999996E-3</v>
      </c>
    </row>
    <row r="8" spans="1:18" x14ac:dyDescent="0.45">
      <c r="A8" t="s">
        <v>164</v>
      </c>
      <c r="B8" s="6">
        <f>B5/3412*1000</f>
        <v>8.4689917936694011E-5</v>
      </c>
      <c r="C8" t="s">
        <v>161</v>
      </c>
      <c r="G8" s="8">
        <f>B8*3.412*1000*fine</f>
        <v>77.441816000000003</v>
      </c>
      <c r="H8" s="73">
        <f>G8/1000</f>
        <v>7.7441815999999997E-2</v>
      </c>
      <c r="L8" t="s">
        <v>265</v>
      </c>
      <c r="M8">
        <v>2.3810000000000001E-2</v>
      </c>
      <c r="N8">
        <v>6.7551900000000003E-3</v>
      </c>
      <c r="P8" s="15" t="s">
        <v>231</v>
      </c>
      <c r="Q8" s="15">
        <v>2.3810000000000001E-2</v>
      </c>
      <c r="R8">
        <v>7.3352039999999997E-3</v>
      </c>
    </row>
    <row r="9" spans="1:18" x14ac:dyDescent="0.45">
      <c r="A9" t="s">
        <v>165</v>
      </c>
      <c r="B9" s="13">
        <v>268</v>
      </c>
      <c r="G9" s="15"/>
      <c r="H9" s="15"/>
      <c r="L9" s="15" t="s">
        <v>218</v>
      </c>
      <c r="M9" s="15">
        <v>1.1809999999999999E-2</v>
      </c>
      <c r="N9">
        <v>8.9806120000000007E-3</v>
      </c>
      <c r="P9" t="s">
        <v>265</v>
      </c>
      <c r="Q9">
        <v>2.3810000000000001E-2</v>
      </c>
      <c r="R9">
        <v>6.7551900000000003E-3</v>
      </c>
    </row>
    <row r="10" spans="1:18" x14ac:dyDescent="0.45">
      <c r="A10" t="s">
        <v>166</v>
      </c>
      <c r="B10" s="11">
        <v>1194</v>
      </c>
      <c r="G10" s="15" t="s">
        <v>167</v>
      </c>
      <c r="H10" s="15">
        <f>B8*3.412*1000</f>
        <v>0.288962</v>
      </c>
      <c r="L10" s="15" t="s">
        <v>229</v>
      </c>
      <c r="M10" s="15">
        <v>1.1809999999999999E-2</v>
      </c>
      <c r="N10">
        <v>5.2088799999999999E-3</v>
      </c>
      <c r="P10" s="15" t="s">
        <v>249</v>
      </c>
      <c r="Q10">
        <v>2.3810000000000001E-2</v>
      </c>
      <c r="R10">
        <v>6.3218190000000002E-3</v>
      </c>
    </row>
    <row r="11" spans="1:18" x14ac:dyDescent="0.45">
      <c r="B11" s="8"/>
      <c r="G11" s="15" t="s">
        <v>168</v>
      </c>
      <c r="H11" s="15">
        <f>steam*1194</f>
        <v>5.364642E-2</v>
      </c>
      <c r="L11" s="15" t="s">
        <v>230</v>
      </c>
      <c r="M11" s="15">
        <v>1.1809999999999999E-2</v>
      </c>
      <c r="N11">
        <v>7.7494139999999996E-3</v>
      </c>
      <c r="P11" s="15" t="s">
        <v>251</v>
      </c>
      <c r="Q11">
        <v>1.1809999999999999E-2</v>
      </c>
      <c r="R11">
        <v>6.0183229999999999E-3</v>
      </c>
    </row>
    <row r="12" spans="1:18" x14ac:dyDescent="0.45">
      <c r="A12" t="s">
        <v>169</v>
      </c>
      <c r="B12">
        <f>B8/B7</f>
        <v>1.8849302901556646</v>
      </c>
      <c r="G12" s="15"/>
      <c r="H12" s="15"/>
      <c r="L12" s="15" t="s">
        <v>238</v>
      </c>
      <c r="M12" s="15">
        <v>1.1809999999999999E-2</v>
      </c>
      <c r="N12">
        <v>5.3952679999999999E-3</v>
      </c>
      <c r="P12" t="s">
        <v>267</v>
      </c>
      <c r="Q12">
        <v>1.1809999999999999E-2</v>
      </c>
      <c r="R12">
        <v>5.7723749999999997E-3</v>
      </c>
    </row>
    <row r="13" spans="1:18" x14ac:dyDescent="0.45">
      <c r="G13" s="15"/>
      <c r="H13" s="15"/>
      <c r="L13" s="15" t="s">
        <v>240</v>
      </c>
      <c r="M13" s="15">
        <v>1.1809999999999999E-2</v>
      </c>
      <c r="N13">
        <v>5.3958000000000001E-3</v>
      </c>
      <c r="P13" s="15" t="s">
        <v>240</v>
      </c>
      <c r="Q13" s="15">
        <v>1.1809999999999999E-2</v>
      </c>
      <c r="R13">
        <v>5.3958000000000001E-3</v>
      </c>
    </row>
    <row r="14" spans="1:18" x14ac:dyDescent="0.45">
      <c r="A14" t="s">
        <v>170</v>
      </c>
      <c r="B14" s="115">
        <f>B19/elec</f>
        <v>0.50179608391414787</v>
      </c>
      <c r="C14" t="s">
        <v>171</v>
      </c>
      <c r="L14" s="15" t="s">
        <v>251</v>
      </c>
      <c r="M14">
        <v>1.1809999999999999E-2</v>
      </c>
      <c r="N14">
        <v>6.0183229999999999E-3</v>
      </c>
      <c r="P14" s="15" t="s">
        <v>238</v>
      </c>
      <c r="Q14" s="15">
        <v>1.1809999999999999E-2</v>
      </c>
      <c r="R14">
        <v>5.3952679999999999E-3</v>
      </c>
    </row>
    <row r="15" spans="1:18" x14ac:dyDescent="0.45">
      <c r="A15" t="s">
        <v>172</v>
      </c>
      <c r="B15" s="2">
        <v>0.1</v>
      </c>
      <c r="C15" t="s">
        <v>171</v>
      </c>
      <c r="L15" s="15" t="s">
        <v>259</v>
      </c>
      <c r="M15">
        <v>1.1809999999999999E-2</v>
      </c>
      <c r="N15">
        <v>4.038374E-3</v>
      </c>
      <c r="P15" s="15" t="s">
        <v>229</v>
      </c>
      <c r="Q15" s="15">
        <v>1.1809999999999999E-2</v>
      </c>
      <c r="R15">
        <v>5.2088799999999999E-3</v>
      </c>
    </row>
    <row r="16" spans="1:18" x14ac:dyDescent="0.45">
      <c r="A16" t="s">
        <v>173</v>
      </c>
      <c r="B16">
        <v>2.5</v>
      </c>
      <c r="L16" t="s">
        <v>264</v>
      </c>
      <c r="M16">
        <v>1.1809999999999999E-2</v>
      </c>
      <c r="N16">
        <v>1.361842E-3</v>
      </c>
      <c r="P16" s="15" t="s">
        <v>258</v>
      </c>
      <c r="Q16">
        <v>1.1379999999999999E-2</v>
      </c>
      <c r="R16">
        <v>4.8931240000000004E-3</v>
      </c>
    </row>
    <row r="17" spans="1:18" x14ac:dyDescent="0.45">
      <c r="A17" t="s">
        <v>174</v>
      </c>
      <c r="B17" s="2">
        <v>0.7</v>
      </c>
      <c r="L17" t="s">
        <v>267</v>
      </c>
      <c r="M17">
        <v>1.1809999999999999E-2</v>
      </c>
      <c r="N17">
        <v>5.7723749999999997E-3</v>
      </c>
      <c r="P17" s="15" t="s">
        <v>253</v>
      </c>
      <c r="Q17">
        <v>5.7400000000000003E-3</v>
      </c>
      <c r="R17">
        <v>4.8430369999999997E-3</v>
      </c>
    </row>
    <row r="18" spans="1:18" x14ac:dyDescent="0.45">
      <c r="A18" t="s">
        <v>276</v>
      </c>
      <c r="B18" s="108"/>
      <c r="E18" s="1"/>
      <c r="L18" s="15" t="s">
        <v>258</v>
      </c>
      <c r="M18">
        <v>1.1379999999999999E-2</v>
      </c>
      <c r="N18">
        <v>4.8931240000000004E-3</v>
      </c>
      <c r="P18" s="15" t="s">
        <v>235</v>
      </c>
      <c r="Q18" s="15">
        <v>8.4600000000000005E-3</v>
      </c>
      <c r="R18">
        <v>4.7058500000000001E-3</v>
      </c>
    </row>
    <row r="19" spans="1:18" x14ac:dyDescent="0.45">
      <c r="A19" s="10" t="s">
        <v>277</v>
      </c>
      <c r="B19" s="108">
        <v>1.45E-4</v>
      </c>
      <c r="C19" t="s">
        <v>278</v>
      </c>
      <c r="D19" s="1" t="s">
        <v>281</v>
      </c>
      <c r="L19" t="s">
        <v>262</v>
      </c>
      <c r="M19">
        <v>1.1379999999999999E-2</v>
      </c>
      <c r="N19">
        <v>4.4101230000000002E-3</v>
      </c>
      <c r="P19" t="s">
        <v>268</v>
      </c>
      <c r="Q19">
        <v>5.7400000000000003E-3</v>
      </c>
      <c r="R19">
        <v>4.6131219999999999E-3</v>
      </c>
    </row>
    <row r="20" spans="1:18" x14ac:dyDescent="0.45">
      <c r="A20" t="s">
        <v>175</v>
      </c>
      <c r="B20">
        <v>53</v>
      </c>
      <c r="C20" t="s">
        <v>176</v>
      </c>
      <c r="D20" s="1">
        <f>B20/elec</f>
        <v>183415.12032724026</v>
      </c>
      <c r="L20" t="s">
        <v>269</v>
      </c>
      <c r="M20">
        <v>1.1379999999999999E-2</v>
      </c>
      <c r="N20">
        <v>4.2649619999999997E-3</v>
      </c>
      <c r="P20" s="15" t="s">
        <v>246</v>
      </c>
      <c r="Q20" s="15">
        <v>9.8700000000000003E-3</v>
      </c>
      <c r="R20">
        <v>4.4795700000000004E-3</v>
      </c>
    </row>
    <row r="21" spans="1:18" x14ac:dyDescent="0.45">
      <c r="A21" t="s">
        <v>177</v>
      </c>
      <c r="B21" s="17">
        <f>1000*2*0.9*0.7*8760/1000/1000</f>
        <v>11.037600000000001</v>
      </c>
      <c r="C21" t="s">
        <v>176</v>
      </c>
      <c r="D21" s="1">
        <f>B21/elec</f>
        <v>38197.410040074479</v>
      </c>
      <c r="L21" s="15" t="s">
        <v>216</v>
      </c>
      <c r="M21" s="15">
        <v>1.0749999999999999E-2</v>
      </c>
      <c r="N21">
        <v>2.912778E-3</v>
      </c>
      <c r="P21" t="s">
        <v>262</v>
      </c>
      <c r="Q21">
        <v>1.1379999999999999E-2</v>
      </c>
      <c r="R21">
        <v>4.4101230000000002E-3</v>
      </c>
    </row>
    <row r="22" spans="1:18" x14ac:dyDescent="0.45">
      <c r="A22" t="s">
        <v>178</v>
      </c>
      <c r="B22" s="2">
        <f>B21/B20</f>
        <v>0.20825660377358493</v>
      </c>
      <c r="D22" s="1">
        <f>B22/elec</f>
        <v>720.70584981272611</v>
      </c>
      <c r="L22" s="15" t="s">
        <v>226</v>
      </c>
      <c r="M22" s="15">
        <v>1.074E-2</v>
      </c>
      <c r="N22">
        <v>3.9838030000000002E-3</v>
      </c>
      <c r="P22" t="s">
        <v>269</v>
      </c>
      <c r="Q22">
        <v>1.1379999999999999E-2</v>
      </c>
      <c r="R22">
        <v>4.2649619999999997E-3</v>
      </c>
    </row>
    <row r="23" spans="1:18" x14ac:dyDescent="0.45">
      <c r="B23" s="17"/>
      <c r="L23" s="15" t="s">
        <v>214</v>
      </c>
      <c r="M23" s="15">
        <v>1.074E-2</v>
      </c>
      <c r="N23">
        <v>1.9282259999999999E-3</v>
      </c>
      <c r="P23" s="15" t="s">
        <v>259</v>
      </c>
      <c r="Q23">
        <v>1.1809999999999999E-2</v>
      </c>
      <c r="R23">
        <v>4.038374E-3</v>
      </c>
    </row>
    <row r="24" spans="1:18" x14ac:dyDescent="0.45">
      <c r="A24" t="s">
        <v>179</v>
      </c>
      <c r="B24" s="17"/>
      <c r="L24" s="15" t="s">
        <v>248</v>
      </c>
      <c r="M24" s="15">
        <v>1.074E-2</v>
      </c>
      <c r="N24">
        <v>1.823381E-3</v>
      </c>
      <c r="P24" s="15" t="s">
        <v>220</v>
      </c>
      <c r="Q24" s="15">
        <v>9.8700000000000003E-3</v>
      </c>
      <c r="R24">
        <v>4.0361720000000002E-3</v>
      </c>
    </row>
    <row r="25" spans="1:18" x14ac:dyDescent="0.45">
      <c r="A25" t="s">
        <v>180</v>
      </c>
      <c r="B25" s="17">
        <v>3.6</v>
      </c>
      <c r="C25" t="s">
        <v>176</v>
      </c>
      <c r="L25" s="15" t="s">
        <v>220</v>
      </c>
      <c r="M25" s="15">
        <v>9.8700000000000003E-3</v>
      </c>
      <c r="N25">
        <v>4.0361720000000002E-3</v>
      </c>
      <c r="P25" s="15" t="s">
        <v>226</v>
      </c>
      <c r="Q25" s="15">
        <v>1.074E-2</v>
      </c>
      <c r="R25">
        <v>3.9838030000000002E-3</v>
      </c>
    </row>
    <row r="26" spans="1:18" x14ac:dyDescent="0.45">
      <c r="A26" t="s">
        <v>181</v>
      </c>
      <c r="B26" s="17">
        <f>1250*0.95*8760/1000/1000</f>
        <v>10.4025</v>
      </c>
      <c r="L26" s="15" t="s">
        <v>222</v>
      </c>
      <c r="M26" s="15">
        <v>9.8700000000000003E-3</v>
      </c>
      <c r="N26">
        <v>2.0997479999999998E-3</v>
      </c>
      <c r="P26" s="15" t="s">
        <v>228</v>
      </c>
      <c r="Q26" s="15">
        <v>9.8700000000000003E-3</v>
      </c>
      <c r="R26">
        <v>3.946728E-3</v>
      </c>
    </row>
    <row r="27" spans="1:18" x14ac:dyDescent="0.45">
      <c r="A27" t="s">
        <v>182</v>
      </c>
      <c r="B27" s="17">
        <f>1300*0.7*8760/1000000</f>
        <v>7.9715999999999987</v>
      </c>
      <c r="C27" t="s">
        <v>176</v>
      </c>
      <c r="L27" s="15" t="s">
        <v>228</v>
      </c>
      <c r="M27" s="15">
        <v>9.8700000000000003E-3</v>
      </c>
      <c r="N27">
        <v>3.946728E-3</v>
      </c>
      <c r="P27" s="15" t="s">
        <v>212</v>
      </c>
      <c r="Q27" s="15">
        <v>9.8700000000000003E-3</v>
      </c>
      <c r="R27">
        <v>3.8506679999999998E-3</v>
      </c>
    </row>
    <row r="28" spans="1:18" x14ac:dyDescent="0.45">
      <c r="A28" t="s">
        <v>183</v>
      </c>
      <c r="B28" s="2">
        <f>SUM(B25:B27)/B20</f>
        <v>0.41460566037735846</v>
      </c>
      <c r="L28" s="15" t="s">
        <v>212</v>
      </c>
      <c r="M28" s="15">
        <v>9.8700000000000003E-3</v>
      </c>
      <c r="N28">
        <v>3.8506679999999998E-3</v>
      </c>
      <c r="P28" t="s">
        <v>263</v>
      </c>
      <c r="Q28">
        <v>9.8700000000000003E-3</v>
      </c>
      <c r="R28">
        <v>3.833108E-3</v>
      </c>
    </row>
    <row r="29" spans="1:18" x14ac:dyDescent="0.45">
      <c r="A29" t="s">
        <v>184</v>
      </c>
      <c r="B29" s="2">
        <f>(1-B28)/(1-B22)</f>
        <v>0.73937382037252397</v>
      </c>
      <c r="C29" t="s">
        <v>185</v>
      </c>
      <c r="L29" s="15" t="s">
        <v>213</v>
      </c>
      <c r="M29" s="15">
        <v>9.8700000000000003E-3</v>
      </c>
      <c r="N29">
        <v>2.956738E-3</v>
      </c>
      <c r="P29" s="15" t="s">
        <v>245</v>
      </c>
      <c r="Q29" s="15">
        <v>7.5799999999999999E-3</v>
      </c>
      <c r="R29">
        <v>3.8080330000000002E-3</v>
      </c>
    </row>
    <row r="30" spans="1:18" x14ac:dyDescent="0.45">
      <c r="A30" t="s">
        <v>279</v>
      </c>
      <c r="B30" s="109">
        <v>4.32E-5</v>
      </c>
      <c r="C30" t="s">
        <v>161</v>
      </c>
      <c r="L30" s="15" t="s">
        <v>246</v>
      </c>
      <c r="M30" s="15">
        <v>9.8700000000000003E-3</v>
      </c>
      <c r="N30">
        <v>4.4795700000000004E-3</v>
      </c>
      <c r="P30" s="15" t="s">
        <v>227</v>
      </c>
      <c r="Q30" s="15">
        <v>8.4600000000000005E-3</v>
      </c>
      <c r="R30">
        <v>3.6970039999999998E-3</v>
      </c>
    </row>
    <row r="31" spans="1:18" x14ac:dyDescent="0.45">
      <c r="L31" s="15" t="s">
        <v>255</v>
      </c>
      <c r="M31">
        <v>9.8700000000000003E-3</v>
      </c>
      <c r="N31">
        <v>2.8521309999999999E-3</v>
      </c>
      <c r="P31" s="15" t="s">
        <v>217</v>
      </c>
      <c r="Q31" s="15">
        <v>7.5799999999999999E-3</v>
      </c>
      <c r="R31">
        <v>3.5655280000000001E-3</v>
      </c>
    </row>
    <row r="32" spans="1:18" x14ac:dyDescent="0.45">
      <c r="A32" t="s">
        <v>186</v>
      </c>
      <c r="C32" t="s">
        <v>187</v>
      </c>
      <c r="D32" t="s">
        <v>188</v>
      </c>
      <c r="E32" t="s">
        <v>189</v>
      </c>
      <c r="L32" t="s">
        <v>263</v>
      </c>
      <c r="M32">
        <v>9.8700000000000003E-3</v>
      </c>
      <c r="N32">
        <v>3.833108E-3</v>
      </c>
      <c r="P32" s="15" t="s">
        <v>223</v>
      </c>
      <c r="Q32" s="15">
        <v>6.7499999999999999E-3</v>
      </c>
      <c r="R32">
        <v>3.5400319999999998E-3</v>
      </c>
    </row>
    <row r="33" spans="1:18" x14ac:dyDescent="0.45">
      <c r="A33" t="s">
        <v>190</v>
      </c>
      <c r="B33" s="3">
        <v>10000000</v>
      </c>
      <c r="C33" s="3">
        <v>536464</v>
      </c>
      <c r="D33" s="4">
        <f>C33/B33</f>
        <v>5.3646399999999997E-2</v>
      </c>
      <c r="E33" s="1">
        <f>D33/'LL97 Constants'!B7</f>
        <v>1193.9995548631205</v>
      </c>
      <c r="F33" t="s">
        <v>191</v>
      </c>
      <c r="L33" s="15" t="s">
        <v>227</v>
      </c>
      <c r="M33" s="15">
        <v>8.4600000000000005E-3</v>
      </c>
      <c r="N33">
        <v>3.6970039999999998E-3</v>
      </c>
      <c r="P33" s="15" t="s">
        <v>239</v>
      </c>
      <c r="Q33" s="15">
        <v>6.7499999999999999E-3</v>
      </c>
      <c r="R33">
        <v>3.3466400000000001E-3</v>
      </c>
    </row>
    <row r="34" spans="1:18" x14ac:dyDescent="0.45">
      <c r="A34" t="s">
        <v>192</v>
      </c>
      <c r="B34" s="3">
        <v>1000000</v>
      </c>
      <c r="C34" s="3">
        <v>5311</v>
      </c>
      <c r="D34" s="4">
        <f>C34/B34</f>
        <v>5.3109999999999997E-3</v>
      </c>
      <c r="E34" s="5">
        <f>D34/'LL97 Constants'!B6</f>
        <v>100</v>
      </c>
      <c r="L34" s="15" t="s">
        <v>235</v>
      </c>
      <c r="M34" s="15">
        <v>8.4600000000000005E-3</v>
      </c>
      <c r="N34">
        <v>4.7058500000000001E-3</v>
      </c>
      <c r="P34" s="15" t="s">
        <v>221</v>
      </c>
      <c r="Q34" s="15">
        <v>5.7400000000000003E-3</v>
      </c>
      <c r="R34">
        <v>3.1038149999999998E-3</v>
      </c>
    </row>
    <row r="35" spans="1:18" x14ac:dyDescent="0.45">
      <c r="A35" t="s">
        <v>70</v>
      </c>
      <c r="B35" s="3">
        <v>1000000000</v>
      </c>
      <c r="C35" s="3">
        <v>288959</v>
      </c>
      <c r="D35" s="4">
        <f>C35/B35</f>
        <v>2.8895899999999998E-4</v>
      </c>
      <c r="G35">
        <v>1000</v>
      </c>
      <c r="H35" t="s">
        <v>193</v>
      </c>
      <c r="L35" s="15" t="s">
        <v>243</v>
      </c>
      <c r="M35" s="15">
        <v>8.4600000000000005E-3</v>
      </c>
      <c r="N35">
        <v>2.9340059999999999E-3</v>
      </c>
      <c r="P35" s="15" t="s">
        <v>213</v>
      </c>
      <c r="Q35" s="15">
        <v>9.8700000000000003E-3</v>
      </c>
      <c r="R35">
        <v>2.956738E-3</v>
      </c>
    </row>
    <row r="36" spans="1:18" x14ac:dyDescent="0.45">
      <c r="B36" s="3"/>
      <c r="C36" s="3"/>
      <c r="D36" s="3"/>
      <c r="G36">
        <v>960</v>
      </c>
      <c r="H36" t="s">
        <v>194</v>
      </c>
      <c r="L36" s="15" t="s">
        <v>252</v>
      </c>
      <c r="M36">
        <v>8.4600000000000005E-3</v>
      </c>
      <c r="N36">
        <v>2.4725390000000002E-3</v>
      </c>
      <c r="P36" s="15" t="s">
        <v>243</v>
      </c>
      <c r="Q36" s="15">
        <v>8.4600000000000005E-3</v>
      </c>
      <c r="R36">
        <v>2.9340059999999999E-3</v>
      </c>
    </row>
    <row r="37" spans="1:18" x14ac:dyDescent="0.45">
      <c r="B37" s="3"/>
      <c r="C37" s="3"/>
      <c r="D37" s="3"/>
      <c r="G37">
        <f>960*1000</f>
        <v>960000</v>
      </c>
      <c r="H37" t="s">
        <v>195</v>
      </c>
      <c r="L37" s="15" t="s">
        <v>217</v>
      </c>
      <c r="M37" s="15">
        <v>7.5799999999999999E-3</v>
      </c>
      <c r="N37">
        <v>3.5655280000000001E-3</v>
      </c>
      <c r="P37" s="15" t="s">
        <v>216</v>
      </c>
      <c r="Q37" s="15">
        <v>1.0749999999999999E-2</v>
      </c>
      <c r="R37">
        <v>2.912778E-3</v>
      </c>
    </row>
    <row r="38" spans="1:18" x14ac:dyDescent="0.45">
      <c r="B38" s="3"/>
      <c r="C38" s="3"/>
      <c r="D38" s="3"/>
      <c r="G38" s="7">
        <f>G35*1000000/G37</f>
        <v>1041.6666666666667</v>
      </c>
      <c r="H38" t="s">
        <v>196</v>
      </c>
      <c r="L38" s="15" t="s">
        <v>237</v>
      </c>
      <c r="M38" s="15">
        <v>7.5799999999999999E-3</v>
      </c>
      <c r="N38">
        <v>1.4170299999999999E-3</v>
      </c>
      <c r="P38" s="15" t="s">
        <v>255</v>
      </c>
      <c r="Q38">
        <v>9.8700000000000003E-3</v>
      </c>
      <c r="R38">
        <v>2.8521309999999999E-3</v>
      </c>
    </row>
    <row r="39" spans="1:18" x14ac:dyDescent="0.45">
      <c r="G39">
        <f>1194*1000</f>
        <v>1194000</v>
      </c>
      <c r="H39" t="s">
        <v>197</v>
      </c>
      <c r="L39" s="10" t="s">
        <v>242</v>
      </c>
      <c r="M39" s="10">
        <v>7.5799999999999999E-3</v>
      </c>
      <c r="N39" s="10">
        <v>2.6908520000000001E-3</v>
      </c>
      <c r="P39" s="15" t="s">
        <v>219</v>
      </c>
      <c r="Q39" s="15">
        <v>6.7499999999999999E-3</v>
      </c>
      <c r="R39">
        <v>2.8240969999999998E-3</v>
      </c>
    </row>
    <row r="40" spans="1:18" x14ac:dyDescent="0.45">
      <c r="D40" t="s">
        <v>198</v>
      </c>
      <c r="G40" s="1">
        <f>G39*G38/1000</f>
        <v>1243750</v>
      </c>
      <c r="H40" t="s">
        <v>199</v>
      </c>
      <c r="L40" s="15" t="s">
        <v>244</v>
      </c>
      <c r="M40" s="15">
        <v>7.5799999999999999E-3</v>
      </c>
      <c r="N40">
        <v>1.901982E-3</v>
      </c>
      <c r="P40" s="10" t="s">
        <v>242</v>
      </c>
      <c r="Q40" s="10">
        <v>7.5799999999999999E-3</v>
      </c>
      <c r="R40" s="10">
        <v>2.6908520000000001E-3</v>
      </c>
    </row>
    <row r="41" spans="1:18" x14ac:dyDescent="0.45">
      <c r="G41" s="1">
        <f>G40*'LL97 Constants'!B7</f>
        <v>55.881687499999998</v>
      </c>
      <c r="H41" t="s">
        <v>200</v>
      </c>
      <c r="L41" s="15" t="s">
        <v>245</v>
      </c>
      <c r="M41" s="15">
        <v>7.5799999999999999E-3</v>
      </c>
      <c r="N41">
        <v>3.8080330000000002E-3</v>
      </c>
      <c r="P41" s="15" t="s">
        <v>252</v>
      </c>
      <c r="Q41">
        <v>8.4600000000000005E-3</v>
      </c>
      <c r="R41">
        <v>2.4725390000000002E-3</v>
      </c>
    </row>
    <row r="42" spans="1:18" x14ac:dyDescent="0.45">
      <c r="D42" t="s">
        <v>201</v>
      </c>
      <c r="G42">
        <f>G35*1000000/3142</f>
        <v>318268.6187141948</v>
      </c>
      <c r="H42" t="s">
        <v>70</v>
      </c>
      <c r="L42" s="15" t="s">
        <v>257</v>
      </c>
      <c r="M42">
        <v>7.5799999999999999E-3</v>
      </c>
      <c r="N42">
        <v>2.464089E-3</v>
      </c>
      <c r="P42" s="15" t="s">
        <v>257</v>
      </c>
      <c r="Q42">
        <v>7.5799999999999999E-3</v>
      </c>
      <c r="R42">
        <v>2.464089E-3</v>
      </c>
    </row>
    <row r="43" spans="1:18" x14ac:dyDescent="0.45">
      <c r="D43">
        <f>1/0.8</f>
        <v>1.25</v>
      </c>
      <c r="E43" t="s">
        <v>202</v>
      </c>
      <c r="G43">
        <f>'LL97 Constants'!B5*G42</f>
        <v>91.967536600891151</v>
      </c>
      <c r="H43" t="s">
        <v>200</v>
      </c>
      <c r="L43" s="15" t="s">
        <v>260</v>
      </c>
      <c r="M43">
        <v>7.5799999999999999E-3</v>
      </c>
      <c r="N43">
        <v>2.1044900000000001E-3</v>
      </c>
      <c r="P43" s="15" t="s">
        <v>254</v>
      </c>
      <c r="Q43">
        <v>6.7499999999999999E-3</v>
      </c>
      <c r="R43">
        <v>2.3628740000000001E-3</v>
      </c>
    </row>
    <row r="44" spans="1:18" x14ac:dyDescent="0.45">
      <c r="A44" s="15"/>
      <c r="G44" s="1">
        <f>G43/G41</f>
        <v>1.6457544629605387</v>
      </c>
      <c r="H44" t="s">
        <v>203</v>
      </c>
      <c r="L44" s="15" t="s">
        <v>219</v>
      </c>
      <c r="M44" s="15">
        <v>6.7499999999999999E-3</v>
      </c>
      <c r="N44">
        <v>2.8240969999999998E-3</v>
      </c>
      <c r="P44" s="15" t="s">
        <v>232</v>
      </c>
      <c r="Q44" s="15">
        <v>6.7499999999999999E-3</v>
      </c>
      <c r="R44">
        <v>2.2305879999999999E-3</v>
      </c>
    </row>
    <row r="45" spans="1:18" x14ac:dyDescent="0.45">
      <c r="A45" s="15"/>
      <c r="D45">
        <f>D43*1000000/960/1000</f>
        <v>1.3020833333333333</v>
      </c>
      <c r="E45" t="s">
        <v>137</v>
      </c>
      <c r="L45" s="15" t="s">
        <v>223</v>
      </c>
      <c r="M45" s="15">
        <v>6.7499999999999999E-3</v>
      </c>
      <c r="N45">
        <v>3.5400319999999998E-3</v>
      </c>
      <c r="P45" s="15" t="s">
        <v>234</v>
      </c>
      <c r="Q45" s="15">
        <v>6.7499999999999999E-3</v>
      </c>
      <c r="R45">
        <v>2.2184119999999999E-3</v>
      </c>
    </row>
    <row r="46" spans="1:18" x14ac:dyDescent="0.45">
      <c r="A46" s="15"/>
      <c r="D46">
        <f>D45*1194</f>
        <v>1554.6875</v>
      </c>
      <c r="E46" t="s">
        <v>199</v>
      </c>
      <c r="L46" s="15" t="s">
        <v>232</v>
      </c>
      <c r="M46" s="15">
        <v>6.7499999999999999E-3</v>
      </c>
      <c r="N46">
        <v>2.2305879999999999E-3</v>
      </c>
      <c r="P46" s="15" t="s">
        <v>256</v>
      </c>
      <c r="Q46">
        <v>4.2599999999999999E-3</v>
      </c>
      <c r="R46">
        <v>2.210699E-3</v>
      </c>
    </row>
    <row r="47" spans="1:18" x14ac:dyDescent="0.45">
      <c r="A47" s="15"/>
      <c r="D47">
        <f>D46*'LL97 Constants'!B7</f>
        <v>6.9852109374999999E-2</v>
      </c>
      <c r="E47" t="s">
        <v>204</v>
      </c>
      <c r="L47" s="15" t="s">
        <v>234</v>
      </c>
      <c r="M47" s="15">
        <v>6.7499999999999999E-3</v>
      </c>
      <c r="N47">
        <v>2.2184119999999999E-3</v>
      </c>
      <c r="P47" s="15" t="s">
        <v>260</v>
      </c>
      <c r="Q47">
        <v>7.5799999999999999E-3</v>
      </c>
      <c r="R47">
        <v>2.1044900000000001E-3</v>
      </c>
    </row>
    <row r="48" spans="1:18" x14ac:dyDescent="0.45">
      <c r="A48" s="15"/>
      <c r="B48" s="15"/>
      <c r="L48" s="15" t="s">
        <v>239</v>
      </c>
      <c r="M48" s="15">
        <v>6.7499999999999999E-3</v>
      </c>
      <c r="N48">
        <v>3.3466400000000001E-3</v>
      </c>
      <c r="P48" s="15" t="s">
        <v>222</v>
      </c>
      <c r="Q48" s="15">
        <v>9.8700000000000003E-3</v>
      </c>
      <c r="R48">
        <v>2.0997479999999998E-3</v>
      </c>
    </row>
    <row r="49" spans="1:18" x14ac:dyDescent="0.45">
      <c r="A49" s="15"/>
      <c r="B49" s="15"/>
      <c r="D49">
        <f>1000000/3412/3.19</f>
        <v>91.875622457342146</v>
      </c>
      <c r="E49" t="s">
        <v>205</v>
      </c>
      <c r="L49" s="15" t="s">
        <v>254</v>
      </c>
      <c r="M49">
        <v>6.7499999999999999E-3</v>
      </c>
      <c r="N49">
        <v>2.3628740000000001E-3</v>
      </c>
      <c r="P49" s="15" t="s">
        <v>236</v>
      </c>
      <c r="Q49" s="15">
        <v>4.2599999999999999E-3</v>
      </c>
      <c r="R49">
        <v>1.98044E-3</v>
      </c>
    </row>
    <row r="50" spans="1:18" x14ac:dyDescent="0.45">
      <c r="A50" s="15"/>
      <c r="B50" s="15"/>
      <c r="D50">
        <f>D49*'LL97 Constants'!B5</f>
        <v>2.65485636165185E-2</v>
      </c>
      <c r="E50" t="s">
        <v>204</v>
      </c>
      <c r="L50" s="15" t="s">
        <v>221</v>
      </c>
      <c r="M50" s="15">
        <v>5.7400000000000003E-3</v>
      </c>
      <c r="N50">
        <v>3.1038149999999998E-3</v>
      </c>
      <c r="P50" s="15" t="s">
        <v>214</v>
      </c>
      <c r="Q50" s="15">
        <v>1.074E-2</v>
      </c>
      <c r="R50">
        <v>1.9282259999999999E-3</v>
      </c>
    </row>
    <row r="51" spans="1:18" x14ac:dyDescent="0.45">
      <c r="A51" s="15"/>
      <c r="B51" s="15"/>
      <c r="L51" s="15" t="s">
        <v>225</v>
      </c>
      <c r="M51" s="15">
        <v>5.7400000000000003E-3</v>
      </c>
      <c r="N51">
        <v>9.9160000000000003E-4</v>
      </c>
      <c r="P51" s="15" t="s">
        <v>244</v>
      </c>
      <c r="Q51" s="15">
        <v>7.5799999999999999E-3</v>
      </c>
      <c r="R51">
        <v>1.901982E-3</v>
      </c>
    </row>
    <row r="52" spans="1:18" x14ac:dyDescent="0.45">
      <c r="A52" s="15"/>
      <c r="B52" s="15"/>
      <c r="D52">
        <f>D49*2.19</f>
        <v>201.20761318157929</v>
      </c>
      <c r="E52" t="s">
        <v>206</v>
      </c>
      <c r="L52" s="15" t="s">
        <v>253</v>
      </c>
      <c r="M52">
        <v>5.7400000000000003E-3</v>
      </c>
      <c r="N52">
        <v>4.8430369999999997E-3</v>
      </c>
      <c r="P52" s="15" t="s">
        <v>248</v>
      </c>
      <c r="Q52" s="15">
        <v>1.074E-2</v>
      </c>
      <c r="R52">
        <v>1.823381E-3</v>
      </c>
    </row>
    <row r="53" spans="1:18" x14ac:dyDescent="0.45">
      <c r="A53" s="15"/>
      <c r="B53" s="15"/>
      <c r="D53">
        <f>D52/3.5</f>
        <v>57.487889480451223</v>
      </c>
      <c r="E53" t="s">
        <v>207</v>
      </c>
      <c r="L53" t="s">
        <v>268</v>
      </c>
      <c r="M53">
        <v>5.7400000000000003E-3</v>
      </c>
      <c r="N53">
        <v>4.6131219999999999E-3</v>
      </c>
      <c r="P53" s="15" t="s">
        <v>224</v>
      </c>
      <c r="Q53" s="15">
        <v>4.2599999999999999E-3</v>
      </c>
      <c r="R53">
        <v>1.480533E-3</v>
      </c>
    </row>
    <row r="54" spans="1:18" x14ac:dyDescent="0.45">
      <c r="A54" s="15"/>
      <c r="B54" s="15"/>
      <c r="D54">
        <f>D53*'LL97 Constants'!B8</f>
        <v>4.8686446424531489E-3</v>
      </c>
      <c r="E54" t="s">
        <v>208</v>
      </c>
      <c r="L54" t="s">
        <v>270</v>
      </c>
      <c r="M54">
        <v>5.7400000000000003E-3</v>
      </c>
      <c r="N54">
        <v>1.2306019999999999E-3</v>
      </c>
      <c r="P54" s="15" t="s">
        <v>237</v>
      </c>
      <c r="Q54" s="15">
        <v>7.5799999999999999E-3</v>
      </c>
      <c r="R54">
        <v>1.4170299999999999E-3</v>
      </c>
    </row>
    <row r="55" spans="1:18" x14ac:dyDescent="0.45">
      <c r="A55" s="15"/>
      <c r="B55" s="15"/>
      <c r="L55" s="15" t="s">
        <v>224</v>
      </c>
      <c r="M55" s="15">
        <v>4.2599999999999999E-3</v>
      </c>
      <c r="N55">
        <v>1.480533E-3</v>
      </c>
      <c r="P55" t="s">
        <v>264</v>
      </c>
      <c r="Q55">
        <v>1.1809999999999999E-2</v>
      </c>
      <c r="R55">
        <v>1.361842E-3</v>
      </c>
    </row>
    <row r="56" spans="1:18" x14ac:dyDescent="0.45">
      <c r="A56" s="15"/>
      <c r="B56" s="15"/>
      <c r="D56">
        <f>D50-D54</f>
        <v>2.1679918974065352E-2</v>
      </c>
      <c r="L56" s="15" t="s">
        <v>236</v>
      </c>
      <c r="M56" s="15">
        <v>4.2599999999999999E-3</v>
      </c>
      <c r="N56">
        <v>1.98044E-3</v>
      </c>
      <c r="P56" t="s">
        <v>270</v>
      </c>
      <c r="Q56">
        <v>5.7400000000000003E-3</v>
      </c>
      <c r="R56">
        <v>1.2306019999999999E-3</v>
      </c>
    </row>
    <row r="57" spans="1:18" x14ac:dyDescent="0.45">
      <c r="A57" s="15"/>
      <c r="B57" s="15"/>
      <c r="L57" s="15" t="s">
        <v>241</v>
      </c>
      <c r="M57" s="15">
        <v>4.2599999999999999E-3</v>
      </c>
      <c r="N57">
        <v>8.8318700000000001E-4</v>
      </c>
      <c r="P57" s="15" t="s">
        <v>225</v>
      </c>
      <c r="Q57" s="15">
        <v>5.7400000000000003E-3</v>
      </c>
      <c r="R57">
        <v>9.9160000000000003E-4</v>
      </c>
    </row>
    <row r="58" spans="1:18" x14ac:dyDescent="0.45">
      <c r="A58" s="15"/>
      <c r="B58" s="15"/>
      <c r="D58">
        <f>D47/D56</f>
        <v>3.2219728061973263</v>
      </c>
      <c r="E58" t="s">
        <v>209</v>
      </c>
      <c r="L58" s="15" t="s">
        <v>271</v>
      </c>
      <c r="M58">
        <v>4.2599999999999999E-3</v>
      </c>
      <c r="N58">
        <v>2.1442100000000001E-4</v>
      </c>
      <c r="P58" s="15" t="s">
        <v>241</v>
      </c>
      <c r="Q58" s="15">
        <v>4.2599999999999999E-3</v>
      </c>
      <c r="R58">
        <v>8.8318700000000001E-4</v>
      </c>
    </row>
    <row r="59" spans="1:18" x14ac:dyDescent="0.45">
      <c r="A59" s="15"/>
      <c r="B59" s="16"/>
      <c r="L59" s="15" t="s">
        <v>256</v>
      </c>
      <c r="M59">
        <v>4.2599999999999999E-3</v>
      </c>
      <c r="N59">
        <v>2.210699E-3</v>
      </c>
      <c r="P59" t="s">
        <v>261</v>
      </c>
      <c r="Q59">
        <v>4.2599999999999999E-3</v>
      </c>
      <c r="R59">
        <v>6.1182999999999995E-4</v>
      </c>
    </row>
    <row r="60" spans="1:18" x14ac:dyDescent="0.45">
      <c r="A60" s="15"/>
      <c r="B60" s="15"/>
      <c r="D60">
        <f>10*53.83*500/1000000</f>
        <v>0.26915</v>
      </c>
      <c r="E60" t="s">
        <v>210</v>
      </c>
      <c r="L60" t="s">
        <v>261</v>
      </c>
      <c r="M60">
        <v>4.2599999999999999E-3</v>
      </c>
      <c r="N60">
        <v>6.1182999999999995E-4</v>
      </c>
      <c r="P60" t="s">
        <v>266</v>
      </c>
      <c r="Q60">
        <v>4.2599999999999999E-3</v>
      </c>
      <c r="R60">
        <v>5.7166900000000002E-4</v>
      </c>
    </row>
    <row r="61" spans="1:18" x14ac:dyDescent="0.45">
      <c r="A61" s="15"/>
      <c r="B61" s="15"/>
      <c r="L61" t="s">
        <v>266</v>
      </c>
      <c r="M61">
        <v>4.2599999999999999E-3</v>
      </c>
      <c r="N61">
        <v>5.7166900000000002E-4</v>
      </c>
      <c r="P61" s="15" t="s">
        <v>271</v>
      </c>
      <c r="Q61">
        <v>4.2599999999999999E-3</v>
      </c>
      <c r="R61">
        <v>2.1442100000000001E-4</v>
      </c>
    </row>
    <row r="62" spans="1:18" x14ac:dyDescent="0.45">
      <c r="A62" s="15"/>
      <c r="B62" s="1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LL97 Fines</vt:lpstr>
      <vt:lpstr>Tishman Steam</vt:lpstr>
      <vt:lpstr>Tishman Electric</vt:lpstr>
      <vt:lpstr>LL97 30 Rock</vt:lpstr>
      <vt:lpstr>NBC Energy</vt:lpstr>
      <vt:lpstr>radio city</vt:lpstr>
      <vt:lpstr>LL97 Constants</vt:lpstr>
      <vt:lpstr>cop</vt:lpstr>
      <vt:lpstr>eff</vt:lpstr>
      <vt:lpstr>elec</vt:lpstr>
      <vt:lpstr>fine</vt:lpstr>
      <vt:lpstr>gas</vt:lpstr>
      <vt:lpstr>grid_2030</vt:lpstr>
      <vt:lpstr>grid_2050</vt:lpstr>
      <vt:lpstr>kbtu_mlb</vt:lpstr>
      <vt:lpstr>lim_24</vt:lpstr>
      <vt:lpstr>lim_30</vt:lpstr>
      <vt:lpstr>lim_50</vt:lpstr>
      <vt:lpstr>steam</vt:lpstr>
      <vt:lpstr>steam_2030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Sheridan, Matthew</dc:creator>
  <cp:keywords/>
  <dc:description/>
  <cp:lastModifiedBy>Paul Rode</cp:lastModifiedBy>
  <cp:revision/>
  <dcterms:created xsi:type="dcterms:W3CDTF">2021-09-21T14:58:27Z</dcterms:created>
  <dcterms:modified xsi:type="dcterms:W3CDTF">2022-10-18T01:17:30Z</dcterms:modified>
  <cp:category/>
  <cp:contentStatus/>
</cp:coreProperties>
</file>