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chara\Desktop\Extra\Product Management\Udacity\Activation and Retention\Project\Project\"/>
    </mc:Choice>
  </mc:AlternateContent>
  <xr:revisionPtr revIDLastSave="0" documentId="8_{587DD978-ACD2-4A51-9587-42067AAF6EDA}" xr6:coauthVersionLast="46" xr6:coauthVersionMax="46" xr10:uidLastSave="{00000000-0000-0000-0000-000000000000}"/>
  <bookViews>
    <workbookView xWindow="-110" yWindow="-110" windowWidth="19420" windowHeight="10420" firstSheet="3" activeTab="3" xr2:uid="{00000000-000D-0000-FFFF-FFFF00000000}"/>
  </bookViews>
  <sheets>
    <sheet name="Deliverables" sheetId="1" r:id="rId1"/>
    <sheet name="Tab 1 - Measure drop-offs" sheetId="2" r:id="rId2"/>
    <sheet name="Tab 2 - Signup Experiments" sheetId="3" r:id="rId3"/>
    <sheet name="Tab 3 - Activation Hypothesis" sheetId="4" r:id="rId4"/>
    <sheet name="Tab 4 - Habit Moment and Metric" sheetId="5" r:id="rId5"/>
    <sheet name="Tab 5 - Aha Moment and Metric A" sheetId="6" r:id="rId6"/>
    <sheet name="Tab 6 - Setup Moment and Metric" sheetId="7" r:id="rId7"/>
    <sheet name="Tab 7 - Activation Funnel" sheetId="8" r:id="rId8"/>
    <sheet name="Tab 8 - Segment Analysis" sheetId="9" r:id="rId9"/>
  </sheets>
  <calcPr calcId="191029"/>
</workbook>
</file>

<file path=xl/calcChain.xml><?xml version="1.0" encoding="utf-8"?>
<calcChain xmlns="http://schemas.openxmlformats.org/spreadsheetml/2006/main">
  <c r="P22" i="3" l="1"/>
  <c r="P23" i="3"/>
  <c r="F25" i="2"/>
  <c r="F26" i="2"/>
  <c r="F27" i="2"/>
  <c r="F28" i="2"/>
  <c r="F23" i="2"/>
  <c r="F24" i="2"/>
  <c r="D23" i="2"/>
  <c r="D24" i="2"/>
  <c r="D25" i="2"/>
  <c r="E25" i="2" s="1"/>
  <c r="D26" i="2"/>
  <c r="E26" i="2" s="1"/>
  <c r="D27" i="2"/>
  <c r="E27" i="2" s="1"/>
  <c r="D28" i="2"/>
  <c r="E28" i="2" s="1"/>
  <c r="D22" i="2"/>
  <c r="F32" i="5"/>
  <c r="P21" i="3"/>
  <c r="P20" i="3"/>
  <c r="F22" i="2"/>
  <c r="H32" i="2"/>
  <c r="G32" i="2"/>
  <c r="E23" i="2"/>
  <c r="E24" i="2"/>
  <c r="D29" i="2"/>
  <c r="E22" i="2"/>
  <c r="I89" i="9"/>
  <c r="I85" i="9"/>
  <c r="I86" i="9"/>
  <c r="I87" i="9"/>
  <c r="I88" i="9"/>
  <c r="I84" i="9"/>
  <c r="H84" i="9"/>
  <c r="H85" i="9"/>
  <c r="H86" i="9"/>
  <c r="H87" i="9"/>
  <c r="H88" i="9"/>
  <c r="H89" i="9"/>
  <c r="F85" i="9"/>
  <c r="F86" i="9"/>
  <c r="F87" i="9"/>
  <c r="F88" i="9"/>
  <c r="F89" i="9"/>
  <c r="F84" i="9"/>
  <c r="D85" i="9"/>
  <c r="D86" i="9"/>
  <c r="D87" i="9"/>
  <c r="D88" i="9"/>
  <c r="D89" i="9"/>
  <c r="D84" i="9"/>
  <c r="I64" i="9"/>
  <c r="I65" i="9"/>
  <c r="I66" i="9"/>
  <c r="I67" i="9"/>
  <c r="I68" i="9"/>
  <c r="I69" i="9"/>
  <c r="I70" i="9"/>
  <c r="I63" i="9"/>
  <c r="H63" i="9"/>
  <c r="H64" i="9"/>
  <c r="H65" i="9"/>
  <c r="H66" i="9"/>
  <c r="H67" i="9"/>
  <c r="H68" i="9"/>
  <c r="H69" i="9"/>
  <c r="H70" i="9"/>
  <c r="F64" i="9"/>
  <c r="F65" i="9"/>
  <c r="F66" i="9"/>
  <c r="F67" i="9"/>
  <c r="F68" i="9"/>
  <c r="F69" i="9"/>
  <c r="F70" i="9"/>
  <c r="F63" i="9"/>
  <c r="D64" i="9"/>
  <c r="D65" i="9"/>
  <c r="D66" i="9"/>
  <c r="D67" i="9"/>
  <c r="D68" i="9"/>
  <c r="D69" i="9"/>
  <c r="D70" i="9"/>
  <c r="D63" i="9"/>
  <c r="I42" i="9"/>
  <c r="I43" i="9"/>
  <c r="I44" i="9"/>
  <c r="I45" i="9"/>
  <c r="I46" i="9"/>
  <c r="I47" i="9"/>
  <c r="I48" i="9"/>
  <c r="I49" i="9"/>
  <c r="I41" i="9"/>
  <c r="H41" i="9"/>
  <c r="H42" i="9"/>
  <c r="H43" i="9"/>
  <c r="H44" i="9"/>
  <c r="H45" i="9"/>
  <c r="H46" i="9"/>
  <c r="H47" i="9"/>
  <c r="H48" i="9"/>
  <c r="H49" i="9"/>
  <c r="F42" i="9"/>
  <c r="F43" i="9"/>
  <c r="F44" i="9"/>
  <c r="F45" i="9"/>
  <c r="F46" i="9"/>
  <c r="F47" i="9"/>
  <c r="F48" i="9"/>
  <c r="F49" i="9"/>
  <c r="F41" i="9"/>
  <c r="D42" i="9"/>
  <c r="D43" i="9"/>
  <c r="D44" i="9"/>
  <c r="D45" i="9"/>
  <c r="D46" i="9"/>
  <c r="D47" i="9"/>
  <c r="D48" i="9"/>
  <c r="D49" i="9"/>
  <c r="D41" i="9"/>
  <c r="I21" i="9"/>
  <c r="I22" i="9"/>
  <c r="I23" i="9"/>
  <c r="I24" i="9"/>
  <c r="I25" i="9"/>
  <c r="I26" i="9"/>
  <c r="I27" i="9"/>
  <c r="I20" i="9"/>
  <c r="H21" i="9"/>
  <c r="H22" i="9"/>
  <c r="H23" i="9"/>
  <c r="H24" i="9"/>
  <c r="H25" i="9"/>
  <c r="H26" i="9"/>
  <c r="H27" i="9"/>
  <c r="H20" i="9"/>
  <c r="F21" i="9"/>
  <c r="F22" i="9"/>
  <c r="F23" i="9"/>
  <c r="F24" i="9"/>
  <c r="F25" i="9"/>
  <c r="F26" i="9"/>
  <c r="F27" i="9"/>
  <c r="F20" i="9"/>
  <c r="D21" i="9"/>
  <c r="D22" i="9"/>
  <c r="D23" i="9"/>
  <c r="D24" i="9"/>
  <c r="D25" i="9"/>
  <c r="D26" i="9"/>
  <c r="D27" i="9"/>
  <c r="D20" i="9"/>
  <c r="F41" i="7"/>
  <c r="F42" i="7"/>
  <c r="F43" i="7"/>
  <c r="F44" i="7"/>
  <c r="F45" i="7"/>
  <c r="F46" i="7"/>
  <c r="F40" i="7"/>
  <c r="F29" i="7"/>
  <c r="F30" i="7"/>
  <c r="F31" i="7"/>
  <c r="F32" i="7"/>
  <c r="F33" i="7"/>
  <c r="F34" i="7"/>
  <c r="F28" i="7"/>
  <c r="F18" i="7"/>
  <c r="F19" i="7"/>
  <c r="F20" i="7"/>
  <c r="F21" i="7"/>
  <c r="F22" i="7"/>
  <c r="F17" i="7"/>
  <c r="F42" i="6"/>
  <c r="F43" i="6"/>
  <c r="F44" i="6"/>
  <c r="F45" i="6"/>
  <c r="F46" i="6"/>
  <c r="F47" i="6"/>
  <c r="F41" i="6"/>
  <c r="F30" i="6"/>
  <c r="F31" i="6"/>
  <c r="F32" i="6"/>
  <c r="F33" i="6"/>
  <c r="F34" i="6"/>
  <c r="F35" i="6"/>
  <c r="F29" i="6"/>
  <c r="F19" i="6"/>
  <c r="F20" i="6"/>
  <c r="F21" i="6"/>
  <c r="F22" i="6"/>
  <c r="F23" i="6"/>
  <c r="F18" i="6"/>
  <c r="F43" i="5"/>
  <c r="F44" i="5"/>
  <c r="F45" i="5"/>
  <c r="F46" i="5"/>
  <c r="F47" i="5"/>
  <c r="F48" i="5"/>
  <c r="F42" i="5"/>
  <c r="F31" i="5"/>
  <c r="F33" i="5"/>
  <c r="F34" i="5"/>
  <c r="F35" i="5"/>
  <c r="F36" i="5"/>
  <c r="F30" i="5"/>
  <c r="F20" i="5"/>
  <c r="F21" i="5"/>
  <c r="F22" i="5"/>
  <c r="F23" i="5"/>
  <c r="F24" i="5"/>
  <c r="F19" i="5"/>
  <c r="G89" i="9"/>
  <c r="E89" i="9"/>
  <c r="C89" i="9"/>
  <c r="B89" i="9"/>
  <c r="B83" i="9"/>
  <c r="G70" i="9"/>
  <c r="E70" i="9"/>
  <c r="C70" i="9"/>
  <c r="B70" i="9"/>
  <c r="B62" i="9"/>
  <c r="G49" i="9"/>
  <c r="E49" i="9"/>
  <c r="C49" i="9"/>
  <c r="B49" i="9"/>
  <c r="B40" i="9"/>
  <c r="G27" i="9"/>
  <c r="E27" i="9"/>
  <c r="C27" i="9"/>
  <c r="B26" i="9"/>
  <c r="B25" i="9"/>
  <c r="B24" i="9"/>
  <c r="B23" i="9"/>
  <c r="B22" i="9"/>
  <c r="B18" i="9" s="1"/>
  <c r="B21" i="9"/>
  <c r="B20" i="9"/>
  <c r="B19" i="9"/>
  <c r="B27" i="9" s="1"/>
  <c r="D19" i="8"/>
  <c r="D18" i="8"/>
  <c r="D17" i="8"/>
  <c r="D16" i="8"/>
  <c r="B16" i="8"/>
  <c r="A16" i="8"/>
  <c r="D15" i="8"/>
  <c r="D14" i="8"/>
  <c r="B14" i="8"/>
  <c r="A14" i="8"/>
  <c r="D13" i="8"/>
  <c r="D12" i="8"/>
  <c r="B12" i="8"/>
  <c r="A12" i="8"/>
  <c r="D11" i="8"/>
  <c r="D10" i="8"/>
  <c r="D9" i="8"/>
  <c r="D8" i="8"/>
  <c r="D7" i="8"/>
  <c r="D6" i="8"/>
  <c r="D5" i="8"/>
  <c r="D4" i="8"/>
  <c r="D3" i="8"/>
  <c r="D2" i="8"/>
  <c r="D46" i="7"/>
  <c r="B46" i="7"/>
  <c r="E46" i="7" s="1"/>
  <c r="E45" i="7"/>
  <c r="D45" i="7"/>
  <c r="B45" i="7"/>
  <c r="E44" i="7"/>
  <c r="D44" i="7"/>
  <c r="B44" i="7"/>
  <c r="D43" i="7"/>
  <c r="B43" i="7"/>
  <c r="E43" i="7" s="1"/>
  <c r="D42" i="7"/>
  <c r="B42" i="7"/>
  <c r="E42" i="7" s="1"/>
  <c r="E41" i="7"/>
  <c r="D41" i="7"/>
  <c r="B41" i="7"/>
  <c r="E40" i="7"/>
  <c r="D40" i="7"/>
  <c r="C40" i="7"/>
  <c r="B40" i="7"/>
  <c r="E34" i="7"/>
  <c r="E33" i="7"/>
  <c r="D33" i="7"/>
  <c r="C33" i="7"/>
  <c r="E32" i="7"/>
  <c r="D32" i="7"/>
  <c r="C32" i="7"/>
  <c r="D31" i="7"/>
  <c r="C31" i="7"/>
  <c r="E31" i="7" s="1"/>
  <c r="D30" i="7"/>
  <c r="C30" i="7"/>
  <c r="E30" i="7" s="1"/>
  <c r="E29" i="7"/>
  <c r="D29" i="7"/>
  <c r="C29" i="7"/>
  <c r="B29" i="7"/>
  <c r="E28" i="7"/>
  <c r="B28" i="7"/>
  <c r="D22" i="7"/>
  <c r="C22" i="7"/>
  <c r="E22" i="7" s="1"/>
  <c r="B22" i="7"/>
  <c r="D21" i="7"/>
  <c r="C21" i="7"/>
  <c r="B21" i="7"/>
  <c r="E21" i="7" s="1"/>
  <c r="D20" i="7"/>
  <c r="C20" i="7"/>
  <c r="E20" i="7" s="1"/>
  <c r="B20" i="7"/>
  <c r="D19" i="7"/>
  <c r="C19" i="7"/>
  <c r="B19" i="7"/>
  <c r="E19" i="7" s="1"/>
  <c r="D18" i="7"/>
  <c r="C18" i="7"/>
  <c r="E18" i="7" s="1"/>
  <c r="B18" i="7"/>
  <c r="D17" i="7"/>
  <c r="C17" i="7"/>
  <c r="B17" i="7"/>
  <c r="E17" i="7" s="1"/>
  <c r="D16" i="7"/>
  <c r="C16" i="7"/>
  <c r="E16" i="7" s="1"/>
  <c r="B16" i="7"/>
  <c r="D47" i="6"/>
  <c r="C47" i="6"/>
  <c r="B47" i="6"/>
  <c r="E47" i="6" s="1"/>
  <c r="D46" i="6"/>
  <c r="C46" i="6"/>
  <c r="E46" i="6" s="1"/>
  <c r="B46" i="6"/>
  <c r="D45" i="6"/>
  <c r="C45" i="6"/>
  <c r="B45" i="6"/>
  <c r="E45" i="6" s="1"/>
  <c r="D44" i="6"/>
  <c r="C44" i="6"/>
  <c r="E44" i="6" s="1"/>
  <c r="B44" i="6"/>
  <c r="D43" i="6"/>
  <c r="C43" i="6"/>
  <c r="B43" i="6"/>
  <c r="E43" i="6" s="1"/>
  <c r="D42" i="6"/>
  <c r="C42" i="6"/>
  <c r="E42" i="6" s="1"/>
  <c r="B42" i="6"/>
  <c r="D41" i="6"/>
  <c r="C41" i="6"/>
  <c r="B41" i="6"/>
  <c r="E41" i="6" s="1"/>
  <c r="D35" i="6"/>
  <c r="C35" i="6"/>
  <c r="E35" i="6" s="1"/>
  <c r="B35" i="6"/>
  <c r="D34" i="6"/>
  <c r="C34" i="6"/>
  <c r="B34" i="6"/>
  <c r="E34" i="6" s="1"/>
  <c r="D33" i="6"/>
  <c r="C33" i="6"/>
  <c r="E33" i="6" s="1"/>
  <c r="B33" i="6"/>
  <c r="D32" i="6"/>
  <c r="C32" i="6"/>
  <c r="B32" i="6"/>
  <c r="E32" i="6" s="1"/>
  <c r="D31" i="6"/>
  <c r="C31" i="6"/>
  <c r="E31" i="6" s="1"/>
  <c r="B31" i="6"/>
  <c r="D30" i="6"/>
  <c r="C30" i="6"/>
  <c r="B30" i="6"/>
  <c r="E30" i="6" s="1"/>
  <c r="B29" i="6"/>
  <c r="E29" i="6" s="1"/>
  <c r="E23" i="6"/>
  <c r="D23" i="6"/>
  <c r="E22" i="6"/>
  <c r="D22" i="6"/>
  <c r="E21" i="6"/>
  <c r="D21" i="6"/>
  <c r="D20" i="6"/>
  <c r="B20" i="6"/>
  <c r="E20" i="6" s="1"/>
  <c r="D19" i="6"/>
  <c r="B19" i="6"/>
  <c r="E19" i="6" s="1"/>
  <c r="E18" i="6"/>
  <c r="D18" i="6"/>
  <c r="B18" i="6"/>
  <c r="E17" i="6"/>
  <c r="D17" i="6"/>
  <c r="C17" i="6"/>
  <c r="B17" i="6"/>
  <c r="B48" i="5"/>
  <c r="E48" i="5" s="1"/>
  <c r="B47" i="5"/>
  <c r="E47" i="5" s="1"/>
  <c r="B46" i="5"/>
  <c r="E46" i="5" s="1"/>
  <c r="B45" i="5"/>
  <c r="E45" i="5" s="1"/>
  <c r="B44" i="5"/>
  <c r="E44" i="5" s="1"/>
  <c r="B43" i="5"/>
  <c r="E43" i="5" s="1"/>
  <c r="B42" i="5"/>
  <c r="E42" i="5" s="1"/>
  <c r="D36" i="5"/>
  <c r="C36" i="5"/>
  <c r="B36" i="5"/>
  <c r="E36" i="5" s="1"/>
  <c r="D35" i="5"/>
  <c r="C35" i="5"/>
  <c r="B35" i="5"/>
  <c r="E35" i="5" s="1"/>
  <c r="D34" i="5"/>
  <c r="C34" i="5"/>
  <c r="B34" i="5"/>
  <c r="E34" i="5" s="1"/>
  <c r="D33" i="5"/>
  <c r="C33" i="5"/>
  <c r="B33" i="5"/>
  <c r="E33" i="5" s="1"/>
  <c r="D32" i="5"/>
  <c r="C32" i="5"/>
  <c r="B32" i="5"/>
  <c r="E32" i="5" s="1"/>
  <c r="D31" i="5"/>
  <c r="C31" i="5"/>
  <c r="B31" i="5"/>
  <c r="E31" i="5" s="1"/>
  <c r="D30" i="5"/>
  <c r="C30" i="5"/>
  <c r="B30" i="5"/>
  <c r="E30" i="5" s="1"/>
  <c r="E24" i="5"/>
  <c r="E23" i="5"/>
  <c r="E22" i="5"/>
  <c r="E21" i="5"/>
  <c r="B21" i="5"/>
  <c r="B20" i="5"/>
  <c r="E20" i="5" s="1"/>
  <c r="E19" i="5"/>
  <c r="B19" i="5"/>
  <c r="D18" i="5"/>
  <c r="C18" i="5"/>
  <c r="E18" i="5" s="1"/>
  <c r="B18" i="5"/>
  <c r="A6" i="4"/>
  <c r="P19" i="3"/>
  <c r="C29" i="2"/>
  <c r="C30" i="2" s="1"/>
  <c r="C28" i="2"/>
  <c r="C27" i="2"/>
  <c r="C26" i="2"/>
  <c r="C25" i="2"/>
  <c r="C24" i="2"/>
  <c r="C23" i="2"/>
  <c r="C22" i="2"/>
  <c r="C21" i="2"/>
  <c r="A4" i="1"/>
  <c r="F32" i="2" l="1"/>
  <c r="E29" i="2"/>
</calcChain>
</file>

<file path=xl/sharedStrings.xml><?xml version="1.0" encoding="utf-8"?>
<sst xmlns="http://schemas.openxmlformats.org/spreadsheetml/2006/main" count="700" uniqueCount="461">
  <si>
    <t>Activation Analysis</t>
  </si>
  <si>
    <r>
      <rPr>
        <b/>
        <sz val="10"/>
        <color theme="1"/>
        <rFont val="Arial"/>
      </rPr>
      <t>Instructions:</t>
    </r>
    <r>
      <rPr>
        <sz val="10"/>
        <color theme="1"/>
        <rFont val="Arial"/>
      </rPr>
      <t xml:space="preserve"> In Course 1, you learned how to acquire a customer. Now you have driven your prospect to the point of signup, this prospect is handed off from the Growth PM focused on acquisition to Growth PM focused on activation, YOU. </t>
    </r>
  </si>
  <si>
    <t xml:space="preserve">These tasks will help you understand how to decrease time-to-value and remove friction for users when signing up. After signing up, it's important to activate customers so they experience your value proposition as early as possible, so we must activate users quickly. 
</t>
  </si>
  <si>
    <t>Step 2: Complete Tabs 3 - 8 in order by signing up for Slack: https://slack.com/get-started. These tasks will help you understand how to apply activation theories to guide users from 1-stage to another (signup to engagement) in the Activation model and how to segment audiences and use levers to increase engagement. You are using two different companies (Slack and Productboard) in the project because it will allow you to apply the frameworks, theories, and methods in the classroom to multiple examples, seeing how a GPM at a large and a small scale company address signup flow and activation.</t>
  </si>
  <si>
    <t xml:space="preserve">These tasks will help you understand how to apply activation theories to guide users from 1-stage to another (signup to engagement) in the Activation flow, how to segment audiences and use levers to increase engagement. </t>
  </si>
  <si>
    <t>You are using two different companies (Slack and Productboard) in the project because it will allow you to apply the frameworks, theories, and methods in the classroom to multiple contexts. You will get a feeling for how a GPM at a large and a small scale company address signup flow and activation.</t>
  </si>
  <si>
    <r>
      <rPr>
        <b/>
        <sz val="10"/>
        <color theme="1"/>
        <rFont val="Arial"/>
      </rPr>
      <t>Note:</t>
    </r>
    <r>
      <rPr>
        <sz val="10"/>
        <color theme="1"/>
        <rFont val="Arial"/>
      </rPr>
      <t xml:space="preserve"> If you are unable to or have not used Slack before, imagine a product that is the equivalent to SMS, Messenger, or Whatsapp, but for business use-case. Think of the tools mentioned above as an equivalent if you are unable to think of the moments for Slack.</t>
    </r>
  </si>
  <si>
    <t>Mark a task completed on Column B after completing each Tab. To help you keep track of what you have completed.</t>
  </si>
  <si>
    <t>Tab</t>
  </si>
  <si>
    <t>Completed?</t>
  </si>
  <si>
    <t>Tasks</t>
  </si>
  <si>
    <t>Signup Flow</t>
  </si>
  <si>
    <t>Measure drop-offs</t>
  </si>
  <si>
    <t>Signup Experiments</t>
  </si>
  <si>
    <t>Understand Product</t>
  </si>
  <si>
    <t>Activation Hypothesis</t>
  </si>
  <si>
    <t>Funnel Analysis</t>
  </si>
  <si>
    <t>Habit Moment and Metric Analysis</t>
  </si>
  <si>
    <t>Aha Moment and Metric Analysis</t>
  </si>
  <si>
    <t>Setup Moment and Metric Analysis</t>
  </si>
  <si>
    <t>Activation Funnel</t>
  </si>
  <si>
    <t>Activation by Segment</t>
  </si>
  <si>
    <t>Segment Analysis</t>
  </si>
  <si>
    <r>
      <rPr>
        <b/>
        <sz val="10"/>
        <color theme="1"/>
        <rFont val="Arial"/>
      </rPr>
      <t xml:space="preserve">Scenario: </t>
    </r>
    <r>
      <rPr>
        <sz val="10"/>
        <color theme="1"/>
        <rFont val="Arial"/>
      </rPr>
      <t xml:space="preserve">You have been brought onto a project at Productboard to help the company optimize the signup flow. 
 </t>
    </r>
  </si>
  <si>
    <t>Your task is to analyze each step in the sign up flow that a user would go through.</t>
  </si>
  <si>
    <t>Qualitatively, understand what each step is asking and if it creates any bad friction.</t>
  </si>
  <si>
    <t>Quantitatively, measure the amount of input (click and fields) it takes for the user to complete each step and what the drop-off rates are.</t>
  </si>
  <si>
    <t>Once you understand the existing flow, suggest experiments to reduce drop-offs %. Doing so, you will increase the amount of leads to the top of the funnel.</t>
  </si>
  <si>
    <r>
      <rPr>
        <b/>
        <sz val="10"/>
        <color theme="1"/>
        <rFont val="Arial"/>
      </rPr>
      <t xml:space="preserve">Skill: </t>
    </r>
    <r>
      <rPr>
        <sz val="10"/>
        <color theme="1"/>
        <rFont val="Arial"/>
      </rPr>
      <t>You should:
(1) Calculate drop-offs at each step of sign up flow
(2) Analyze how to reduce drop-offs (increase the signup completion rate) in the flow
(3) Think on how to get users through the activation funnel
(4) Create experiments using the [ACTION], [OUTCOME], and [THEORY] framework.</t>
    </r>
  </si>
  <si>
    <r>
      <rPr>
        <b/>
        <sz val="10"/>
        <color theme="1"/>
        <rFont val="Arial"/>
      </rPr>
      <t xml:space="preserve">Instructions: </t>
    </r>
    <r>
      <rPr>
        <sz val="10"/>
        <color theme="1"/>
        <rFont val="Arial"/>
      </rPr>
      <t xml:space="preserve">Sign Up for the free trial of productboard (https://app.productboard.com/register) to complete in-order, a row-at-a-time, the 9 sign-up steps in Column A. Each screen in the sign up on productboard will equal a row in this sheet. Pause at each screen on signup to complete the analysis on each row in this sheet by filling in the questions in the columns for that step before continuing with your sign up on productboard. Along the way, address the questions and calculations in Row 20 to explain your understanding of friction in each step and suggest experiments to address any frictions. Complete the task 1-row at a time from Row 22 - 29. </t>
    </r>
  </si>
  <si>
    <r>
      <rPr>
        <b/>
        <sz val="10"/>
        <color theme="1"/>
        <rFont val="Arial"/>
      </rPr>
      <t xml:space="preserve">1. </t>
    </r>
    <r>
      <rPr>
        <sz val="10"/>
        <color theme="1"/>
        <rFont val="Arial"/>
      </rPr>
      <t>Take the Click Through # and calculate the fields on Column D, E, and F.</t>
    </r>
  </si>
  <si>
    <r>
      <rPr>
        <b/>
        <sz val="10"/>
        <color theme="1"/>
        <rFont val="Arial"/>
      </rPr>
      <t xml:space="preserve">2. </t>
    </r>
    <r>
      <rPr>
        <sz val="10"/>
        <color theme="1"/>
        <rFont val="Arial"/>
      </rPr>
      <t>Fill in the # of clicks and fields in Column G and H as you go through each step of the sign up flow.</t>
    </r>
  </si>
  <si>
    <t>3. In Column M and N, take the CTA directly from the sign-up flow and document the CTA and an explanation of the information that is being asked</t>
  </si>
  <si>
    <r>
      <rPr>
        <b/>
        <sz val="10"/>
        <color theme="1"/>
        <rFont val="Arial"/>
      </rPr>
      <t xml:space="preserve">4. </t>
    </r>
    <r>
      <rPr>
        <sz val="10"/>
        <color theme="1"/>
        <rFont val="Arial"/>
      </rPr>
      <t>In Column O explain your understanding of the value extracted from the information collected.</t>
    </r>
  </si>
  <si>
    <r>
      <rPr>
        <b/>
        <sz val="10"/>
        <color theme="1"/>
        <rFont val="Arial"/>
      </rPr>
      <t xml:space="preserve">5. </t>
    </r>
    <r>
      <rPr>
        <sz val="10"/>
        <color theme="1"/>
        <rFont val="Arial"/>
      </rPr>
      <t>In Column P, Q, and R, reply with a binary yes/no; If no, then explain your reasoning.</t>
    </r>
  </si>
  <si>
    <r>
      <rPr>
        <b/>
        <sz val="10"/>
        <color theme="1"/>
        <rFont val="Arial"/>
      </rPr>
      <t xml:space="preserve">6. </t>
    </r>
    <r>
      <rPr>
        <sz val="10"/>
        <color theme="1"/>
        <rFont val="Arial"/>
      </rPr>
      <t>Demonstrate your understanding of good and bad friction in Columns S to V by applying the concept of friction to this specific sign up flow.</t>
    </r>
  </si>
  <si>
    <r>
      <rPr>
        <b/>
        <sz val="10"/>
        <color theme="1"/>
        <rFont val="Arial"/>
      </rPr>
      <t xml:space="preserve">7. </t>
    </r>
    <r>
      <rPr>
        <sz val="10"/>
        <color theme="1"/>
        <rFont val="Arial"/>
      </rPr>
      <t xml:space="preserve">In Column W, create a experiment brief using the [ACTION], [OUTCOME], and [THEORY] framework. </t>
    </r>
  </si>
  <si>
    <t>Cells in Orange have been completed for you as an example. The formulas have been removed.</t>
  </si>
  <si>
    <t>A</t>
  </si>
  <si>
    <t>B</t>
  </si>
  <si>
    <t xml:space="preserve">C </t>
  </si>
  <si>
    <t>D</t>
  </si>
  <si>
    <t>E</t>
  </si>
  <si>
    <t>F</t>
  </si>
  <si>
    <t>G</t>
  </si>
  <si>
    <t xml:space="preserve">H </t>
  </si>
  <si>
    <t>I</t>
  </si>
  <si>
    <t>J</t>
  </si>
  <si>
    <t>K</t>
  </si>
  <si>
    <t>L</t>
  </si>
  <si>
    <t>M</t>
  </si>
  <si>
    <t>N</t>
  </si>
  <si>
    <t>O</t>
  </si>
  <si>
    <t>P</t>
  </si>
  <si>
    <t>Q</t>
  </si>
  <si>
    <t>R</t>
  </si>
  <si>
    <t>S</t>
  </si>
  <si>
    <t>T</t>
  </si>
  <si>
    <t>U</t>
  </si>
  <si>
    <t>V</t>
  </si>
  <si>
    <t>W</t>
  </si>
  <si>
    <t>Step</t>
  </si>
  <si>
    <t>Name</t>
  </si>
  <si>
    <t>Click-through #</t>
  </si>
  <si>
    <t>Click-through %</t>
  </si>
  <si>
    <t>Drop-off % at each step</t>
  </si>
  <si>
    <r>
      <rPr>
        <b/>
        <sz val="10"/>
        <color theme="1"/>
        <rFont val="Arial"/>
      </rPr>
      <t>How many total clicks to get to next step?</t>
    </r>
    <r>
      <rPr>
        <sz val="10"/>
        <color theme="1"/>
        <rFont val="Arial"/>
      </rPr>
      <t xml:space="preserve"> (including optional fields)</t>
    </r>
  </si>
  <si>
    <r>
      <rPr>
        <b/>
        <sz val="10"/>
        <color theme="1"/>
        <rFont val="Arial"/>
      </rPr>
      <t xml:space="preserve">How many fields to fill out? </t>
    </r>
    <r>
      <rPr>
        <sz val="10"/>
        <color theme="1"/>
        <rFont val="Arial"/>
      </rPr>
      <t>(including optional fields)</t>
    </r>
  </si>
  <si>
    <t>Observations (Personal Notes)</t>
  </si>
  <si>
    <t>What is the Call-To-Action (CTA)?</t>
  </si>
  <si>
    <t>What information is being asked on this step?</t>
  </si>
  <si>
    <t>What do you think this information is used for?</t>
  </si>
  <si>
    <t>Is the action clear? (If not, explain)</t>
  </si>
  <si>
    <t>Do you think this step is located in the correct (most natural) order of the flow? (If not, explain)</t>
  </si>
  <si>
    <t>Is this step necessary? (If not, explain)</t>
  </si>
  <si>
    <t>Is this good friction or bad friction?</t>
  </si>
  <si>
    <t>If bad friction, how can it be addressed?</t>
  </si>
  <si>
    <t>Why might you not want to remove this bad friction?</t>
  </si>
  <si>
    <t>Can the amount of clicks be reduced? If so, how?</t>
  </si>
  <si>
    <t>Experiment Brief</t>
  </si>
  <si>
    <t>Home Page</t>
  </si>
  <si>
    <t>0%%</t>
  </si>
  <si>
    <t>Just a simple home page with 2 call-to-actions (CTAs) above the fold.</t>
  </si>
  <si>
    <t>[Try Now] and [TRY NOW]</t>
  </si>
  <si>
    <t>To start the free trial by clicking the CTA</t>
  </si>
  <si>
    <t>To start the free trial</t>
  </si>
  <si>
    <t>Yes</t>
  </si>
  <si>
    <t>Good</t>
  </si>
  <si>
    <t>--</t>
  </si>
  <si>
    <t>[ACTION] If we run an a/b experiment by changing the copy from "try now" to "start free trial", or "start 14-day trial" [OUTCOME] we can evaluate if there is more click-throughs to the sign-up page [Theory] because the copy will better present that the trial is offered for free, is for 14-days, and does not require a credit card.</t>
  </si>
  <si>
    <t>Free Trial Sign Up</t>
  </si>
  <si>
    <t>Verification Email</t>
  </si>
  <si>
    <t>Activate account in email</t>
  </si>
  <si>
    <t>Submit personal info</t>
  </si>
  <si>
    <t>Name your workspace</t>
  </si>
  <si>
    <t>Invite Team</t>
  </si>
  <si>
    <t>Password</t>
  </si>
  <si>
    <t>Survey</t>
  </si>
  <si>
    <t>User in-product</t>
  </si>
  <si>
    <t>Average</t>
  </si>
  <si>
    <t>Sum</t>
  </si>
  <si>
    <r>
      <rPr>
        <b/>
        <sz val="10"/>
        <color theme="1"/>
        <rFont val="Arial"/>
      </rPr>
      <t>Scenario:</t>
    </r>
    <r>
      <rPr>
        <sz val="10"/>
        <color theme="1"/>
        <rFont val="Arial"/>
      </rPr>
      <t xml:space="preserve"> The director of PM at Productboard has looked at your analysis of experiments in Tab 1 and wants to better understand how you will implement these experiments, your hypothesis on the impacts, how you will prioritize them, and how you will measure success. Not every experiment needs to be expanded on, so he asks to choose your top 5.</t>
    </r>
  </si>
  <si>
    <r>
      <rPr>
        <b/>
        <sz val="10"/>
        <color theme="1"/>
        <rFont val="Arial"/>
      </rPr>
      <t xml:space="preserve">Skill: </t>
    </r>
    <r>
      <rPr>
        <sz val="10"/>
        <color theme="1"/>
        <rFont val="Arial"/>
      </rPr>
      <t>You will implement the ICE framework to prioritize your experiments by giving them a growth score. Note: Further analysis and input from engineering and design does occur in the wild, which is removed from the scope of this exercise.</t>
    </r>
  </si>
  <si>
    <r>
      <rPr>
        <b/>
        <sz val="10"/>
        <color theme="1"/>
        <rFont val="Arial"/>
      </rPr>
      <t xml:space="preserve">Instructions: </t>
    </r>
    <r>
      <rPr>
        <sz val="10"/>
        <color theme="1"/>
        <rFont val="Arial"/>
      </rPr>
      <t>Complete the task with 1 row (experiment) at a time.</t>
    </r>
  </si>
  <si>
    <t xml:space="preserve">1. Use 5 experiments from Tab 1 - Column W and place them into Tab 2 - Column B. </t>
  </si>
  <si>
    <t>2. In column D, elaborate on what is being tested</t>
  </si>
  <si>
    <t>3. In column E, provide a qualitative and quantitative hypothesis of what will happen</t>
  </si>
  <si>
    <t>4. In column F, describe the rationale of why you chose this experiment from any social proof, previous experience, or from any research.</t>
  </si>
  <si>
    <t>5 In column G, provide a list of stakeholders who would need to be involved to release this experiment and why</t>
  </si>
  <si>
    <t>6. In column H, document what more information is needed for you to execute on this experiment and document what assumptions you are making</t>
  </si>
  <si>
    <t>7. In column I, provide a list of metrics that need to be measured in this experiment that would verify if the experiment failed or passed</t>
  </si>
  <si>
    <t>8. In column J, provide a time-frame the experiment should be run for</t>
  </si>
  <si>
    <t>9 In column K, provide a % of users you would want to experiment with</t>
  </si>
  <si>
    <t>10. In column M - P, apply the ICE framework to your experiments</t>
  </si>
  <si>
    <t xml:space="preserve">B </t>
  </si>
  <si>
    <t>C</t>
  </si>
  <si>
    <r>
      <rPr>
        <b/>
        <sz val="10"/>
        <color theme="1"/>
        <rFont val="Arial"/>
      </rPr>
      <t xml:space="preserve">Experiment Brief </t>
    </r>
    <r>
      <rPr>
        <b/>
        <sz val="10"/>
        <color theme="1"/>
        <rFont val="Arial"/>
      </rPr>
      <t>(from Tab 1)</t>
    </r>
  </si>
  <si>
    <t>Which Step of Funnel (name and #) does this experiment impact?</t>
  </si>
  <si>
    <t>Describe what in the experiment is being tested?</t>
  </si>
  <si>
    <t>Hypothesis (What do you think will happen qualitatively and quantitatively?)</t>
  </si>
  <si>
    <t>Rationale (Why do you want to try this experiment?)</t>
  </si>
  <si>
    <t>Stakeholders (What other titles in the company needs to be involved? and why?)</t>
  </si>
  <si>
    <t>What more info do you need to decide this is an experiment you want to run? What assumptions are we making?</t>
  </si>
  <si>
    <t>What metrics should be measured?</t>
  </si>
  <si>
    <t>Length of time to run the experiment?</t>
  </si>
  <si>
    <t>What % of sign up users would you want to experiment with?</t>
  </si>
  <si>
    <t>What Friction is being removed?</t>
  </si>
  <si>
    <t>ICE - Impact? (be quantitative)</t>
  </si>
  <si>
    <t>ICE- Confidence</t>
  </si>
  <si>
    <t>ICE- Ease</t>
  </si>
  <si>
    <t>ICE - Growth Score</t>
  </si>
  <si>
    <t>[ACTION] we can remove the top 50% of the step (role, team size, team use) [OUTCOME] so that we can inc the step completion rate from 92% [THEORY] because we would be decreasing 67% of the clicks on this step.</t>
  </si>
  <si>
    <t>9 - survey</t>
  </si>
  <si>
    <t>We would remove the top portion of this step and only include the button. The screen would then only ask the user for bottom step that starts with "what are you hoping productboard will help you do?" The other steps we removed, we can look into tools like Clearbit that will help us collect the same data.</t>
  </si>
  <si>
    <t>We would remove 67% of the clicks and 4 fields from this step. At the moment the conversion on this step is 92%, but I think we can inc it to 95% as a result of this step.</t>
  </si>
  <si>
    <t>We are asking for too many fields at this step and the user is likely exhausted from going through 9 steps. We need to trim the sign up process to only the bare minimum items we need to get the user to the time-to-value as fast as possible.</t>
  </si>
  <si>
    <t>Sales team to determine how they use the survey data. Marketing team to determine how they use the survey data. Design team to create mockups of the new last step. Engineering team to unmap those fields and remove them from the back end, while keeping historical data.</t>
  </si>
  <si>
    <t>How sales uses this data? Is this data used for marketing engagement and onboarding?</t>
  </si>
  <si>
    <t xml:space="preserve">Higher step 9 conversions and higher total conversions of the funnel. </t>
  </si>
  <si>
    <t>2-weeks</t>
  </si>
  <si>
    <t>Collecting additional data that can be obtained for 3rd party resources. Asking for too much data</t>
  </si>
  <si>
    <r>
      <rPr>
        <b/>
        <sz val="10"/>
        <color theme="1"/>
        <rFont val="Arial"/>
      </rPr>
      <t xml:space="preserve">Scenario: </t>
    </r>
    <r>
      <rPr>
        <sz val="10"/>
        <color theme="1"/>
        <rFont val="Arial"/>
      </rPr>
      <t>After doing such an amazing job for Productboard with signup, you have now been brought onto a project at Slack. Slack's revenues have been decreasing by 5% and leadership believes it's an activation problem due to not understanding what we should be guiding our users to-do in our product when the user is signing up.</t>
    </r>
  </si>
  <si>
    <t>You've been tasked to define a more robust activation funnel to achieve shorter time-to-value, product usage, and revenue. You will 
(1) be able to tell Marketing and the Growth PM focusing on acquisition which segment of our users are performing these actions best and 
(2) determine what moments and metrics we should be driving our users towards. NOTE: The rest of the project relates entirely to Slack or a realtime messaging service like Slack.</t>
  </si>
  <si>
    <r>
      <rPr>
        <sz val="10"/>
        <color rgb="FF000000"/>
        <rFont val="Arial"/>
      </rPr>
      <t xml:space="preserve">You will 
(1) be able to tell Marketing and Growth PM focusing on acquisition which segment of our users are performing these actions best
(2) determine what moments and metrics we should be driving our users towards. 
</t>
    </r>
    <r>
      <rPr>
        <b/>
        <sz val="10"/>
        <color rgb="FF000000"/>
        <rFont val="Arial"/>
      </rPr>
      <t>NOTE</t>
    </r>
    <r>
      <rPr>
        <sz val="10"/>
        <color rgb="FF000000"/>
        <rFont val="Arial"/>
      </rPr>
      <t>: The rest of the project relates entirely to Slack or a realtime messaging service like Slack.</t>
    </r>
  </si>
  <si>
    <r>
      <rPr>
        <b/>
        <sz val="10"/>
        <color theme="1"/>
        <rFont val="Arial"/>
      </rPr>
      <t xml:space="preserve">Skill: </t>
    </r>
    <r>
      <rPr>
        <sz val="10"/>
        <color theme="1"/>
        <rFont val="Arial"/>
      </rPr>
      <t xml:space="preserve">Before doing any analysis, you want to start off with a hypothesis. Before you quantitatively measure the activation funnel, define your understanding of the product by creating a hypothesis of what the Habit, Aha, and Setup moments are for Slack. </t>
    </r>
  </si>
  <si>
    <t xml:space="preserve">After signing up for Slack, determine what actions in the product and marketing messages the user is driven to. From the actions you are driven to as a new user, determine which actions are leading you to an aha moment to see value of the product or setup moment that are leading you to properly setup your account. </t>
  </si>
  <si>
    <t xml:space="preserve">An example of an Setup Moment is that they market themselves as a replacement of Email on their marketing website, so when you start using the product, they likely get you to take action via Slack what you would normally do via email. </t>
  </si>
  <si>
    <t>An example of Aha Moment is that they get you to engage with the Slackbot or your college, so you can engaging with others, weather that is a human, bots, or other 3rd party services to see value of the tool.</t>
  </si>
  <si>
    <t>Create a hypothesis of what the habit, aha, and setup moments should be for Slack. (Note: this is only for data-dump and for critical thinking.)</t>
  </si>
  <si>
    <t>The answers here are hypothesis based on your experience of starting to use Slack. In addition to creating a new account on Slack, browse through their features page to spark ideas of potential aha moments: https://slack.com/features.</t>
  </si>
  <si>
    <r>
      <rPr>
        <sz val="10"/>
        <color theme="1"/>
        <rFont val="Arial"/>
      </rPr>
      <t xml:space="preserve">1. List 4 in-product moments you think that if done often would lead a </t>
    </r>
    <r>
      <rPr>
        <b/>
        <sz val="10"/>
        <color rgb="FF4285F4"/>
        <rFont val="Arial"/>
      </rPr>
      <t>Slack</t>
    </r>
    <r>
      <rPr>
        <sz val="10"/>
        <color theme="1"/>
        <rFont val="Arial"/>
      </rPr>
      <t xml:space="preserve"> user to build a habit in Row 18-21</t>
    </r>
  </si>
  <si>
    <r>
      <rPr>
        <sz val="10"/>
        <color theme="1"/>
        <rFont val="Arial"/>
      </rPr>
      <t xml:space="preserve">2. List 4 aha moments in-product that you think if reached, seen, or experienced would get a user to understand the value provided by </t>
    </r>
    <r>
      <rPr>
        <b/>
        <sz val="10"/>
        <color rgb="FF4285F4"/>
        <rFont val="Arial"/>
      </rPr>
      <t>Slack</t>
    </r>
    <r>
      <rPr>
        <sz val="10"/>
        <color theme="1"/>
        <rFont val="Arial"/>
      </rPr>
      <t xml:space="preserve"> in Row 15-19</t>
    </r>
  </si>
  <si>
    <t>Moment that lead to Habit:</t>
  </si>
  <si>
    <t>Only use Slack, not email, for internal messages</t>
  </si>
  <si>
    <t>Moment that lead to Aha:</t>
  </si>
  <si>
    <t>Getting notifications from team on a group channel</t>
  </si>
  <si>
    <t>Moment that lead to Setup:</t>
  </si>
  <si>
    <t>Engage in a frequency faster than email while being mobile</t>
  </si>
  <si>
    <r>
      <rPr>
        <sz val="10"/>
        <color rgb="FF000000"/>
        <rFont val="Arial"/>
      </rPr>
      <t>You need to conduct an analysis on what habit moments and metrics drive users to long-term activation.</t>
    </r>
    <r>
      <rPr>
        <b/>
        <sz val="10"/>
        <color rgb="FF000000"/>
        <rFont val="Arial"/>
      </rPr>
      <t xml:space="preserve"> 
Remember: </t>
    </r>
    <r>
      <rPr>
        <sz val="10"/>
        <color rgb="FF000000"/>
        <rFont val="Arial"/>
      </rPr>
      <t xml:space="preserve">Long-term activation would be defined by the metric with the highest % overlap curve. </t>
    </r>
  </si>
  <si>
    <r>
      <rPr>
        <sz val="10"/>
        <color rgb="FF000000"/>
        <rFont val="Arial"/>
      </rPr>
      <t>The habit, aha, and setup moments will be shared across</t>
    </r>
    <r>
      <rPr>
        <b/>
        <sz val="10"/>
        <color rgb="FF000000"/>
        <rFont val="Arial"/>
      </rPr>
      <t xml:space="preserve"> next three tabs one for each moment</t>
    </r>
    <r>
      <rPr>
        <sz val="10"/>
        <color rgb="FF000000"/>
        <rFont val="Arial"/>
      </rPr>
      <t>. 
In this tab, you will analyze just habit moments/metrics and determine whether each of these 3 habit moments affect activation. This is important to know because then we can tailor our product to include the features that allow our users to achieve activation faster. 3 Habit Moments and 3 Habit Metrics are pre-selected for you along with users who completed actions and retained for each of the 3 moments.</t>
    </r>
  </si>
  <si>
    <t>Habit 1 analysis is on row 18-20, habit 2 analysis is on row 30-36, and habit 3 analysis is on row 42-48.</t>
  </si>
  <si>
    <r>
      <rPr>
        <b/>
        <sz val="10"/>
        <color theme="1"/>
        <rFont val="Arial"/>
      </rPr>
      <t xml:space="preserve">Skills: 
</t>
    </r>
    <r>
      <rPr>
        <sz val="10"/>
        <color theme="1"/>
        <rFont val="Arial"/>
      </rPr>
      <t>(1) calculate % overlap to measure the relationship of % overlap to habit metric
(2) create line charts to visualize the relationship of the metric
(3) analyze which are the primary habit moments and metric that lead to long-term activation.</t>
    </r>
  </si>
  <si>
    <r>
      <rPr>
        <b/>
        <sz val="10"/>
        <color theme="1"/>
        <rFont val="Arial"/>
      </rPr>
      <t xml:space="preserve">Instructions: </t>
    </r>
    <r>
      <rPr>
        <sz val="10"/>
        <color theme="1"/>
        <rFont val="Arial"/>
      </rPr>
      <t>Place any notes, thoughts, comments in the "Observations (Personal Notes)" box in column M -O for yourself as you may want them in the future</t>
    </r>
  </si>
  <si>
    <r>
      <rPr>
        <b/>
        <sz val="10"/>
        <color theme="1"/>
        <rFont val="Arial"/>
      </rPr>
      <t xml:space="preserve">1. </t>
    </r>
    <r>
      <rPr>
        <sz val="10"/>
        <color theme="1"/>
        <rFont val="Arial"/>
      </rPr>
      <t xml:space="preserve">Calculate the % overlap for each moment in Column F, </t>
    </r>
  </si>
  <si>
    <r>
      <rPr>
        <b/>
        <sz val="10"/>
        <color theme="1"/>
        <rFont val="Arial"/>
      </rPr>
      <t xml:space="preserve">2. </t>
    </r>
    <r>
      <rPr>
        <sz val="10"/>
        <color theme="1"/>
        <rFont val="Arial"/>
      </rPr>
      <t xml:space="preserve">Create a line-graph for each moment in Column H-K to visualize the % Overlap from Column F vs Habit Metric from column A, </t>
    </r>
  </si>
  <si>
    <r>
      <rPr>
        <b/>
        <sz val="10"/>
        <color theme="1"/>
        <rFont val="Arial"/>
      </rPr>
      <t xml:space="preserve">3. </t>
    </r>
    <r>
      <rPr>
        <sz val="10"/>
        <color theme="1"/>
        <rFont val="Arial"/>
      </rPr>
      <t>Analyze the data for each moment to determine if based on your analysis, this moment leads to long-term activation or not, and share your reasoning in Column Q - S</t>
    </r>
  </si>
  <si>
    <r>
      <rPr>
        <b/>
        <sz val="10"/>
        <color theme="1"/>
        <rFont val="Arial"/>
      </rPr>
      <t xml:space="preserve">4. </t>
    </r>
    <r>
      <rPr>
        <sz val="10"/>
        <color theme="1"/>
        <rFont val="Arial"/>
      </rPr>
      <t>Once Steps 1 - 3 are completed, determine which of the 3 options would the Primary Habit Moment and Metric and explain why in the 2 boxes on the bottom right of this Tab in Row  51.</t>
    </r>
  </si>
  <si>
    <t>Observations (Personal Notes):</t>
  </si>
  <si>
    <t>Does doing this Habit Metric affect activation? If yes, what is the ideal metric?</t>
  </si>
  <si>
    <t># of</t>
  </si>
  <si>
    <t>User</t>
  </si>
  <si>
    <t>Messages Sent</t>
  </si>
  <si>
    <t>Action Completed</t>
  </si>
  <si>
    <t>Retained + Action NOT completed</t>
  </si>
  <si>
    <t>Retained + Action completed</t>
  </si>
  <si>
    <t>Total Users</t>
  </si>
  <si>
    <t>% Overlap</t>
  </si>
  <si>
    <t>Why?</t>
  </si>
  <si>
    <r>
      <rPr>
        <b/>
        <sz val="10"/>
        <color theme="1"/>
        <rFont val="Arial"/>
      </rPr>
      <t xml:space="preserve">Habit Moment 2: </t>
    </r>
    <r>
      <rPr>
        <sz val="10"/>
        <color theme="1"/>
        <rFont val="Arial"/>
      </rPr>
      <t xml:space="preserve">Only use Slack for internal messages, not email   </t>
    </r>
    <r>
      <rPr>
        <b/>
        <sz val="10"/>
        <color theme="1"/>
        <rFont val="Arial"/>
      </rPr>
      <t xml:space="preserve">                                     </t>
    </r>
  </si>
  <si>
    <r>
      <rPr>
        <b/>
        <sz val="10"/>
        <color theme="1"/>
        <rFont val="Arial"/>
      </rPr>
      <t xml:space="preserve">Habit Metric 2: </t>
    </r>
    <r>
      <rPr>
        <sz val="10"/>
        <color theme="1"/>
        <rFont val="Arial"/>
      </rPr>
      <t># of sessions (log-ins) per day</t>
    </r>
  </si>
  <si>
    <t>Session</t>
  </si>
  <si>
    <t>(log-ins)</t>
  </si>
  <si>
    <t>1+</t>
  </si>
  <si>
    <t>2+</t>
  </si>
  <si>
    <t>3+</t>
  </si>
  <si>
    <t>4+</t>
  </si>
  <si>
    <t>5+</t>
  </si>
  <si>
    <t>6+</t>
  </si>
  <si>
    <t>7+</t>
  </si>
  <si>
    <r>
      <rPr>
        <b/>
        <sz val="10"/>
        <color theme="1"/>
        <rFont val="Arial"/>
      </rPr>
      <t xml:space="preserve">Habit Moment 3: </t>
    </r>
    <r>
      <rPr>
        <sz val="10"/>
        <color theme="1"/>
        <rFont val="Arial"/>
      </rPr>
      <t xml:space="preserve">Checking a notification when something is addressed to me                      </t>
    </r>
  </si>
  <si>
    <r>
      <rPr>
        <b/>
        <sz val="10"/>
        <color theme="1"/>
        <rFont val="Arial"/>
      </rPr>
      <t xml:space="preserve">Habit Metric 3: </t>
    </r>
    <r>
      <rPr>
        <sz val="10"/>
        <color theme="1"/>
        <rFont val="Arial"/>
      </rPr>
      <t># of messages they were linked to (with an @) that brought them back to Slack</t>
    </r>
  </si>
  <si>
    <t>Messages</t>
  </si>
  <si>
    <t>Moment</t>
  </si>
  <si>
    <t>Metric</t>
  </si>
  <si>
    <r>
      <rPr>
        <b/>
        <sz val="10"/>
        <color rgb="FF000000"/>
        <rFont val="Arial"/>
      </rPr>
      <t>What is the best Primary Habit Moment and Metric to select for Slack?</t>
    </r>
    <r>
      <rPr>
        <sz val="10"/>
        <color rgb="FF000000"/>
        <rFont val="Arial"/>
      </rPr>
      <t xml:space="preserve"> (hint: what did you confirm as a Habit Action in this exercise and which action had the highest overlap - probability to positively affect activation)</t>
    </r>
  </si>
  <si>
    <t>Without using the data analysis, why do you think that this Habit would be the best for Slack?</t>
  </si>
  <si>
    <r>
      <rPr>
        <b/>
        <sz val="10"/>
        <color theme="1"/>
        <rFont val="Arial"/>
      </rPr>
      <t xml:space="preserve">Scenario: </t>
    </r>
    <r>
      <rPr>
        <sz val="10"/>
        <color theme="1"/>
        <rFont val="Arial"/>
      </rPr>
      <t xml:space="preserve">The VP of Product took your team's hypothesies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</si>
  <si>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sz val="10"/>
        <color rgb="FF000000"/>
        <rFont val="Arial"/>
      </rPr>
      <t>You need to conduct an analysis on what habit moments and metrics drive users to long-term activation.</t>
    </r>
    <r>
      <rPr>
        <b/>
        <sz val="10"/>
        <color rgb="FF000000"/>
        <rFont val="Arial"/>
      </rPr>
      <t xml:space="preserve"> 
Remember: </t>
    </r>
    <r>
      <rPr>
        <sz val="10"/>
        <color rgb="FF000000"/>
        <rFont val="Arial"/>
      </rPr>
      <t xml:space="preserve">Long-term activation would be defined by the metric with the highest % overlap curve. </t>
    </r>
  </si>
  <si>
    <r>
      <rPr>
        <sz val="10"/>
        <color rgb="FF000000"/>
        <rFont val="Arial"/>
      </rPr>
      <t>The habit, aha, and setup moments will be shared across</t>
    </r>
    <r>
      <rPr>
        <b/>
        <sz val="10"/>
        <color rgb="FF000000"/>
        <rFont val="Arial"/>
      </rPr>
      <t xml:space="preserve"> next three tabs one for each moment</t>
    </r>
    <r>
      <rPr>
        <sz val="10"/>
        <color rgb="FF000000"/>
        <rFont val="Arial"/>
      </rPr>
      <t>. 
In this tab, you will analyze just Aha moments/metrics and determine whether each of these 3 habit moments affect activation. This is important to know because then we can tailor our product to include the features that allow our users to achieve activation faster. 3 Aha Moments and 3 Aha Metrics are pre-selected for you along with users who completed actions and retained for each of the 3 moments.</t>
    </r>
  </si>
  <si>
    <r>
      <rPr>
        <b/>
        <sz val="10"/>
        <color theme="1"/>
        <rFont val="Arial"/>
      </rPr>
      <t xml:space="preserve">Skill: </t>
    </r>
    <r>
      <rPr>
        <sz val="10"/>
        <color theme="1"/>
        <rFont val="Arial"/>
      </rPr>
      <t>From these tasks, you can apply your knowledge on how to (1) calculate % overlap to measure the relationship of % overlap to Aha metric, (2) create line charts to visualize the relationship of the metric and (3) analyze which are the primary Aha moments and metric that lead to long-term activation.</t>
    </r>
  </si>
  <si>
    <r>
      <rPr>
        <b/>
        <sz val="10"/>
        <color theme="1"/>
        <rFont val="Arial"/>
      </rPr>
      <t xml:space="preserve">Instructions: </t>
    </r>
    <r>
      <rPr>
        <sz val="10"/>
        <color theme="1"/>
        <rFont val="Arial"/>
      </rPr>
      <t>Place any notes, thoughts, comments in the "Observations (Personal Notes)" box in column M - O for yourself to view in the future.</t>
    </r>
  </si>
  <si>
    <r>
      <rPr>
        <b/>
        <sz val="10"/>
        <color theme="1"/>
        <rFont val="Arial"/>
      </rPr>
      <t xml:space="preserve">1. </t>
    </r>
    <r>
      <rPr>
        <sz val="10"/>
        <color theme="1"/>
        <rFont val="Arial"/>
      </rPr>
      <t xml:space="preserve">Calculate the % overlap for each moment in Column F, </t>
    </r>
  </si>
  <si>
    <r>
      <rPr>
        <b/>
        <sz val="10"/>
        <color theme="1"/>
        <rFont val="Arial"/>
      </rPr>
      <t xml:space="preserve">2. </t>
    </r>
    <r>
      <rPr>
        <sz val="10"/>
        <color theme="1"/>
        <rFont val="Arial"/>
      </rPr>
      <t xml:space="preserve">Create a line-graph for each moment in Column H-K to visualize the % Overlap from Column F vs aha Metric from column A, </t>
    </r>
  </si>
  <si>
    <r>
      <rPr>
        <b/>
        <sz val="10"/>
        <color theme="1"/>
        <rFont val="Arial"/>
      </rPr>
      <t xml:space="preserve">3. </t>
    </r>
    <r>
      <rPr>
        <sz val="10"/>
        <color theme="1"/>
        <rFont val="Arial"/>
      </rPr>
      <t>Analyze the data for each moment to determine if based on your analysis, this moment leads to long-term activation or not, and share your reasoning in Column Q - S</t>
    </r>
  </si>
  <si>
    <r>
      <rPr>
        <b/>
        <sz val="10"/>
        <color theme="1"/>
        <rFont val="Arial"/>
      </rPr>
      <t xml:space="preserve">4. </t>
    </r>
    <r>
      <rPr>
        <sz val="10"/>
        <color theme="1"/>
        <rFont val="Arial"/>
      </rPr>
      <t>Once Steps 1 - 3 are completed, determine which of the 3 options would the Primary aha Moment and Metric and explain why in the 2 boxes on the bottom right of this Tab in Row 50.</t>
    </r>
  </si>
  <si>
    <t>Aha Moment 1: Engaging with a message in a group channel</t>
  </si>
  <si>
    <t>Does doing this Aha Metric affect activation? If yes, what is the ideal metric?</t>
  </si>
  <si>
    <t xml:space="preserve"># of </t>
  </si>
  <si>
    <t>Days Taken</t>
  </si>
  <si>
    <r>
      <rPr>
        <b/>
        <sz val="10"/>
        <color theme="1"/>
        <rFont val="Arial"/>
      </rPr>
      <t xml:space="preserve">Aha Moment 2: </t>
    </r>
    <r>
      <rPr>
        <sz val="10"/>
        <color theme="1"/>
        <rFont val="Arial"/>
      </rPr>
      <t>Messaging with a team member on a direct channel</t>
    </r>
  </si>
  <si>
    <r>
      <rPr>
        <b/>
        <sz val="10"/>
        <color theme="1"/>
        <rFont val="Arial"/>
      </rPr>
      <t xml:space="preserve">Aha Metric 2: </t>
    </r>
    <r>
      <rPr>
        <sz val="10"/>
        <color theme="1"/>
        <rFont val="Arial"/>
      </rPr>
      <t xml:space="preserve">sends 1st direct message within X days </t>
    </r>
  </si>
  <si>
    <r>
      <rPr>
        <b/>
        <sz val="10"/>
        <color theme="1"/>
        <rFont val="Arial"/>
      </rPr>
      <t xml:space="preserve">Aha Moment 3: </t>
    </r>
    <r>
      <rPr>
        <sz val="10"/>
        <color theme="1"/>
        <rFont val="Arial"/>
      </rPr>
      <t>Searching for old documents, links, and convos</t>
    </r>
  </si>
  <si>
    <t>Aha Metric 3: 1st search for a file or message within X days</t>
  </si>
  <si>
    <r>
      <rPr>
        <b/>
        <sz val="10"/>
        <color rgb="FF000000"/>
        <rFont val="Arial"/>
      </rPr>
      <t>What is the best Primary Aha Moment and Metric to select for Slack?</t>
    </r>
    <r>
      <rPr>
        <sz val="10"/>
        <color rgb="FF000000"/>
        <rFont val="Arial"/>
      </rPr>
      <t xml:space="preserve"> (hint: what did you confirm as a Aha Action in this exercise and which action had the highest overlap - probability to positively affect activation)</t>
    </r>
  </si>
  <si>
    <t>Without using the data analysis, why do you think that this Aha would be the best for Slack?</t>
  </si>
  <si>
    <r>
      <rPr>
        <b/>
        <sz val="10"/>
        <color theme="1"/>
        <rFont val="Arial"/>
      </rPr>
      <t xml:space="preserve">Scenario: </t>
    </r>
    <r>
      <rPr>
        <sz val="10"/>
        <color theme="1"/>
        <rFont val="Arial"/>
      </rPr>
      <t xml:space="preserve">The VP of Product took your team's hypothesies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</si>
  <si>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sz val="10"/>
        <color rgb="FF000000"/>
        <rFont val="Arial"/>
      </rPr>
      <t>You need to conduct an analysis on what habit moments and metrics drive users to long-term activation.</t>
    </r>
    <r>
      <rPr>
        <b/>
        <sz val="10"/>
        <color rgb="FF000000"/>
        <rFont val="Arial"/>
      </rPr>
      <t xml:space="preserve"> 
Remember: </t>
    </r>
    <r>
      <rPr>
        <sz val="10"/>
        <color rgb="FF000000"/>
        <rFont val="Arial"/>
      </rPr>
      <t xml:space="preserve">Long-term activation would be defined by the metric with the highest % overlap curve. </t>
    </r>
  </si>
  <si>
    <t>The habit, Setup, and setup moments will be shared across next three tabs one for each moment. 
In this tab, you will analyze just Setup moments/metrics and determine whether each of these 3 habit moments affect activation. This is important to know because then we can tailor our product to include the features that allow our users to achieve activation faster. 3 Setup Moments and 3 Setup Metrics are pre-selected for you along with users who completed actions and retained for each of the 3 moments.</t>
  </si>
  <si>
    <r>
      <rPr>
        <b/>
        <sz val="10"/>
        <color theme="1"/>
        <rFont val="Arial"/>
      </rPr>
      <t xml:space="preserve">Skill: </t>
    </r>
    <r>
      <rPr>
        <sz val="10"/>
        <color theme="1"/>
        <rFont val="Arial"/>
      </rPr>
      <t>From these tasks, you can apply your knowledge on how to 
(1) calculate % overlap to measure the relationship of % overlap to setup metric
(2) create line charts to visualize the relationship of the metric
(3) analyze which are the primary setup moments and metric that lead to long-term activation.</t>
    </r>
  </si>
  <si>
    <r>
      <rPr>
        <b/>
        <sz val="10"/>
        <color theme="1"/>
        <rFont val="Arial"/>
      </rPr>
      <t xml:space="preserve">Instructions: </t>
    </r>
    <r>
      <rPr>
        <sz val="10"/>
        <color theme="1"/>
        <rFont val="Arial"/>
      </rPr>
      <t>Place any notes, thoughts, comments in the "Observations (Personal Notes)" box in column M - O for yourself to view in the future.</t>
    </r>
  </si>
  <si>
    <r>
      <rPr>
        <b/>
        <sz val="10"/>
        <color theme="1"/>
        <rFont val="Arial"/>
      </rPr>
      <t xml:space="preserve">1. </t>
    </r>
    <r>
      <rPr>
        <sz val="10"/>
        <color theme="1"/>
        <rFont val="Arial"/>
      </rPr>
      <t xml:space="preserve">Calculate the % overlap for each moment in Column F, </t>
    </r>
  </si>
  <si>
    <r>
      <rPr>
        <b/>
        <sz val="10"/>
        <color theme="1"/>
        <rFont val="Arial"/>
      </rPr>
      <t xml:space="preserve">2. </t>
    </r>
    <r>
      <rPr>
        <sz val="10"/>
        <color theme="1"/>
        <rFont val="Arial"/>
      </rPr>
      <t xml:space="preserve">Create a line-graph for each moment in Column H-K to visualize the % Overlap from Column F vs setup Metric from column A, </t>
    </r>
  </si>
  <si>
    <r>
      <rPr>
        <b/>
        <sz val="10"/>
        <color theme="1"/>
        <rFont val="Arial"/>
      </rPr>
      <t xml:space="preserve">3. </t>
    </r>
    <r>
      <rPr>
        <sz val="10"/>
        <color theme="1"/>
        <rFont val="Arial"/>
      </rPr>
      <t>Analyze the data for each moment to determine if based on your analysis, this moment leads to long-term activation or not, and share your reasoning in Column Q - S</t>
    </r>
  </si>
  <si>
    <r>
      <rPr>
        <b/>
        <sz val="10"/>
        <color theme="1"/>
        <rFont val="Arial"/>
      </rPr>
      <t xml:space="preserve">4. </t>
    </r>
    <r>
      <rPr>
        <sz val="10"/>
        <color theme="1"/>
        <rFont val="Arial"/>
      </rPr>
      <t>Once Steps 1 - 3 are completed, determine which of the 3 options would the Primary setup Moment and Metric and explain why in the 2 boxes on the bottom right of this Tab in Row 50.</t>
    </r>
  </si>
  <si>
    <r>
      <rPr>
        <b/>
        <sz val="10"/>
        <color theme="1"/>
        <rFont val="Arial"/>
      </rPr>
      <t xml:space="preserve">Setup Moment 1: </t>
    </r>
    <r>
      <rPr>
        <sz val="10"/>
        <color theme="1"/>
        <rFont val="Arial"/>
      </rPr>
      <t>Configure settings and profile</t>
    </r>
  </si>
  <si>
    <r>
      <rPr>
        <b/>
        <sz val="10"/>
        <color theme="1"/>
        <rFont val="Arial"/>
      </rPr>
      <t xml:space="preserve">Setup Metric 1: </t>
    </r>
    <r>
      <rPr>
        <sz val="10"/>
        <color theme="1"/>
        <rFont val="Arial"/>
      </rPr>
      <t>Setting up profile pic within X days</t>
    </r>
  </si>
  <si>
    <t>Does doing this Setup Metric affect activation? If yes, what is the ideal metric?</t>
  </si>
  <si>
    <r>
      <rPr>
        <b/>
        <sz val="10"/>
        <color theme="1"/>
        <rFont val="Arial"/>
      </rPr>
      <t xml:space="preserve">Setup Moment 2: </t>
    </r>
    <r>
      <rPr>
        <sz val="10"/>
        <color theme="1"/>
        <rFont val="Arial"/>
      </rPr>
      <t>Integrate to a 3rd party Slack App</t>
    </r>
  </si>
  <si>
    <r>
      <rPr>
        <b/>
        <sz val="10"/>
        <color theme="1"/>
        <rFont val="Arial"/>
      </rPr>
      <t xml:space="preserve">Setup Metric 2: </t>
    </r>
    <r>
      <rPr>
        <sz val="10"/>
        <color theme="1"/>
        <rFont val="Arial"/>
      </rPr>
      <t>Integrate to a 3rd party app within 7-days</t>
    </r>
  </si>
  <si>
    <t>Users Invited</t>
  </si>
  <si>
    <r>
      <rPr>
        <b/>
        <sz val="10"/>
        <color rgb="FF000000"/>
        <rFont val="Arial"/>
      </rPr>
      <t>What is the best Primary Setup Moment and Metric to select for Slack?</t>
    </r>
    <r>
      <rPr>
        <sz val="10"/>
        <color rgb="FF000000"/>
        <rFont val="Arial"/>
      </rPr>
      <t xml:space="preserve"> (hint: what did you confirm as a Aha Action in this exercise and which action had the highest overlap - probability to positively affect activation)</t>
    </r>
  </si>
  <si>
    <t>Without using the data analysis, why do you think that this Setup would be the best for Slack?</t>
  </si>
  <si>
    <t>Suggested Experiments from Tab 3</t>
  </si>
  <si>
    <r>
      <rPr>
        <b/>
        <sz val="10"/>
        <color theme="1"/>
        <rFont val="Arial"/>
      </rPr>
      <t xml:space="preserve">Scenario: </t>
    </r>
    <r>
      <rPr>
        <sz val="10"/>
        <color theme="1"/>
        <rFont val="Arial"/>
      </rPr>
      <t xml:space="preserve">You have been brought onto a project at Slack to help define the activation funnel. </t>
    </r>
  </si>
  <si>
    <t>On this tab, you will be putting all the analysis you've done in previous 3 tabs together. From the 3 previous tabs, you should have identified the primary habit, aha, and signup moment that most influenced activation.</t>
  </si>
  <si>
    <r>
      <rPr>
        <b/>
        <sz val="10"/>
        <color theme="1"/>
        <rFont val="Arial"/>
      </rPr>
      <t xml:space="preserve">Skill: </t>
    </r>
    <r>
      <rPr>
        <sz val="10"/>
        <color theme="1"/>
        <rFont val="Arial"/>
      </rPr>
      <t xml:space="preserve">You have determined that many moments and metrics can lead users to activate, but there are only a few </t>
    </r>
    <r>
      <rPr>
        <b/>
        <sz val="10"/>
        <color theme="1"/>
        <rFont val="Arial"/>
      </rPr>
      <t>Primary</t>
    </r>
    <r>
      <rPr>
        <sz val="10"/>
        <color theme="1"/>
        <rFont val="Arial"/>
      </rPr>
      <t xml:space="preserve"> moments and metrics that we should drive users towards as they lead to long-term activation.</t>
    </r>
  </si>
  <si>
    <r>
      <rPr>
        <b/>
        <sz val="10"/>
        <color theme="1"/>
        <rFont val="Arial"/>
      </rPr>
      <t xml:space="preserve">Instructions: </t>
    </r>
    <r>
      <rPr>
        <sz val="10"/>
        <color theme="1"/>
        <rFont val="Arial"/>
      </rPr>
      <t>Compare your hypothesis from Tab 3- Activation Hyopthesis against the post-analysis activation funnel in Tab 7. Please add your thoughts Column C.</t>
    </r>
  </si>
  <si>
    <r>
      <rPr>
        <sz val="10"/>
        <color theme="1"/>
        <rFont val="Arial"/>
      </rPr>
      <t xml:space="preserve">1. </t>
    </r>
    <r>
      <rPr>
        <sz val="10"/>
        <color theme="1"/>
        <rFont val="Arial"/>
      </rPr>
      <t>Your Habit moments and metrics (They should appear here from the relevant tabs, if they do not, please copy them here) for your to reflect on are in A11 and B11</t>
    </r>
    <r>
      <rPr>
        <sz val="10"/>
        <color theme="1"/>
        <rFont val="Arial"/>
      </rPr>
      <t xml:space="preserve">                                                </t>
    </r>
  </si>
  <si>
    <t>2. Your Aha moments and metrics (They should appear here from the relevant tabs, if they do not, please copy them here) for your to reflect on are in A11 and B12</t>
  </si>
  <si>
    <t>3. Your Setup moments and metrics (They should appear here from the relevant tabs, if they do not, please copy them here) for your to reflect on are in A11 and B13</t>
  </si>
  <si>
    <t>Cells  in orange have been done for you.</t>
  </si>
  <si>
    <t>Metrics that lead to Habit:</t>
  </si>
  <si>
    <t>Observations/Reflections on Hypothesis</t>
  </si>
  <si>
    <t>Metrics that lead to Aha:</t>
  </si>
  <si>
    <t>Moments that lead to Signup:</t>
  </si>
  <si>
    <t>Metrics that lead to Signup:</t>
  </si>
  <si>
    <r>
      <rPr>
        <b/>
        <sz val="10"/>
        <color theme="1"/>
        <rFont val="Arial"/>
      </rPr>
      <t xml:space="preserve">Scenario: </t>
    </r>
    <r>
      <rPr>
        <sz val="10"/>
        <color theme="1"/>
        <rFont val="Arial"/>
      </rPr>
      <t xml:space="preserve">Now that you have determined one of Slack's Habit, Aha, and Setup moments, you have been asked by the VP of Product to segment our users through the activation funnel. He requests you share with marketing any findings on what users are performing well, not well, and what areas can be improved on. </t>
    </r>
  </si>
  <si>
    <t xml:space="preserve">The findings will help marketing team focus on Ideal Customer Profiles (ICPs), so they know where to invest for Acquisition. The activation funnel has already been applied to these segments and your goal is to see analyze delta between the funnel and how many users make it through the funnel. </t>
  </si>
  <si>
    <r>
      <rPr>
        <b/>
        <sz val="10"/>
        <color rgb="FF000000"/>
        <rFont val="Arial"/>
      </rPr>
      <t>Remember</t>
    </r>
    <r>
      <rPr>
        <sz val="10"/>
        <color rgb="FF000000"/>
        <rFont val="Arial"/>
      </rPr>
      <t xml:space="preserve">: The delta is the percentage of users that make it from one stage of the funnel to the next to ultimately tell us what percent of our acquired users go through all stages of funnel to achieve activation. </t>
    </r>
  </si>
  <si>
    <t>Once your conduct this analysis, you can then create experiments on how to convert more users through each step in the Setup, Aha, and Habit moments. The goal for Slack is to get more users through the funnel so we have more users and  a higer % of users that become activated.</t>
  </si>
  <si>
    <t xml:space="preserve">Skill: Analyze how different segments flow through the activation funnel by determining the # and % of users activated per segment. </t>
  </si>
  <si>
    <r>
      <rPr>
        <b/>
        <sz val="10"/>
        <color theme="1"/>
        <rFont val="Arial"/>
      </rPr>
      <t>Instructions</t>
    </r>
    <r>
      <rPr>
        <sz val="10"/>
        <color theme="1"/>
        <rFont val="Arial"/>
      </rPr>
      <t xml:space="preserve">: Conduct each segment analysis in order: 
Industry (Row 8 - 28)
Company Size (Row 30 -50)
Account Size (Row 52 - 71)
Source (Row 73 - 90). </t>
    </r>
  </si>
  <si>
    <t xml:space="preserve">Place any notes, thoughts, comments in the "Observations (Personal Notes)" box for yourself to view in the future - these will not be graded. </t>
  </si>
  <si>
    <t>In your text-based analysis, your goal is to increase the total average % you calculate in row 31, 53, 74, and 93 across each segment. To determine what is a good threshold of % of users activated that is good enough vs.needs more support, compare the % users activated for each segmen to the average for that segment.</t>
  </si>
  <si>
    <r>
      <rPr>
        <b/>
        <sz val="10"/>
        <color theme="1"/>
        <rFont val="Arial"/>
      </rPr>
      <t xml:space="preserve">1. </t>
    </r>
    <r>
      <rPr>
        <sz val="10"/>
        <color theme="1"/>
        <rFont val="Arial"/>
      </rPr>
      <t xml:space="preserve">Calculate the Delta (Setup to Aha) ratio in Column D     </t>
    </r>
    <r>
      <rPr>
        <b/>
        <sz val="10"/>
        <color theme="1"/>
        <rFont val="Arial"/>
      </rPr>
      <t xml:space="preserve">                                              </t>
    </r>
  </si>
  <si>
    <r>
      <rPr>
        <b/>
        <sz val="10"/>
        <color theme="1"/>
        <rFont val="Arial"/>
      </rPr>
      <t xml:space="preserve">2. </t>
    </r>
    <r>
      <rPr>
        <sz val="10"/>
        <color theme="1"/>
        <rFont val="Arial"/>
      </rPr>
      <t xml:space="preserve">Calculate Delta (Aha to Habit) ratio in Column F,        </t>
    </r>
    <r>
      <rPr>
        <b/>
        <sz val="10"/>
        <color theme="1"/>
        <rFont val="Arial"/>
      </rPr>
      <t xml:space="preserve">                                          </t>
    </r>
  </si>
  <si>
    <t xml:space="preserve">3. Calculate # of users activated in Column H,                                                       </t>
  </si>
  <si>
    <r>
      <rPr>
        <b/>
        <sz val="10"/>
        <color theme="1"/>
        <rFont val="Arial"/>
      </rPr>
      <t xml:space="preserve">4. </t>
    </r>
    <r>
      <rPr>
        <sz val="10"/>
        <color theme="1"/>
        <rFont val="Arial"/>
      </rPr>
      <t>% of Users Activated in Column I,</t>
    </r>
  </si>
  <si>
    <r>
      <rPr>
        <b/>
        <sz val="10"/>
        <color theme="1"/>
        <rFont val="Arial"/>
      </rPr>
      <t xml:space="preserve">5. </t>
    </r>
    <r>
      <rPr>
        <sz val="10"/>
        <color theme="1"/>
        <rFont val="Arial"/>
      </rPr>
      <t>Address questions (located below each segment) regarding what segment has the best/worst activation funnel and create an experiment l to focus effort on a specific segment funnel. Use the [Action], [Outcome], and [Theory] Framework.</t>
    </r>
  </si>
  <si>
    <t>Cells colored in Blue have ben completed as examples for you. The formulas have been removed.</t>
  </si>
  <si>
    <t>Segment Analysis by Industry for June 2019</t>
  </si>
  <si>
    <t>Industry</t>
  </si>
  <si>
    <t>New Users Acquired</t>
  </si>
  <si>
    <t># of Users activated</t>
  </si>
  <si>
    <t>% of Users Activated</t>
  </si>
  <si>
    <t>Total</t>
  </si>
  <si>
    <t>Setup Moment</t>
  </si>
  <si>
    <t>Delta (Setup to Aha)</t>
  </si>
  <si>
    <t>Aha Moment</t>
  </si>
  <si>
    <t>Delta (Aha to Habit)</t>
  </si>
  <si>
    <t>Habit Moment</t>
  </si>
  <si>
    <t>Technology</t>
  </si>
  <si>
    <t xml:space="preserve">Retail </t>
  </si>
  <si>
    <t>Healthcare</t>
  </si>
  <si>
    <t>Financial Services</t>
  </si>
  <si>
    <t>Manufacturing</t>
  </si>
  <si>
    <t>Consume Goods</t>
  </si>
  <si>
    <t>Transportation</t>
  </si>
  <si>
    <t>Oil and Gas</t>
  </si>
  <si>
    <t>What industry has the best activation Funnel? Why?</t>
  </si>
  <si>
    <t>What industry has the worst activation Funnel? Why?</t>
  </si>
  <si>
    <t>What would you want to report to Marketing?</t>
  </si>
  <si>
    <t>Experiment Brief using Action, Outcome, Theory  (Select 1 moments to improve)</t>
  </si>
  <si>
    <t>Segment Analysis by Company Size for June 2019</t>
  </si>
  <si>
    <t>Company Size</t>
  </si>
  <si>
    <t>New Users</t>
  </si>
  <si>
    <t>1-5</t>
  </si>
  <si>
    <t>6-10</t>
  </si>
  <si>
    <t>11-20</t>
  </si>
  <si>
    <t>21-50</t>
  </si>
  <si>
    <t>51-100</t>
  </si>
  <si>
    <t>101-250</t>
  </si>
  <si>
    <t>251-500</t>
  </si>
  <si>
    <t>501+</t>
  </si>
  <si>
    <t>What company size has the best activation Funnel? Why?</t>
  </si>
  <si>
    <t>What company size has the worst activation Funnel? Why?</t>
  </si>
  <si>
    <t>Segment Analysis by Account Size for June 2019</t>
  </si>
  <si>
    <t>Account Size</t>
  </si>
  <si>
    <t>1 - 2</t>
  </si>
  <si>
    <t>2 - 5</t>
  </si>
  <si>
    <t>5 - 10</t>
  </si>
  <si>
    <t>10 - 20</t>
  </si>
  <si>
    <t>20 - 50</t>
  </si>
  <si>
    <t>50 - 100</t>
  </si>
  <si>
    <t>100+</t>
  </si>
  <si>
    <t>What account size has the best activation Funnel? Why?</t>
  </si>
  <si>
    <t>What account size has the worst activation Funnel? Why?</t>
  </si>
  <si>
    <t>Segment Funnel by Sources for June 2019</t>
  </si>
  <si>
    <t>Source</t>
  </si>
  <si>
    <t>Pricing Page</t>
  </si>
  <si>
    <t>Free Trial Page</t>
  </si>
  <si>
    <t>Referral link</t>
  </si>
  <si>
    <t>Team Invitation</t>
  </si>
  <si>
    <t>Blog Page</t>
  </si>
  <si>
    <t>What source has the best activation Funnel? Why?</t>
  </si>
  <si>
    <t>What source has the worst activation Funnel? Why?</t>
  </si>
  <si>
    <t>Sign up using google or work email</t>
  </si>
  <si>
    <t>Sign up with email</t>
  </si>
  <si>
    <t>Work email</t>
  </si>
  <si>
    <t>To communicate to me in future</t>
  </si>
  <si>
    <t>yes</t>
  </si>
  <si>
    <t>good</t>
  </si>
  <si>
    <t xml:space="preserve">Direct link to my email </t>
  </si>
  <si>
    <t>open email</t>
  </si>
  <si>
    <t>no</t>
  </si>
  <si>
    <t>Account Activation link</t>
  </si>
  <si>
    <t>Activate now</t>
  </si>
  <si>
    <t>Not in first sign up , we can do it in second login session</t>
  </si>
  <si>
    <t>bad</t>
  </si>
  <si>
    <t>Forced  the user to verify email in 2nd login session</t>
  </si>
  <si>
    <t>Personal Info</t>
  </si>
  <si>
    <t>next</t>
  </si>
  <si>
    <t>Name ,Company name ,Phone</t>
  </si>
  <si>
    <t>To retarget me for different products</t>
  </si>
  <si>
    <t>Name is only required</t>
  </si>
  <si>
    <t>workspace required</t>
  </si>
  <si>
    <t>workspace  name</t>
  </si>
  <si>
    <t>to create a workspace</t>
  </si>
  <si>
    <t>to collaborate with team</t>
  </si>
  <si>
    <t>Invite</t>
  </si>
  <si>
    <t>email id of friends</t>
  </si>
  <si>
    <t>to invite friends</t>
  </si>
  <si>
    <t>to set the password</t>
  </si>
  <si>
    <t>password</t>
  </si>
  <si>
    <t>to create a account</t>
  </si>
  <si>
    <t>to share more information about myself</t>
  </si>
  <si>
    <t>role,company size, about user and purpose.</t>
  </si>
  <si>
    <t>to personalise my  experience</t>
  </si>
  <si>
    <t>x</t>
  </si>
  <si>
    <t>3 - Verification email</t>
  </si>
  <si>
    <t>we help the user to contiue exploring the product in first login rather than asking him to verify the email address</t>
  </si>
  <si>
    <t>By removing this step altogether, we would increase the conversion of this step by 5%.</t>
  </si>
  <si>
    <t>because we are uneccessarily forcing the user to verify the email id when his intent is to further explore the product.</t>
  </si>
  <si>
    <t>No one</t>
  </si>
  <si>
    <t>How much is the conversion of user who logins only once to the portal ? Is the sales team has seen conversions of such members?</t>
  </si>
  <si>
    <t>Increased conversions of step 3</t>
  </si>
  <si>
    <t>2 weeks</t>
  </si>
  <si>
    <t>Opening a different tab and verifying the account</t>
  </si>
  <si>
    <t>5 - Submit info</t>
  </si>
  <si>
    <t>It should improve the conversion of this step by 7%.</t>
  </si>
  <si>
    <t>The user has to share the info which he would be reluctant in sharing</t>
  </si>
  <si>
    <t>The assumption is we will be able to extract this info from user with due course.</t>
  </si>
  <si>
    <t>increased conversion of step 5</t>
  </si>
  <si>
    <r>
      <t xml:space="preserve">2. List 4 aha moments in-product that you think if reached, seen, or experienced would get a user to understand the value provided by </t>
    </r>
    <r>
      <rPr>
        <b/>
        <sz val="10"/>
        <color rgb="FF4285F4"/>
        <rFont val="Arial"/>
      </rPr>
      <t>Slack</t>
    </r>
    <r>
      <rPr>
        <sz val="10"/>
        <color theme="1"/>
        <rFont val="Arial"/>
      </rPr>
      <t xml:space="preserve"> in Row 31-34.</t>
    </r>
  </si>
  <si>
    <t>Work on a project for which the team is already using slack for collaboration.</t>
  </si>
  <si>
    <t>When you get a exclusive access to a part of a community , which is difficult to get access to.</t>
  </si>
  <si>
    <t>When you start searching for a information ,and you find relevant channel already created for it.</t>
  </si>
  <si>
    <t>When you start interacting , replying or start answering queries on the channel.</t>
  </si>
  <si>
    <t>Create a workspace and invitee your team members to join the workspace.</t>
  </si>
  <si>
    <t>When you see your favourite community has a slack channel and you can join them instantly.</t>
  </si>
  <si>
    <t>Join 3 or more workspaces of relevance.</t>
  </si>
  <si>
    <t>When you join similar workspaces , in order to solve problems in hand.</t>
  </si>
  <si>
    <t>When atleast 5 people join your created workspace.</t>
  </si>
  <si>
    <t>When you get a invite for an event ,that you want to attend through slack.</t>
  </si>
  <si>
    <t>You download the slack app on your mobile.</t>
  </si>
  <si>
    <r>
      <t xml:space="preserve">Scenario: </t>
    </r>
    <r>
      <rPr>
        <sz val="10"/>
        <color theme="1"/>
        <rFont val="Arial"/>
      </rPr>
      <t xml:space="preserve">The VP of Product took your team's hypothesis and narrowed down them down to 3 moments and 3 metrics each for Habit, Aha, and Setup analysis. The ones provided could include your hypothesis from Tab 3, but if they do not, that does not mean yours hypothesis is not valid. With the VP's experience, he is simply able to narrow down the list for us. </t>
    </r>
  </si>
  <si>
    <r>
      <t xml:space="preserve">Drop-off % through funnel </t>
    </r>
    <r>
      <rPr>
        <sz val="10"/>
        <color theme="1"/>
        <rFont val="Arial"/>
      </rPr>
      <t>(starting signup)</t>
    </r>
  </si>
  <si>
    <t>we are removing one field Company name from the submit info page</t>
  </si>
  <si>
    <t>Asking for information to which user cannot relate to</t>
  </si>
  <si>
    <t>Increasein no of intended users join the workspace that lead to increased conversation.</t>
  </si>
  <si>
    <t>Observations (Personal Notes): The retention is increasing with the increased engagement. Once the user has sent more than 20000 messages in 7 days , his retention is highest.</t>
  </si>
  <si>
    <t>Observations (Personal Notes): If the user is logging in for atleast 4 times per day  , his retention is highest at 45%+</t>
  </si>
  <si>
    <t>Observations (Personal Notes): No of direct mentions through @ irritates the user and hence retention is highest for users with 1 mention i.e 47%.</t>
  </si>
  <si>
    <t>Because this habit metric is directly translating into retention of users. Higher the metric ,higher the retention.</t>
  </si>
  <si>
    <t>Because we have to understand the usage pattern of the user before we can lead to activation. We are interested in how the avg time spent is varying with the increase in no of sessions.</t>
  </si>
  <si>
    <t>Because more no of mentions is translating into less retention .</t>
  </si>
  <si>
    <r>
      <t xml:space="preserve">Habit Moment 1: </t>
    </r>
    <r>
      <rPr>
        <sz val="10"/>
        <color theme="1"/>
        <rFont val="Arial"/>
      </rPr>
      <t xml:space="preserve">look for a communication tool outside of email to engage with teammates   </t>
    </r>
    <r>
      <rPr>
        <b/>
        <sz val="10"/>
        <color theme="1"/>
        <rFont val="Arial"/>
      </rPr>
      <t xml:space="preserve">                                     </t>
    </r>
  </si>
  <si>
    <t xml:space="preserve">look for a communication tool outside of email to engage with teammates           </t>
  </si>
  <si>
    <r>
      <t xml:space="preserve">Habit Metric 1: </t>
    </r>
    <r>
      <rPr>
        <sz val="10"/>
        <color theme="1"/>
        <rFont val="Arial"/>
      </rPr>
      <t># of Team Slack Messages Sent in 7-days</t>
    </r>
  </si>
  <si>
    <t># of Team Slack Messages Sent in 7-days</t>
  </si>
  <si>
    <t>Because we have to position slack as an alternate solution to an email for communication and collaboration.</t>
  </si>
  <si>
    <t>Observations (Personal Notes): Retention falls drastically as time to reach aha moment increases . It is highest when the user reaches aha moment within a day. i.e 83%</t>
  </si>
  <si>
    <t>Observations (Personal Notes): Same aforementioned  reasoning holds true for this aha moment as well. Closer the aha moment ,higher the retention.</t>
  </si>
  <si>
    <t>Observations (Personal Notes): However this metric is interesting , because highest retention if the user search for old documents or photos in 3+ days.</t>
  </si>
  <si>
    <t>User should be actively engaged with atleast 2 channels to see the actual retention and activation.</t>
  </si>
  <si>
    <t>It is important to validate the usage of direct channel to engage with a team member. Sending a direct message will definetely increase the engagement.</t>
  </si>
  <si>
    <t>It is important to know the average duration for user to reach aha moment that leads to highest retention.</t>
  </si>
  <si>
    <t>Engaging with a message in a group channel</t>
  </si>
  <si>
    <r>
      <t xml:space="preserve">Aha Metric 1: </t>
    </r>
    <r>
      <rPr>
        <sz val="10"/>
        <color theme="1"/>
        <rFont val="Arial"/>
      </rPr>
      <t>Sending 1st message in a group channel within X days</t>
    </r>
  </si>
  <si>
    <t>Sending 1st message in a group channel within X days</t>
  </si>
  <si>
    <t>As slack is an alternate to email communication. The usage and adoption of product can easily measured by measuring the duration which encoourages user to send 1st message.</t>
  </si>
  <si>
    <t>Because profile pics encourage a user to have an engagement with team members, and a member will  have to upload the pic to see real value of platform.</t>
  </si>
  <si>
    <t>Because it increases the possibility and reasoning of using the platform.</t>
  </si>
  <si>
    <t>Because in order to encourage user to engage with the platform. He has to invite his team mates on the platform.</t>
  </si>
  <si>
    <r>
      <t xml:space="preserve">Setup Moment 3: </t>
    </r>
    <r>
      <rPr>
        <sz val="10"/>
        <color theme="1"/>
        <rFont val="Arial"/>
      </rPr>
      <t>Invite a team mate and had a back-and-forth direct convo</t>
    </r>
  </si>
  <si>
    <t xml:space="preserve"> Invite a team mate and had a back-and-forth direct convo</t>
  </si>
  <si>
    <r>
      <t xml:space="preserve">Setup Metric 3: </t>
    </r>
    <r>
      <rPr>
        <sz val="10"/>
        <color theme="1"/>
        <rFont val="Arial"/>
      </rPr>
      <t># of users invited within 7-days</t>
    </r>
  </si>
  <si>
    <t xml:space="preserve"> # of users invited within 7-days</t>
  </si>
  <si>
    <t>The communication  with team members is the core purpose of slack Hence inviting the members should be the core setup metric.</t>
  </si>
  <si>
    <t>Technology , It has highest % of users activated post setup,aha and habit moment.</t>
  </si>
  <si>
    <t>Transport. It has lowest % of users activated post setup , aha and habit moment.</t>
  </si>
  <si>
    <t>21-50 company has the highest % of users activated.</t>
  </si>
  <si>
    <t>1-5 company size has the lowest % users activated.</t>
  </si>
  <si>
    <t>50-100 account size has the highest % of users activated.</t>
  </si>
  <si>
    <t>1-2 Account size has the lowest % of users activated.</t>
  </si>
  <si>
    <t>Team  invitation source has the best activation funnel. It has highest % of users activated.</t>
  </si>
  <si>
    <t>Blog page source has the worst activation funnel. It has the lowest % of users activated.</t>
  </si>
  <si>
    <t>Marketing should focus on creating more targeted content for blogs as currently conversion from blog as source is low.</t>
  </si>
  <si>
    <t>Marketing should focus on transportation industry as its conversion is lowest.</t>
  </si>
  <si>
    <t>Marketing should focus on Account size 2-5 where the new users among the top 3 but quality of leads is not so good.</t>
  </si>
  <si>
    <t>Marketing should focus on company size 101-250 because is among the lowest and the no of new users is also low.</t>
  </si>
  <si>
    <t>For the transport industry ,we run a compaign to educate users about the usage of slack in their industry by sending emailers and webniar invitation so that 20% more users come to the platform  because currently they lack understanding of slack with respect to their industry.</t>
  </si>
  <si>
    <t>For the blog page source  ,we run a compaign to create video content using you tube sessions  so that 25% more users come to the platform  because currently they engagement with the blog content is low,</t>
  </si>
  <si>
    <t>For the 5 - 10 account size  ,we run a compaign to educate users about the utility of slack by inviting them to webniars so that 15% more users pass through habit moment because currently unable to appreciate slack for its collaboration application.</t>
  </si>
  <si>
    <t>For the 1-5 company size ,we run a compaign to create default groups for individuals to join so that 20% more users gets engaged with platform because currently their engagement is limited to the members active on slack and hence they are not able to fully utilize the potential of slack.</t>
  </si>
  <si>
    <t>Teams size is big enough to see the real value of slack.</t>
  </si>
  <si>
    <t>People use slack only in the professional space for collaboration but use in personal space for effective communication by inviting more friends to the platform.</t>
  </si>
  <si>
    <t>If the engagement is at personal, they will be more aligned to exchange messages with friends.</t>
  </si>
  <si>
    <t>If we run a/b experiment by changing work email to email , we can evaluate if there is more sign ups because many users will not have work email id.</t>
  </si>
  <si>
    <t>If we run an a/b experiment by changing picking the email service provider automatically from registered id rather than ask the user to select the email provider  we can evaluate if there is more click-throughs to the sign-up page because it unneccessary adds to additional sign up step for the user.</t>
  </si>
  <si>
    <t>If we run an a/b experiment by deffering the email verification to the 2nd login session we can evaluate if there is more click-throughs to the sign-up page  because the verification process during the first login adds to bad friction which is not required.</t>
  </si>
  <si>
    <t>If we run an a/b experiment by removing the phone field which is currently optional we can evaluate if there is more click-throughs to the sign-up page because people might be reluctant in sharing their mobile nos without knowing the context.</t>
  </si>
  <si>
    <t>We can remove the email verification step required during first login so that we can increase the sign up completion rate by 50% because it is removing the friction which is forcing the user to abandon the website for verification.</t>
  </si>
  <si>
    <t>We can remove the company name info which the user has to mandatorily submit to complete the sign up flow so that we can increase the completion of sign up process by 20% because we are asking the 33% less info during sign up.</t>
  </si>
  <si>
    <t>5  - Submit info</t>
  </si>
  <si>
    <t>We can remove the phone field which is currently optionalso that there is 30% additional click-throughs to the sign-up page because people might be reluctant in sharing their mobile nos without knowing the context.</t>
  </si>
  <si>
    <t>2- Free trial sign up</t>
  </si>
  <si>
    <t>we replace work email to email , so that there is 30% jump insign ups because many users will not have work email id.</t>
  </si>
  <si>
    <t>We want to see if work email hinders sign up</t>
  </si>
  <si>
    <t>We are removing optional phone field to evaluate the friction it cause</t>
  </si>
  <si>
    <t>It should improve the conversion of this step by 25%.</t>
  </si>
  <si>
    <t>It should improve the conversion of this step by 5%.</t>
  </si>
  <si>
    <t>Many users are not want to share mobile no without using the product.</t>
  </si>
  <si>
    <t>Users may not have work email id.</t>
  </si>
  <si>
    <t>Sharing additional private info</t>
  </si>
  <si>
    <t>Requirement of work email for sign up</t>
  </si>
  <si>
    <t>Sales team require company name. And the company name will be required to retarget user.</t>
  </si>
  <si>
    <t>Work email might be required internal sales team.</t>
  </si>
  <si>
    <t>Sales team and marketing team require phone no to contact the user. And the company name will be required to retarget user.</t>
  </si>
  <si>
    <t>The asumption is user is reluctant in sharing the phone no.</t>
  </si>
  <si>
    <t>User does not have work email id.</t>
  </si>
  <si>
    <t>increased conversion of step 2</t>
  </si>
  <si>
    <t>Yes it does affect activation. % overlap metric peaked at 3+ days at 40% , implies it do contribute to activation</t>
  </si>
  <si>
    <t>Yes. It does. Metric % overlap is peaked at 1+ days ,implies it does lead to activation.</t>
  </si>
  <si>
    <t>Yes it does. This is an ideal metric. % overlap fell drasticallly post 4+ days and hence it does impact activation.</t>
  </si>
  <si>
    <t>Yes this habit metric has signifcant impact on activation of user. After the user has sent 500 messages the % overlap is consistently inching upwards and it does impact activation.</t>
  </si>
  <si>
    <t>No I do not see the changes in this habit metric is really translating Into retention. Post 3+ log-in sessions,% overlap peaks , it means these users are translating into activation.</t>
  </si>
  <si>
    <t>Yes this habit metric affects activation. As it is evident from line graph after 2+ mentions , % overlap drops drastically and impacts activation.</t>
  </si>
  <si>
    <t>yes it affects activation. Frm the line graph , it is evident that users sending messages post 4+ days ,% overlap falls drastically. Hence impacts actvation.</t>
  </si>
  <si>
    <t>yes, it does.With each passing day , % activation drops. But post  4+ days ,% overlap or the line graph changes direction drastically. Hence impacts activation.</t>
  </si>
  <si>
    <t>Yes this metric affects activation. % overlap of users peak when the user searches 1st file within 3 days. Hence it impacts activation.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</si>
</sst>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yy"/>
  </numFmts>
  <fonts count="22">
    <font>
      <sz val="10"/>
      <color rgb="FF000000"/>
      <name val="Arial"/>
    </font>
    <font>
      <sz val="31"/>
      <color rgb="FF000000"/>
      <name val="Arial"/>
    </font>
    <font>
      <sz val="10"/>
      <name val="Arial"/>
    </font>
    <font>
      <sz val="10"/>
      <color theme="1"/>
      <name val="Arial"/>
    </font>
    <font>
      <u/>
      <sz val="10"/>
      <color rgb="FF0000FF"/>
      <name val="Arial"/>
    </font>
    <font>
      <sz val="10"/>
      <color rgb="FF000000"/>
      <name val="Arial"/>
    </font>
    <font>
      <b/>
      <sz val="10"/>
      <color rgb="FF000000"/>
      <name val="Arial"/>
    </font>
    <font>
      <b/>
      <sz val="10"/>
      <color theme="1"/>
      <name val="Arial"/>
    </font>
    <font>
      <sz val="11"/>
      <color rgb="FF222222"/>
      <name val="&quot;Google Sans&quot;"/>
    </font>
    <font>
      <b/>
      <sz val="20"/>
      <color theme="1"/>
      <name val="Arial"/>
    </font>
    <font>
      <b/>
      <sz val="30"/>
      <color theme="1"/>
      <name val="Arial"/>
    </font>
    <font>
      <b/>
      <u/>
      <sz val="10"/>
      <color rgb="FF0000FF"/>
      <name val="Arial"/>
    </font>
    <font>
      <b/>
      <sz val="10"/>
      <color rgb="FFB7B7B7"/>
      <name val="Arial"/>
    </font>
    <font>
      <sz val="10"/>
      <color rgb="FFB7B7B7"/>
      <name val="Arial"/>
    </font>
    <font>
      <sz val="11"/>
      <color rgb="FF000000"/>
      <name val="Arial"/>
    </font>
    <font>
      <b/>
      <sz val="18"/>
      <color theme="1"/>
      <name val="Arial"/>
    </font>
    <font>
      <sz val="10"/>
      <color theme="1"/>
      <name val="Arial"/>
    </font>
    <font>
      <b/>
      <sz val="10"/>
      <color rgb="FF000000"/>
      <name val="Open Sans"/>
    </font>
    <font>
      <b/>
      <sz val="10"/>
      <color theme="1"/>
      <name val="Arial"/>
    </font>
    <font>
      <sz val="10"/>
      <color rgb="FF000000"/>
      <name val="Open Sans"/>
    </font>
    <font>
      <b/>
      <sz val="10"/>
      <color theme="1"/>
      <name val="Open Sans"/>
    </font>
    <font>
      <b/>
      <sz val="10"/>
      <color rgb="FF4285F4"/>
      <name val="Arial"/>
    </font>
  </fonts>
  <fills count="25">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
      <patternFill patternType="solid">
        <fgColor rgb="FFF6B26B"/>
        <bgColor rgb="FFF6B26B"/>
      </patternFill>
    </fill>
    <fill>
      <patternFill patternType="solid">
        <fgColor rgb="FFF3F3F3"/>
        <bgColor rgb="FFF3F3F3"/>
      </patternFill>
    </fill>
    <fill>
      <patternFill patternType="solid">
        <fgColor rgb="FFBDBDBD"/>
        <bgColor rgb="FFBDBDBD"/>
      </patternFill>
    </fill>
    <fill>
      <patternFill patternType="solid">
        <fgColor rgb="FFA4C2F4"/>
        <bgColor rgb="FFA4C2F4"/>
      </patternFill>
    </fill>
    <fill>
      <patternFill patternType="solid">
        <fgColor rgb="FFD8D8D8"/>
        <bgColor rgb="FFD8D8D8"/>
      </patternFill>
    </fill>
    <fill>
      <patternFill patternType="solid">
        <fgColor rgb="FFC0CE7B"/>
        <bgColor rgb="FFC0CE7B"/>
      </patternFill>
    </fill>
    <fill>
      <patternFill patternType="solid">
        <fgColor rgb="FFFBD584"/>
        <bgColor rgb="FFFBD584"/>
      </patternFill>
    </fill>
    <fill>
      <patternFill patternType="solid">
        <fgColor rgb="FFEF9E65"/>
        <bgColor rgb="FFEF9E65"/>
      </patternFill>
    </fill>
    <fill>
      <patternFill patternType="solid">
        <fgColor rgb="FFF9CA7E"/>
        <bgColor rgb="FFF9CA7E"/>
      </patternFill>
    </fill>
    <fill>
      <patternFill patternType="solid">
        <fgColor rgb="FFF0A468"/>
        <bgColor rgb="FFF0A468"/>
      </patternFill>
    </fill>
    <fill>
      <patternFill patternType="solid">
        <fgColor rgb="FFE98256"/>
        <bgColor rgb="FFE98256"/>
      </patternFill>
    </fill>
    <fill>
      <patternFill patternType="solid">
        <fgColor rgb="FFFEE18B"/>
        <bgColor rgb="FFFEE18B"/>
      </patternFill>
    </fill>
    <fill>
      <patternFill patternType="solid">
        <fgColor rgb="FFF1A96C"/>
        <bgColor rgb="FFF1A96C"/>
      </patternFill>
    </fill>
    <fill>
      <patternFill patternType="solid">
        <fgColor rgb="FFE5724D"/>
        <bgColor rgb="FFE5724D"/>
      </patternFill>
    </fill>
    <fill>
      <patternFill patternType="solid">
        <fgColor rgb="FFF7C57B"/>
        <bgColor rgb="FFF7C57B"/>
      </patternFill>
    </fill>
    <fill>
      <patternFill patternType="solid">
        <fgColor rgb="FFEC935F"/>
        <bgColor rgb="FFEC935F"/>
      </patternFill>
    </fill>
    <fill>
      <patternFill patternType="solid">
        <fgColor rgb="FFEC8F5D"/>
        <bgColor rgb="FFEC8F5D"/>
      </patternFill>
    </fill>
    <fill>
      <patternFill patternType="solid">
        <fgColor rgb="FFE26344"/>
        <bgColor rgb="FFE26344"/>
      </patternFill>
    </fill>
    <fill>
      <patternFill patternType="solid">
        <fgColor rgb="FFDF563D"/>
        <bgColor rgb="FFDF563D"/>
      </patternFill>
    </fill>
    <fill>
      <patternFill patternType="solid">
        <fgColor rgb="FFEA8859"/>
        <bgColor rgb="FFEA8859"/>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2">
    <xf numFmtId="0" fontId="0" fillId="0" borderId="0"/>
    <xf numFmtId="9" fontId="5" fillId="0" borderId="0" applyFont="0" applyFill="0" applyBorder="0" applyAlignment="0" applyProtection="0"/>
  </cellStyleXfs>
  <cellXfs count="253">
    <xf numFmtId="0" fontId="0" fillId="0" borderId="0" xfId="0" applyFont="1" applyAlignment="1"/>
    <xf numFmtId="0" fontId="5" fillId="3" borderId="0" xfId="0" applyFont="1" applyFill="1" applyAlignment="1">
      <alignment horizontal="left"/>
    </xf>
    <xf numFmtId="0" fontId="7" fillId="0" borderId="2" xfId="0" applyFont="1" applyBorder="1" applyAlignment="1">
      <alignment horizontal="center"/>
    </xf>
    <xf numFmtId="0" fontId="7" fillId="0" borderId="3" xfId="0" applyFont="1" applyBorder="1" applyAlignment="1">
      <alignment horizontal="center"/>
    </xf>
    <xf numFmtId="0" fontId="7" fillId="2" borderId="10" xfId="0" applyFont="1" applyFill="1" applyBorder="1" applyAlignment="1">
      <alignment horizontal="center"/>
    </xf>
    <xf numFmtId="0" fontId="7" fillId="2" borderId="10" xfId="0" applyFont="1" applyFill="1" applyBorder="1" applyAlignment="1"/>
    <xf numFmtId="0" fontId="3" fillId="2" borderId="10" xfId="0" applyFont="1" applyFill="1" applyBorder="1" applyAlignment="1"/>
    <xf numFmtId="0" fontId="3" fillId="2" borderId="3" xfId="0" applyFont="1" applyFill="1" applyBorder="1" applyAlignment="1"/>
    <xf numFmtId="0" fontId="7" fillId="2" borderId="10" xfId="0" applyFont="1" applyFill="1" applyBorder="1" applyAlignment="1">
      <alignment horizontal="center"/>
    </xf>
    <xf numFmtId="0" fontId="3" fillId="0" borderId="11" xfId="0" applyFont="1" applyBorder="1" applyAlignment="1">
      <alignment horizontal="center"/>
    </xf>
    <xf numFmtId="0" fontId="3" fillId="4" borderId="10" xfId="0" applyFont="1" applyFill="1" applyBorder="1" applyAlignment="1"/>
    <xf numFmtId="0" fontId="3" fillId="0" borderId="10" xfId="0" applyFont="1" applyBorder="1" applyAlignment="1"/>
    <xf numFmtId="0" fontId="3" fillId="0" borderId="11" xfId="0" applyFont="1" applyBorder="1" applyAlignment="1">
      <alignment horizontal="center"/>
    </xf>
    <xf numFmtId="0" fontId="3" fillId="0" borderId="10" xfId="0" applyFont="1" applyBorder="1" applyAlignment="1"/>
    <xf numFmtId="0" fontId="3" fillId="0" borderId="10" xfId="0" applyFont="1" applyBorder="1" applyAlignment="1">
      <alignment horizontal="center"/>
    </xf>
    <xf numFmtId="0" fontId="3" fillId="2" borderId="10" xfId="0" applyFont="1" applyFill="1" applyBorder="1" applyAlignment="1">
      <alignment horizontal="center"/>
    </xf>
    <xf numFmtId="0" fontId="3" fillId="4" borderId="10" xfId="0" applyFont="1" applyFill="1" applyBorder="1"/>
    <xf numFmtId="0" fontId="8" fillId="3" borderId="10" xfId="0" applyFont="1" applyFill="1" applyBorder="1" applyAlignment="1"/>
    <xf numFmtId="0" fontId="3" fillId="0" borderId="0" xfId="0" applyFont="1"/>
    <xf numFmtId="0" fontId="7" fillId="0" borderId="0" xfId="0" applyFont="1" applyAlignment="1">
      <alignment wrapText="1"/>
    </xf>
    <xf numFmtId="0" fontId="3" fillId="0" borderId="0" xfId="0" applyFont="1" applyAlignment="1"/>
    <xf numFmtId="0" fontId="6" fillId="5" borderId="0" xfId="0" applyFont="1" applyFill="1" applyAlignment="1">
      <alignment horizontal="left"/>
    </xf>
    <xf numFmtId="0" fontId="5" fillId="5" borderId="8" xfId="0" applyFont="1" applyFill="1" applyBorder="1" applyAlignment="1">
      <alignment horizontal="left"/>
    </xf>
    <xf numFmtId="0" fontId="5" fillId="5" borderId="9" xfId="0" applyFont="1" applyFill="1" applyBorder="1" applyAlignment="1">
      <alignment horizontal="left"/>
    </xf>
    <xf numFmtId="0" fontId="7" fillId="3" borderId="11"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3" fillId="3" borderId="10" xfId="0" applyFont="1" applyFill="1" applyBorder="1" applyAlignment="1">
      <alignment horizontal="right"/>
    </xf>
    <xf numFmtId="0" fontId="3" fillId="3" borderId="10" xfId="0" applyFont="1" applyFill="1" applyBorder="1" applyAlignment="1"/>
    <xf numFmtId="10" fontId="3" fillId="5" borderId="10" xfId="0" applyNumberFormat="1" applyFont="1" applyFill="1" applyBorder="1" applyAlignment="1">
      <alignment horizontal="right"/>
    </xf>
    <xf numFmtId="0" fontId="3" fillId="5" borderId="10" xfId="0" applyFont="1" applyFill="1" applyBorder="1" applyAlignment="1">
      <alignment horizontal="center"/>
    </xf>
    <xf numFmtId="0" fontId="3" fillId="5" borderId="10" xfId="0" applyFont="1" applyFill="1" applyBorder="1" applyAlignment="1">
      <alignment horizontal="right" wrapText="1"/>
    </xf>
    <xf numFmtId="0" fontId="5" fillId="5" borderId="10" xfId="0" applyFont="1" applyFill="1" applyBorder="1" applyAlignment="1">
      <alignment vertical="top" wrapText="1"/>
    </xf>
    <xf numFmtId="0" fontId="3" fillId="5" borderId="10" xfId="0" applyFont="1" applyFill="1" applyBorder="1" applyAlignment="1">
      <alignment vertical="top"/>
    </xf>
    <xf numFmtId="0" fontId="5" fillId="5" borderId="10" xfId="0" applyFont="1" applyFill="1" applyBorder="1" applyAlignment="1">
      <alignment wrapText="1"/>
    </xf>
    <xf numFmtId="0" fontId="3" fillId="5" borderId="10" xfId="0" applyFont="1" applyFill="1" applyBorder="1" applyAlignment="1">
      <alignment wrapText="1"/>
    </xf>
    <xf numFmtId="0" fontId="3" fillId="5" borderId="10" xfId="0" applyFont="1" applyFill="1" applyBorder="1" applyAlignment="1"/>
    <xf numFmtId="0" fontId="3" fillId="5" borderId="10" xfId="0" applyFont="1" applyFill="1" applyBorder="1" applyAlignment="1">
      <alignment vertical="top" wrapText="1"/>
    </xf>
    <xf numFmtId="0" fontId="3" fillId="0" borderId="10" xfId="0" applyFont="1" applyBorder="1" applyAlignment="1">
      <alignment horizontal="right"/>
    </xf>
    <xf numFmtId="0" fontId="3" fillId="0" borderId="10" xfId="0" applyFont="1" applyBorder="1" applyAlignment="1"/>
    <xf numFmtId="10" fontId="3" fillId="4" borderId="10" xfId="0" applyNumberFormat="1" applyFont="1" applyFill="1" applyBorder="1" applyAlignment="1">
      <alignment horizontal="right"/>
    </xf>
    <xf numFmtId="0" fontId="3" fillId="4" borderId="10" xfId="0" applyFont="1" applyFill="1" applyBorder="1" applyAlignment="1">
      <alignment horizontal="right" wrapText="1"/>
    </xf>
    <xf numFmtId="0" fontId="3" fillId="4" borderId="11" xfId="0" applyFont="1" applyFill="1" applyBorder="1" applyAlignment="1">
      <alignment vertical="top" wrapText="1"/>
    </xf>
    <xf numFmtId="0" fontId="3" fillId="4" borderId="10" xfId="0" applyFont="1" applyFill="1" applyBorder="1" applyAlignment="1">
      <alignment vertical="top"/>
    </xf>
    <xf numFmtId="0" fontId="3" fillId="4" borderId="10" xfId="0" applyFont="1" applyFill="1" applyBorder="1" applyAlignment="1">
      <alignment vertical="top"/>
    </xf>
    <xf numFmtId="0" fontId="5" fillId="4" borderId="10" xfId="0" applyFont="1" applyFill="1" applyBorder="1" applyAlignment="1">
      <alignment wrapText="1"/>
    </xf>
    <xf numFmtId="0" fontId="3" fillId="4" borderId="10" xfId="0" applyFont="1" applyFill="1" applyBorder="1" applyAlignment="1">
      <alignment wrapText="1"/>
    </xf>
    <xf numFmtId="0" fontId="3" fillId="4" borderId="10" xfId="0" applyFont="1" applyFill="1" applyBorder="1" applyAlignment="1"/>
    <xf numFmtId="0" fontId="3" fillId="4" borderId="10" xfId="0" applyFont="1" applyFill="1" applyBorder="1" applyAlignment="1">
      <alignment vertical="top" wrapText="1"/>
    </xf>
    <xf numFmtId="0" fontId="5" fillId="4" borderId="11" xfId="0" applyFont="1" applyFill="1" applyBorder="1" applyAlignment="1">
      <alignment vertical="top" wrapText="1"/>
    </xf>
    <xf numFmtId="0" fontId="5" fillId="4" borderId="10" xfId="0" applyFont="1" applyFill="1" applyBorder="1" applyAlignment="1">
      <alignment vertical="top" wrapText="1"/>
    </xf>
    <xf numFmtId="0" fontId="5" fillId="4" borderId="10" xfId="0" applyFont="1" applyFill="1" applyBorder="1" applyAlignment="1">
      <alignment vertical="top" wrapText="1"/>
    </xf>
    <xf numFmtId="0" fontId="3" fillId="4" borderId="10" xfId="0" applyFont="1" applyFill="1" applyBorder="1" applyAlignment="1">
      <alignment wrapText="1"/>
    </xf>
    <xf numFmtId="0" fontId="3" fillId="4" borderId="10" xfId="0" applyFont="1" applyFill="1" applyBorder="1" applyAlignment="1">
      <alignment vertical="top" wrapText="1"/>
    </xf>
    <xf numFmtId="10" fontId="3" fillId="3" borderId="10" xfId="0" applyNumberFormat="1" applyFont="1" applyFill="1" applyBorder="1" applyAlignment="1">
      <alignment horizontal="right"/>
    </xf>
    <xf numFmtId="10" fontId="3" fillId="6" borderId="10" xfId="0" applyNumberFormat="1" applyFont="1" applyFill="1" applyBorder="1" applyAlignment="1">
      <alignment horizontal="right"/>
    </xf>
    <xf numFmtId="0" fontId="3" fillId="0" borderId="11" xfId="0" applyFont="1" applyBorder="1" applyAlignment="1">
      <alignment horizontal="right"/>
    </xf>
    <xf numFmtId="0" fontId="3" fillId="0" borderId="9" xfId="0" applyFont="1" applyBorder="1" applyAlignment="1"/>
    <xf numFmtId="0" fontId="3" fillId="0" borderId="9" xfId="0" applyFont="1" applyBorder="1" applyAlignment="1">
      <alignment horizontal="right"/>
    </xf>
    <xf numFmtId="10" fontId="3" fillId="0" borderId="0" xfId="0" applyNumberFormat="1" applyFont="1" applyAlignment="1"/>
    <xf numFmtId="10" fontId="3" fillId="0" borderId="8" xfId="0" applyNumberFormat="1" applyFont="1" applyBorder="1" applyAlignment="1"/>
    <xf numFmtId="0" fontId="3" fillId="0" borderId="8" xfId="0" applyFont="1" applyBorder="1" applyAlignment="1"/>
    <xf numFmtId="0" fontId="3" fillId="0" borderId="13" xfId="0" applyFont="1" applyBorder="1" applyAlignment="1"/>
    <xf numFmtId="10" fontId="3" fillId="4" borderId="9" xfId="0" applyNumberFormat="1" applyFont="1" applyFill="1" applyBorder="1" applyAlignment="1">
      <alignment horizontal="right"/>
    </xf>
    <xf numFmtId="0" fontId="3" fillId="4" borderId="9" xfId="0" applyFont="1" applyFill="1" applyBorder="1" applyAlignment="1">
      <alignment horizontal="right"/>
    </xf>
    <xf numFmtId="0" fontId="3" fillId="0" borderId="7" xfId="0" applyFont="1" applyBorder="1" applyAlignment="1">
      <alignment horizontal="left" vertical="top"/>
    </xf>
    <xf numFmtId="0" fontId="3" fillId="0" borderId="8" xfId="0" applyFont="1" applyBorder="1" applyAlignment="1">
      <alignment horizontal="left" vertical="top"/>
    </xf>
    <xf numFmtId="0" fontId="3" fillId="0" borderId="9" xfId="0" applyFont="1" applyBorder="1" applyAlignment="1">
      <alignment horizontal="left" vertical="top"/>
    </xf>
    <xf numFmtId="0" fontId="3" fillId="0" borderId="10" xfId="0" applyFont="1" applyBorder="1" applyAlignment="1">
      <alignment horizontal="left" vertical="top"/>
    </xf>
    <xf numFmtId="0" fontId="7" fillId="2" borderId="11"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3" fillId="5" borderId="11" xfId="0" applyFont="1" applyFill="1" applyBorder="1" applyAlignment="1">
      <alignment horizontal="right" wrapText="1"/>
    </xf>
    <xf numFmtId="0" fontId="3" fillId="5" borderId="9" xfId="0" applyFont="1" applyFill="1" applyBorder="1" applyAlignment="1">
      <alignment wrapText="1"/>
    </xf>
    <xf numFmtId="0" fontId="3" fillId="5" borderId="9" xfId="0" applyFont="1" applyFill="1" applyBorder="1" applyAlignment="1">
      <alignment wrapText="1"/>
    </xf>
    <xf numFmtId="9" fontId="3" fillId="5" borderId="9" xfId="0" applyNumberFormat="1" applyFont="1" applyFill="1" applyBorder="1" applyAlignment="1">
      <alignment horizontal="right" wrapText="1"/>
    </xf>
    <xf numFmtId="0" fontId="3" fillId="5" borderId="9" xfId="0" applyFont="1" applyFill="1" applyBorder="1" applyAlignment="1">
      <alignment horizontal="right" wrapText="1"/>
    </xf>
    <xf numFmtId="2" fontId="3" fillId="5" borderId="9" xfId="0" applyNumberFormat="1" applyFont="1" applyFill="1" applyBorder="1" applyAlignment="1">
      <alignment horizontal="right" wrapText="1"/>
    </xf>
    <xf numFmtId="0" fontId="3" fillId="4" borderId="11" xfId="0" applyFont="1" applyFill="1" applyBorder="1" applyAlignment="1">
      <alignment horizontal="right" wrapText="1"/>
    </xf>
    <xf numFmtId="0" fontId="3" fillId="4" borderId="9" xfId="0" applyFont="1" applyFill="1" applyBorder="1" applyAlignment="1">
      <alignment wrapText="1"/>
    </xf>
    <xf numFmtId="9" fontId="3" fillId="4" borderId="9" xfId="0" applyNumberFormat="1" applyFont="1" applyFill="1" applyBorder="1" applyAlignment="1">
      <alignment horizontal="right" wrapText="1"/>
    </xf>
    <xf numFmtId="0" fontId="3" fillId="4" borderId="9" xfId="0" applyFont="1" applyFill="1" applyBorder="1" applyAlignment="1">
      <alignment horizontal="right" wrapText="1"/>
    </xf>
    <xf numFmtId="2" fontId="3" fillId="4" borderId="9" xfId="0" applyNumberFormat="1" applyFont="1" applyFill="1" applyBorder="1" applyAlignment="1">
      <alignment horizontal="right" wrapText="1"/>
    </xf>
    <xf numFmtId="0" fontId="3" fillId="4" borderId="9" xfId="0" applyFont="1" applyFill="1" applyBorder="1" applyAlignment="1">
      <alignment vertical="top" wrapText="1"/>
    </xf>
    <xf numFmtId="0" fontId="3" fillId="4" borderId="9" xfId="0" applyFont="1" applyFill="1" applyBorder="1" applyAlignment="1">
      <alignment wrapText="1"/>
    </xf>
    <xf numFmtId="0" fontId="3" fillId="4" borderId="9" xfId="0" applyFont="1" applyFill="1" applyBorder="1" applyAlignment="1">
      <alignment vertical="top" wrapText="1"/>
    </xf>
    <xf numFmtId="0" fontId="5" fillId="3" borderId="0" xfId="0" applyFont="1" applyFill="1" applyAlignment="1">
      <alignment horizontal="left" wrapText="1"/>
    </xf>
    <xf numFmtId="0" fontId="3" fillId="5" borderId="0" xfId="0" applyFont="1" applyFill="1"/>
    <xf numFmtId="0" fontId="3" fillId="0" borderId="10" xfId="0" applyFont="1" applyBorder="1" applyAlignment="1"/>
    <xf numFmtId="0" fontId="3" fillId="5" borderId="10" xfId="0" applyFont="1" applyFill="1" applyBorder="1" applyAlignment="1"/>
    <xf numFmtId="0" fontId="7" fillId="0" borderId="0" xfId="0" applyFont="1" applyAlignment="1">
      <alignment horizontal="left" vertical="top" wrapText="1"/>
    </xf>
    <xf numFmtId="0" fontId="6" fillId="3" borderId="0" xfId="0" applyFont="1" applyFill="1" applyAlignment="1">
      <alignment horizontal="left" wrapText="1"/>
    </xf>
    <xf numFmtId="0" fontId="7" fillId="0" borderId="0" xfId="0" applyFont="1" applyAlignment="1">
      <alignment wrapText="1"/>
    </xf>
    <xf numFmtId="0" fontId="12" fillId="2" borderId="0" xfId="0" applyFont="1" applyFill="1" applyAlignment="1">
      <alignment horizontal="center"/>
    </xf>
    <xf numFmtId="0" fontId="12" fillId="2" borderId="0" xfId="0" applyFont="1" applyFill="1" applyAlignment="1">
      <alignment horizontal="left" vertical="top" wrapText="1"/>
    </xf>
    <xf numFmtId="0" fontId="13" fillId="2" borderId="0" xfId="0" applyFont="1" applyFill="1"/>
    <xf numFmtId="0" fontId="12" fillId="2" borderId="0" xfId="0" applyFont="1" applyFill="1" applyAlignment="1">
      <alignment horizontal="left" wrapText="1"/>
    </xf>
    <xf numFmtId="0" fontId="7" fillId="0" borderId="0" xfId="0" applyFont="1" applyAlignment="1">
      <alignment horizontal="center"/>
    </xf>
    <xf numFmtId="0" fontId="7" fillId="6" borderId="10" xfId="0" applyFont="1" applyFill="1" applyBorder="1" applyAlignment="1">
      <alignment horizontal="center"/>
    </xf>
    <xf numFmtId="0" fontId="7" fillId="0" borderId="0" xfId="0" applyFont="1" applyAlignment="1"/>
    <xf numFmtId="0" fontId="7" fillId="3" borderId="10" xfId="0" applyFont="1" applyFill="1" applyBorder="1" applyAlignment="1">
      <alignment horizontal="center" wrapText="1"/>
    </xf>
    <xf numFmtId="0" fontId="7" fillId="3" borderId="10" xfId="0" applyFont="1" applyFill="1" applyBorder="1" applyAlignment="1">
      <alignment wrapText="1"/>
    </xf>
    <xf numFmtId="0" fontId="7" fillId="6" borderId="10" xfId="0" applyFont="1" applyFill="1" applyBorder="1" applyAlignment="1">
      <alignment horizontal="right"/>
    </xf>
    <xf numFmtId="0" fontId="3" fillId="6" borderId="10" xfId="0" applyFont="1" applyFill="1" applyBorder="1" applyAlignment="1">
      <alignment horizontal="right"/>
    </xf>
    <xf numFmtId="0" fontId="14" fillId="6" borderId="10" xfId="0" applyFont="1" applyFill="1" applyBorder="1" applyAlignment="1">
      <alignment horizontal="right"/>
    </xf>
    <xf numFmtId="3" fontId="3" fillId="6" borderId="10" xfId="0" applyNumberFormat="1" applyFont="1" applyFill="1" applyBorder="1" applyAlignment="1">
      <alignment horizontal="right"/>
    </xf>
    <xf numFmtId="9" fontId="3" fillId="5" borderId="10" xfId="0" applyNumberFormat="1" applyFont="1" applyFill="1" applyBorder="1" applyAlignment="1">
      <alignment horizontal="right"/>
    </xf>
    <xf numFmtId="0" fontId="14" fillId="3" borderId="0" xfId="0" applyFont="1" applyFill="1" applyAlignment="1">
      <alignment horizontal="right"/>
    </xf>
    <xf numFmtId="0" fontId="6" fillId="3" borderId="12" xfId="0" applyFont="1" applyFill="1" applyBorder="1" applyAlignment="1">
      <alignment horizontal="left" wrapText="1"/>
    </xf>
    <xf numFmtId="0" fontId="6" fillId="3" borderId="13" xfId="0" applyFont="1" applyFill="1" applyBorder="1" applyAlignment="1">
      <alignment horizontal="left" wrapText="1"/>
    </xf>
    <xf numFmtId="0" fontId="7" fillId="3" borderId="10" xfId="0" applyFont="1" applyFill="1" applyBorder="1" applyAlignment="1">
      <alignment horizontal="right"/>
    </xf>
    <xf numFmtId="3" fontId="3" fillId="3" borderId="10" xfId="0" applyNumberFormat="1" applyFont="1" applyFill="1" applyBorder="1" applyAlignment="1">
      <alignment horizontal="right"/>
    </xf>
    <xf numFmtId="9" fontId="3" fillId="4" borderId="10" xfId="0" applyNumberFormat="1" applyFont="1" applyFill="1" applyBorder="1" applyAlignment="1">
      <alignment horizontal="right"/>
    </xf>
    <xf numFmtId="0" fontId="3" fillId="0" borderId="0" xfId="0" applyFont="1" applyAlignment="1">
      <alignment horizontal="right"/>
    </xf>
    <xf numFmtId="0" fontId="3" fillId="6" borderId="10" xfId="0" applyFont="1" applyFill="1" applyBorder="1" applyAlignment="1">
      <alignment horizontal="right"/>
    </xf>
    <xf numFmtId="0" fontId="7" fillId="0" borderId="0" xfId="0" applyFont="1" applyAlignment="1">
      <alignment horizontal="right"/>
    </xf>
    <xf numFmtId="0" fontId="3" fillId="3" borderId="10" xfId="0" applyFont="1" applyFill="1" applyBorder="1" applyAlignment="1">
      <alignment horizontal="right"/>
    </xf>
    <xf numFmtId="0" fontId="7" fillId="2" borderId="10" xfId="0" applyFont="1" applyFill="1" applyBorder="1" applyAlignment="1">
      <alignment horizontal="center" wrapText="1"/>
    </xf>
    <xf numFmtId="0" fontId="7" fillId="2" borderId="10" xfId="0" applyFont="1" applyFill="1" applyBorder="1" applyAlignment="1">
      <alignment wrapText="1"/>
    </xf>
    <xf numFmtId="0" fontId="7" fillId="0" borderId="10" xfId="0" applyFont="1" applyBorder="1" applyAlignment="1">
      <alignment horizontal="right"/>
    </xf>
    <xf numFmtId="0" fontId="14" fillId="3" borderId="10" xfId="0" applyFont="1" applyFill="1" applyBorder="1" applyAlignment="1">
      <alignment horizontal="right"/>
    </xf>
    <xf numFmtId="3" fontId="3" fillId="0" borderId="10" xfId="0" applyNumberFormat="1" applyFont="1" applyBorder="1" applyAlignment="1">
      <alignment horizontal="right"/>
    </xf>
    <xf numFmtId="0" fontId="14" fillId="3" borderId="10" xfId="0" applyFont="1" applyFill="1" applyBorder="1" applyAlignment="1">
      <alignment horizontal="right"/>
    </xf>
    <xf numFmtId="0" fontId="3" fillId="0" borderId="10" xfId="0" applyFont="1" applyBorder="1" applyAlignment="1">
      <alignment horizontal="right"/>
    </xf>
    <xf numFmtId="0" fontId="3" fillId="0" borderId="0" xfId="0" applyFont="1" applyAlignment="1">
      <alignment horizontal="right"/>
    </xf>
    <xf numFmtId="0" fontId="3" fillId="0" borderId="0" xfId="0" applyFont="1" applyAlignment="1"/>
    <xf numFmtId="0" fontId="7" fillId="0" borderId="0" xfId="0" applyFont="1" applyAlignment="1">
      <alignment horizontal="center" wrapText="1"/>
    </xf>
    <xf numFmtId="0" fontId="3" fillId="0" borderId="0" xfId="0" applyFont="1" applyAlignment="1">
      <alignment wrapText="1"/>
    </xf>
    <xf numFmtId="9" fontId="7" fillId="5" borderId="10" xfId="0" applyNumberFormat="1" applyFont="1" applyFill="1" applyBorder="1" applyAlignment="1">
      <alignment horizontal="right"/>
    </xf>
    <xf numFmtId="3" fontId="3" fillId="0" borderId="0" xfId="0" applyNumberFormat="1" applyFont="1" applyAlignment="1">
      <alignment horizontal="right"/>
    </xf>
    <xf numFmtId="9" fontId="3" fillId="0" borderId="0" xfId="0" applyNumberFormat="1" applyFont="1" applyAlignment="1">
      <alignment horizontal="right"/>
    </xf>
    <xf numFmtId="0" fontId="3" fillId="0" borderId="0" xfId="0" applyFont="1" applyAlignment="1">
      <alignment horizontal="right"/>
    </xf>
    <xf numFmtId="0" fontId="10" fillId="2" borderId="0" xfId="0" applyFont="1" applyFill="1" applyAlignment="1">
      <alignment horizontal="center"/>
    </xf>
    <xf numFmtId="0" fontId="15" fillId="2" borderId="0" xfId="0" applyFont="1" applyFill="1" applyAlignment="1">
      <alignment horizontal="center"/>
    </xf>
    <xf numFmtId="0" fontId="7" fillId="5" borderId="0" xfId="0" applyFont="1" applyFill="1" applyAlignment="1">
      <alignment horizontal="left" vertical="top" wrapText="1"/>
    </xf>
    <xf numFmtId="0" fontId="5" fillId="5" borderId="0" xfId="0" applyFont="1" applyFill="1" applyAlignment="1">
      <alignment horizontal="left" wrapText="1"/>
    </xf>
    <xf numFmtId="0" fontId="3" fillId="3" borderId="0" xfId="0" applyFont="1" applyFill="1" applyAlignment="1">
      <alignment horizontal="left" wrapText="1"/>
    </xf>
    <xf numFmtId="0" fontId="7" fillId="2" borderId="0" xfId="0" applyFont="1" applyFill="1" applyAlignment="1">
      <alignment horizontal="center"/>
    </xf>
    <xf numFmtId="0" fontId="3" fillId="5" borderId="0" xfId="0" applyFont="1" applyFill="1" applyAlignment="1">
      <alignment horizontal="center"/>
    </xf>
    <xf numFmtId="0" fontId="3" fillId="4" borderId="0" xfId="0" applyFont="1" applyFill="1" applyAlignment="1">
      <alignment horizontal="center"/>
    </xf>
    <xf numFmtId="0" fontId="6" fillId="5" borderId="0" xfId="0" applyFont="1" applyFill="1" applyAlignment="1">
      <alignment horizontal="left" wrapText="1"/>
    </xf>
    <xf numFmtId="0" fontId="3" fillId="5" borderId="0" xfId="0" applyFont="1" applyFill="1" applyAlignment="1">
      <alignment horizontal="center" wrapText="1"/>
    </xf>
    <xf numFmtId="0" fontId="3" fillId="4" borderId="0" xfId="0" applyFont="1" applyFill="1" applyAlignment="1">
      <alignment horizontal="center" wrapText="1"/>
    </xf>
    <xf numFmtId="0" fontId="3" fillId="3" borderId="0" xfId="0" applyFont="1" applyFill="1" applyAlignment="1">
      <alignment horizontal="center" wrapText="1"/>
    </xf>
    <xf numFmtId="0" fontId="16" fillId="0" borderId="0" xfId="0" applyFont="1"/>
    <xf numFmtId="0" fontId="18" fillId="0" borderId="0" xfId="0" applyFont="1" applyAlignment="1">
      <alignment horizontal="center" vertical="center"/>
    </xf>
    <xf numFmtId="0" fontId="17" fillId="2" borderId="10" xfId="0" applyFont="1" applyFill="1" applyBorder="1" applyAlignment="1">
      <alignment horizontal="center" wrapText="1"/>
    </xf>
    <xf numFmtId="0" fontId="17" fillId="9" borderId="10" xfId="0" applyFont="1" applyFill="1" applyBorder="1" applyAlignment="1">
      <alignment horizontal="center"/>
    </xf>
    <xf numFmtId="3" fontId="17" fillId="9" borderId="10" xfId="0" applyNumberFormat="1" applyFont="1" applyFill="1" applyBorder="1" applyAlignment="1">
      <alignment horizontal="center"/>
    </xf>
    <xf numFmtId="1" fontId="17" fillId="9" borderId="10" xfId="0" applyNumberFormat="1" applyFont="1" applyFill="1" applyBorder="1" applyAlignment="1">
      <alignment horizontal="center"/>
    </xf>
    <xf numFmtId="0" fontId="19" fillId="9" borderId="10" xfId="0" applyFont="1" applyFill="1" applyBorder="1" applyAlignment="1">
      <alignment horizontal="center"/>
    </xf>
    <xf numFmtId="3" fontId="19" fillId="9" borderId="10" xfId="0" applyNumberFormat="1" applyFont="1" applyFill="1" applyBorder="1" applyAlignment="1">
      <alignment horizontal="center"/>
    </xf>
    <xf numFmtId="9" fontId="19" fillId="10" borderId="10" xfId="0" applyNumberFormat="1" applyFont="1" applyFill="1" applyBorder="1" applyAlignment="1">
      <alignment horizontal="center"/>
    </xf>
    <xf numFmtId="9" fontId="19" fillId="8" borderId="10" xfId="0" applyNumberFormat="1" applyFont="1" applyFill="1" applyBorder="1" applyAlignment="1">
      <alignment horizontal="center"/>
    </xf>
    <xf numFmtId="9" fontId="19" fillId="11" borderId="10" xfId="0" applyNumberFormat="1" applyFont="1" applyFill="1" applyBorder="1" applyAlignment="1">
      <alignment horizontal="center"/>
    </xf>
    <xf numFmtId="9" fontId="19" fillId="12" borderId="10" xfId="0" applyNumberFormat="1" applyFont="1" applyFill="1" applyBorder="1" applyAlignment="1">
      <alignment horizontal="center"/>
    </xf>
    <xf numFmtId="1" fontId="16" fillId="8" borderId="10" xfId="0" applyNumberFormat="1" applyFont="1" applyFill="1" applyBorder="1" applyAlignment="1">
      <alignment horizontal="center"/>
    </xf>
    <xf numFmtId="9" fontId="16" fillId="8" borderId="10" xfId="0" applyNumberFormat="1" applyFont="1" applyFill="1" applyBorder="1" applyAlignment="1">
      <alignment horizontal="center"/>
    </xf>
    <xf numFmtId="9" fontId="19" fillId="13" borderId="10" xfId="0" applyNumberFormat="1" applyFont="1" applyFill="1" applyBorder="1" applyAlignment="1">
      <alignment horizontal="center"/>
    </xf>
    <xf numFmtId="1" fontId="16" fillId="4" borderId="10" xfId="0" applyNumberFormat="1" applyFont="1" applyFill="1" applyBorder="1" applyAlignment="1">
      <alignment horizontal="center"/>
    </xf>
    <xf numFmtId="9" fontId="19" fillId="14" borderId="10" xfId="0" applyNumberFormat="1" applyFont="1" applyFill="1" applyBorder="1" applyAlignment="1">
      <alignment horizontal="center"/>
    </xf>
    <xf numFmtId="9" fontId="19" fillId="15" borderId="10" xfId="0" applyNumberFormat="1" applyFont="1" applyFill="1" applyBorder="1" applyAlignment="1">
      <alignment horizontal="center"/>
    </xf>
    <xf numFmtId="9" fontId="16" fillId="4" borderId="10" xfId="0" applyNumberFormat="1" applyFont="1" applyFill="1" applyBorder="1" applyAlignment="1">
      <alignment horizontal="center"/>
    </xf>
    <xf numFmtId="9" fontId="19" fillId="16" borderId="10" xfId="0" applyNumberFormat="1" applyFont="1" applyFill="1" applyBorder="1" applyAlignment="1">
      <alignment horizontal="center"/>
    </xf>
    <xf numFmtId="9" fontId="19" fillId="17" borderId="10" xfId="0" applyNumberFormat="1" applyFont="1" applyFill="1" applyBorder="1" applyAlignment="1">
      <alignment horizontal="center"/>
    </xf>
    <xf numFmtId="9" fontId="19" fillId="18" borderId="10" xfId="0" applyNumberFormat="1" applyFont="1" applyFill="1" applyBorder="1" applyAlignment="1">
      <alignment horizontal="center"/>
    </xf>
    <xf numFmtId="9" fontId="19" fillId="19" borderId="10" xfId="0" applyNumberFormat="1" applyFont="1" applyFill="1" applyBorder="1" applyAlignment="1">
      <alignment horizontal="center"/>
    </xf>
    <xf numFmtId="9" fontId="19" fillId="20" borderId="10" xfId="0" applyNumberFormat="1" applyFont="1" applyFill="1" applyBorder="1" applyAlignment="1">
      <alignment horizontal="center"/>
    </xf>
    <xf numFmtId="0" fontId="19" fillId="9" borderId="10" xfId="0" applyFont="1" applyFill="1" applyBorder="1" applyAlignment="1">
      <alignment horizontal="center"/>
    </xf>
    <xf numFmtId="9" fontId="19" fillId="21" borderId="10" xfId="0" applyNumberFormat="1" applyFont="1" applyFill="1" applyBorder="1" applyAlignment="1">
      <alignment horizontal="center"/>
    </xf>
    <xf numFmtId="9" fontId="19" fillId="22" borderId="10" xfId="0" applyNumberFormat="1" applyFont="1" applyFill="1" applyBorder="1" applyAlignment="1">
      <alignment horizontal="center"/>
    </xf>
    <xf numFmtId="9" fontId="19" fillId="23" borderId="10" xfId="0" applyNumberFormat="1" applyFont="1" applyFill="1" applyBorder="1" applyAlignment="1">
      <alignment horizontal="center"/>
    </xf>
    <xf numFmtId="9" fontId="19" fillId="24" borderId="10" xfId="0" applyNumberFormat="1" applyFont="1" applyFill="1" applyBorder="1" applyAlignment="1">
      <alignment horizontal="center"/>
    </xf>
    <xf numFmtId="164" fontId="17" fillId="9" borderId="10" xfId="0" applyNumberFormat="1" applyFont="1" applyFill="1" applyBorder="1" applyAlignment="1">
      <alignment horizontal="center"/>
    </xf>
    <xf numFmtId="3" fontId="20" fillId="9" borderId="10" xfId="0" applyNumberFormat="1" applyFont="1" applyFill="1" applyBorder="1" applyAlignment="1">
      <alignment horizontal="center"/>
    </xf>
    <xf numFmtId="9" fontId="20" fillId="9" borderId="10" xfId="0" applyNumberFormat="1" applyFont="1" applyFill="1" applyBorder="1" applyAlignment="1">
      <alignment horizontal="center"/>
    </xf>
    <xf numFmtId="3" fontId="20" fillId="4" borderId="10" xfId="0" applyNumberFormat="1" applyFont="1" applyFill="1" applyBorder="1" applyAlignment="1">
      <alignment horizontal="center"/>
    </xf>
    <xf numFmtId="0" fontId="17" fillId="2" borderId="10" xfId="0" applyFont="1" applyFill="1" applyBorder="1" applyAlignment="1">
      <alignment horizontal="center" wrapText="1"/>
    </xf>
    <xf numFmtId="3" fontId="19" fillId="9" borderId="10" xfId="0" applyNumberFormat="1" applyFont="1" applyFill="1" applyBorder="1" applyAlignment="1">
      <alignment horizontal="center"/>
    </xf>
    <xf numFmtId="0" fontId="17" fillId="9" borderId="10" xfId="0" applyFont="1" applyFill="1" applyBorder="1" applyAlignment="1">
      <alignment horizontal="center"/>
    </xf>
    <xf numFmtId="9" fontId="16" fillId="4" borderId="10" xfId="1" applyFont="1" applyFill="1" applyBorder="1" applyAlignment="1">
      <alignment horizontal="center"/>
    </xf>
    <xf numFmtId="0" fontId="3" fillId="4" borderId="10" xfId="0" applyFont="1" applyFill="1" applyBorder="1" applyAlignment="1">
      <alignment horizontal="center" vertical="center" wrapText="1"/>
    </xf>
    <xf numFmtId="0" fontId="3" fillId="0" borderId="1" xfId="0" applyFont="1" applyBorder="1" applyAlignment="1">
      <alignment vertical="top" wrapText="1"/>
    </xf>
    <xf numFmtId="0" fontId="2" fillId="0" borderId="2" xfId="0" applyFont="1" applyBorder="1"/>
    <xf numFmtId="0" fontId="2" fillId="0" borderId="3" xfId="0" applyFont="1" applyBorder="1"/>
    <xf numFmtId="0" fontId="6" fillId="3" borderId="1" xfId="0" applyFont="1" applyFill="1" applyBorder="1" applyAlignment="1">
      <alignment horizontal="left" wrapText="1"/>
    </xf>
    <xf numFmtId="0" fontId="1" fillId="2" borderId="1" xfId="0" applyFont="1" applyFill="1" applyBorder="1" applyAlignment="1">
      <alignment horizontal="right"/>
    </xf>
    <xf numFmtId="0" fontId="3" fillId="0" borderId="4" xfId="0" applyFont="1" applyBorder="1" applyAlignment="1">
      <alignment vertical="top" wrapText="1"/>
    </xf>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4" fillId="0" borderId="1" xfId="0" applyFont="1" applyBorder="1" applyAlignment="1">
      <alignment vertical="top" wrapText="1"/>
    </xf>
    <xf numFmtId="0" fontId="5" fillId="3" borderId="8" xfId="0" applyFont="1" applyFill="1" applyBorder="1" applyAlignment="1">
      <alignment horizontal="left" wrapText="1"/>
    </xf>
    <xf numFmtId="0" fontId="5" fillId="4" borderId="1" xfId="0" applyFont="1" applyFill="1" applyBorder="1" applyAlignment="1">
      <alignment vertical="top" wrapText="1"/>
    </xf>
    <xf numFmtId="0" fontId="7" fillId="0" borderId="7" xfId="0" applyFont="1" applyBorder="1" applyAlignment="1">
      <alignment horizontal="left" vertical="top" wrapText="1"/>
    </xf>
    <xf numFmtId="0" fontId="7" fillId="2" borderId="1" xfId="0" applyFont="1" applyFill="1" applyBorder="1" applyAlignment="1">
      <alignment horizontal="center" vertical="center" wrapText="1"/>
    </xf>
    <xf numFmtId="0" fontId="5" fillId="5" borderId="1" xfId="0" applyFont="1" applyFill="1" applyBorder="1" applyAlignment="1">
      <alignment vertical="top" wrapText="1"/>
    </xf>
    <xf numFmtId="0" fontId="3" fillId="4" borderId="1" xfId="0" applyFont="1" applyFill="1" applyBorder="1" applyAlignment="1">
      <alignment vertical="top" wrapText="1"/>
    </xf>
    <xf numFmtId="0" fontId="3" fillId="0" borderId="12" xfId="0" applyFont="1" applyBorder="1" applyAlignment="1">
      <alignment vertical="top" wrapText="1"/>
    </xf>
    <xf numFmtId="0" fontId="0" fillId="0" borderId="0" xfId="0" applyFont="1" applyAlignment="1"/>
    <xf numFmtId="0" fontId="2" fillId="0" borderId="13" xfId="0" applyFont="1" applyBorder="1"/>
    <xf numFmtId="0" fontId="7" fillId="0" borderId="12" xfId="0" applyFont="1" applyBorder="1" applyAlignment="1">
      <alignment vertical="top" wrapText="1"/>
    </xf>
    <xf numFmtId="0" fontId="7" fillId="0" borderId="12" xfId="0" applyFont="1" applyBorder="1" applyAlignment="1">
      <alignment horizontal="left" vertical="top" wrapText="1"/>
    </xf>
    <xf numFmtId="0" fontId="7" fillId="0" borderId="1" xfId="0" applyFont="1" applyBorder="1" applyAlignment="1">
      <alignment vertical="top" wrapText="1"/>
    </xf>
    <xf numFmtId="0" fontId="7" fillId="0" borderId="4" xfId="0" applyFont="1" applyBorder="1" applyAlignment="1">
      <alignment vertical="top" wrapText="1"/>
    </xf>
    <xf numFmtId="0" fontId="9" fillId="2" borderId="4" xfId="0" applyFont="1" applyFill="1" applyBorder="1" applyAlignment="1">
      <alignment horizontal="center"/>
    </xf>
    <xf numFmtId="0" fontId="3" fillId="0" borderId="12" xfId="0" applyFont="1" applyBorder="1" applyAlignment="1">
      <alignment horizontal="left" vertical="top"/>
    </xf>
    <xf numFmtId="0" fontId="7" fillId="0" borderId="4" xfId="0" applyFont="1" applyBorder="1" applyAlignment="1">
      <alignment horizontal="left" vertical="top" wrapText="1"/>
    </xf>
    <xf numFmtId="0" fontId="11" fillId="0" borderId="4" xfId="0" applyFont="1" applyBorder="1" applyAlignment="1">
      <alignment horizontal="left" vertical="top" wrapText="1"/>
    </xf>
    <xf numFmtId="0" fontId="3" fillId="3" borderId="1" xfId="0" applyFont="1" applyFill="1" applyBorder="1" applyAlignment="1">
      <alignment horizontal="left" wrapText="1"/>
    </xf>
    <xf numFmtId="0" fontId="7" fillId="2" borderId="1" xfId="0" applyFont="1" applyFill="1" applyBorder="1" applyAlignment="1">
      <alignment horizontal="center"/>
    </xf>
    <xf numFmtId="0" fontId="5" fillId="3" borderId="0" xfId="0" applyFont="1" applyFill="1" applyAlignment="1">
      <alignment horizontal="left" wrapText="1"/>
    </xf>
    <xf numFmtId="0" fontId="5" fillId="3" borderId="1" xfId="0" applyFont="1" applyFill="1" applyBorder="1" applyAlignment="1">
      <alignment horizontal="left" wrapText="1"/>
    </xf>
    <xf numFmtId="0" fontId="3" fillId="3" borderId="12" xfId="0" applyFont="1" applyFill="1" applyBorder="1" applyAlignment="1">
      <alignment horizontal="left" wrapText="1"/>
    </xf>
    <xf numFmtId="0" fontId="10" fillId="2" borderId="1" xfId="0" applyFont="1" applyFill="1" applyBorder="1" applyAlignment="1">
      <alignment horizontal="center"/>
    </xf>
    <xf numFmtId="0" fontId="7" fillId="0" borderId="1" xfId="0" applyFont="1" applyBorder="1" applyAlignment="1">
      <alignment horizontal="left" vertical="top" wrapText="1"/>
    </xf>
    <xf numFmtId="0" fontId="6" fillId="3" borderId="14" xfId="0" applyFont="1" applyFill="1" applyBorder="1" applyAlignment="1">
      <alignment horizontal="left" wrapText="1"/>
    </xf>
    <xf numFmtId="0" fontId="2" fillId="0" borderId="15" xfId="0" applyFont="1" applyBorder="1"/>
    <xf numFmtId="0" fontId="2" fillId="0" borderId="11" xfId="0" applyFont="1" applyBorder="1"/>
    <xf numFmtId="0" fontId="3" fillId="4" borderId="4" xfId="0" applyFont="1" applyFill="1" applyBorder="1" applyAlignment="1">
      <alignment wrapText="1"/>
    </xf>
    <xf numFmtId="0" fontId="2" fillId="0" borderId="12" xfId="0" applyFont="1" applyBorder="1"/>
    <xf numFmtId="0" fontId="7" fillId="4" borderId="4" xfId="0" applyFont="1" applyFill="1" applyBorder="1" applyAlignment="1">
      <alignment horizontal="left" vertical="top" wrapText="1"/>
    </xf>
    <xf numFmtId="0" fontId="6" fillId="3" borderId="4" xfId="0" applyFont="1" applyFill="1" applyBorder="1" applyAlignment="1">
      <alignment horizontal="left" wrapText="1"/>
    </xf>
    <xf numFmtId="0" fontId="3" fillId="4" borderId="14" xfId="0" applyFont="1" applyFill="1" applyBorder="1" applyAlignment="1">
      <alignment wrapText="1"/>
    </xf>
    <xf numFmtId="0" fontId="3" fillId="4" borderId="14" xfId="0" applyFont="1" applyFill="1" applyBorder="1" applyAlignment="1">
      <alignment horizontal="center" wrapText="1"/>
    </xf>
    <xf numFmtId="0" fontId="7" fillId="0" borderId="12" xfId="0" applyFont="1" applyBorder="1" applyAlignment="1">
      <alignment wrapText="1"/>
    </xf>
    <xf numFmtId="0" fontId="7" fillId="0" borderId="7" xfId="0" applyFont="1" applyBorder="1" applyAlignment="1">
      <alignment wrapText="1"/>
    </xf>
    <xf numFmtId="0" fontId="7" fillId="5" borderId="0" xfId="0" applyFont="1" applyFill="1" applyAlignment="1">
      <alignment wrapText="1"/>
    </xf>
    <xf numFmtId="0" fontId="2" fillId="7" borderId="2" xfId="0" applyFont="1" applyFill="1" applyBorder="1"/>
    <xf numFmtId="0" fontId="2" fillId="7" borderId="3" xfId="0" applyFont="1" applyFill="1" applyBorder="1"/>
    <xf numFmtId="0" fontId="7" fillId="3" borderId="1" xfId="0" applyFont="1" applyFill="1" applyBorder="1" applyAlignment="1">
      <alignment horizontal="center"/>
    </xf>
    <xf numFmtId="0" fontId="2" fillId="3" borderId="2" xfId="0" applyFont="1" applyFill="1" applyBorder="1"/>
    <xf numFmtId="0" fontId="2" fillId="3" borderId="3" xfId="0" applyFont="1" applyFill="1" applyBorder="1"/>
    <xf numFmtId="0" fontId="7" fillId="0" borderId="4" xfId="0" applyFont="1" applyBorder="1" applyAlignment="1">
      <alignment horizontal="center"/>
    </xf>
    <xf numFmtId="0" fontId="7" fillId="0" borderId="4" xfId="0" applyFont="1" applyBorder="1" applyAlignment="1">
      <alignment wrapText="1"/>
    </xf>
    <xf numFmtId="0" fontId="7" fillId="6" borderId="1" xfId="0" applyFont="1" applyFill="1" applyBorder="1" applyAlignment="1">
      <alignment horizontal="center"/>
    </xf>
    <xf numFmtId="0" fontId="2" fillId="6" borderId="2" xfId="0" applyFont="1" applyFill="1" applyBorder="1"/>
    <xf numFmtId="0" fontId="2" fillId="6" borderId="3" xfId="0" applyFont="1" applyFill="1" applyBorder="1"/>
    <xf numFmtId="0" fontId="7" fillId="0" borderId="1" xfId="0" applyFont="1" applyBorder="1" applyAlignment="1">
      <alignment wrapText="1"/>
    </xf>
    <xf numFmtId="0" fontId="7" fillId="0" borderId="4" xfId="0" applyFont="1" applyBorder="1"/>
    <xf numFmtId="0" fontId="3" fillId="0" borderId="1" xfId="0" applyFont="1" applyBorder="1" applyAlignment="1">
      <alignment wrapText="1"/>
    </xf>
    <xf numFmtId="0" fontId="7" fillId="5" borderId="0" xfId="0" applyFont="1" applyFill="1" applyAlignment="1">
      <alignment horizontal="left"/>
    </xf>
    <xf numFmtId="0" fontId="7" fillId="2" borderId="4" xfId="0" applyFont="1" applyFill="1" applyBorder="1" applyAlignment="1">
      <alignment horizontal="center" vertical="center" wrapText="1"/>
    </xf>
    <xf numFmtId="0" fontId="3" fillId="4" borderId="4" xfId="0" applyFont="1" applyFill="1" applyBorder="1" applyAlignment="1">
      <alignment horizontal="left" vertical="top" wrapText="1"/>
    </xf>
    <xf numFmtId="0" fontId="18" fillId="2" borderId="14" xfId="0" applyFont="1" applyFill="1" applyBorder="1" applyAlignment="1">
      <alignment horizontal="center" wrapText="1"/>
    </xf>
    <xf numFmtId="0" fontId="6" fillId="2" borderId="14" xfId="0" applyFont="1" applyFill="1" applyBorder="1" applyAlignment="1">
      <alignment horizontal="center" wrapText="1"/>
    </xf>
    <xf numFmtId="0" fontId="16" fillId="0" borderId="4" xfId="0" applyFont="1" applyBorder="1"/>
    <xf numFmtId="0" fontId="17" fillId="2" borderId="1" xfId="0" applyFont="1" applyFill="1" applyBorder="1" applyAlignment="1">
      <alignment horizontal="center"/>
    </xf>
    <xf numFmtId="0" fontId="18" fillId="0" borderId="0" xfId="0" applyFont="1" applyAlignment="1">
      <alignment horizontal="center" vertical="center"/>
    </xf>
    <xf numFmtId="0" fontId="7" fillId="8" borderId="0" xfId="0" applyFont="1" applyFill="1" applyAlignment="1">
      <alignment horizontal="left"/>
    </xf>
  </cellXfs>
  <cellStyles count="2">
    <cellStyle name="Normal" xfId="0" builtinId="0"/>
    <cellStyle name="Percent" xfId="1" builtinId="5"/>
  </cellStyles>
  <dxfs count="4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2">
    <tableStyle name="Tab 8 - Segment Analysis-style" pivot="0" count="3" xr9:uid="{00000000-0011-0000-FFFF-FFFF00000000}">
      <tableStyleElement type="headerRow" dxfId="47"/>
      <tableStyleElement type="firstRowStripe" dxfId="46"/>
      <tableStyleElement type="secondRowStripe" dxfId="45"/>
    </tableStyle>
    <tableStyle name="Tab 8 - Segment Analysis-style 2" pivot="0" count="3" xr9:uid="{00000000-0011-0000-FFFF-FFFF01000000}">
      <tableStyleElement type="headerRow" dxfId="44"/>
      <tableStyleElement type="firstRowStripe" dxfId="43"/>
      <tableStyleElement type="secondRowStripe" dxfId="42"/>
    </tableStyle>
    <tableStyle name="Tab 8 - Segment Analysis-style 3" pivot="0" count="3" xr9:uid="{00000000-0011-0000-FFFF-FFFF02000000}">
      <tableStyleElement type="headerRow" dxfId="41"/>
      <tableStyleElement type="firstRowStripe" dxfId="40"/>
      <tableStyleElement type="secondRowStripe" dxfId="39"/>
    </tableStyle>
    <tableStyle name="Tab 8 - Segment Analysis-style 4" pivot="0" count="3" xr9:uid="{00000000-0011-0000-FFFF-FFFF03000000}">
      <tableStyleElement type="headerRow" dxfId="38"/>
      <tableStyleElement type="firstRowStripe" dxfId="37"/>
      <tableStyleElement type="secondRowStripe" dxfId="36"/>
    </tableStyle>
    <tableStyle name="Tab 8 - Segment Analysis-style 5" pivot="0" count="3" xr9:uid="{00000000-0011-0000-FFFF-FFFF04000000}">
      <tableStyleElement type="headerRow" dxfId="35"/>
      <tableStyleElement type="firstRowStripe" dxfId="34"/>
      <tableStyleElement type="secondRowStripe" dxfId="33"/>
    </tableStyle>
    <tableStyle name="Tab 8 - Segment Analysis-style 6" pivot="0" count="3" xr9:uid="{00000000-0011-0000-FFFF-FFFF05000000}">
      <tableStyleElement type="headerRow" dxfId="32"/>
      <tableStyleElement type="firstRowStripe" dxfId="31"/>
      <tableStyleElement type="secondRowStripe" dxfId="30"/>
    </tableStyle>
    <tableStyle name="Tab 8 - Segment Analysis-style 7" pivot="0" count="3" xr9:uid="{00000000-0011-0000-FFFF-FFFF06000000}">
      <tableStyleElement type="headerRow" dxfId="29"/>
      <tableStyleElement type="firstRowStripe" dxfId="28"/>
      <tableStyleElement type="secondRowStripe" dxfId="27"/>
    </tableStyle>
    <tableStyle name="Tab 8 - Segment Analysis-style 8" pivot="0" count="3" xr9:uid="{00000000-0011-0000-FFFF-FFFF07000000}">
      <tableStyleElement type="headerRow" dxfId="26"/>
      <tableStyleElement type="firstRowStripe" dxfId="25"/>
      <tableStyleElement type="secondRowStripe" dxfId="24"/>
    </tableStyle>
    <tableStyle name="Tab 8 - Segment Analysis-style 9" pivot="0" count="3" xr9:uid="{00000000-0011-0000-FFFF-FFFF08000000}">
      <tableStyleElement type="headerRow" dxfId="23"/>
      <tableStyleElement type="firstRowStripe" dxfId="22"/>
      <tableStyleElement type="secondRowStripe" dxfId="21"/>
    </tableStyle>
    <tableStyle name="Tab 8 - Segment Analysis-style 10" pivot="0" count="3" xr9:uid="{00000000-0011-0000-FFFF-FFFF09000000}">
      <tableStyleElement type="headerRow" dxfId="20"/>
      <tableStyleElement type="firstRowStripe" dxfId="19"/>
      <tableStyleElement type="secondRowStripe" dxfId="18"/>
    </tableStyle>
    <tableStyle name="Tab 8 - Segment Analysis-style 11" pivot="0" count="3" xr9:uid="{00000000-0011-0000-FFFF-FFFF0A000000}">
      <tableStyleElement type="headerRow" dxfId="17"/>
      <tableStyleElement type="firstRowStripe" dxfId="16"/>
      <tableStyleElement type="secondRowStripe" dxfId="15"/>
    </tableStyle>
    <tableStyle name="Tab 8 - Segment Analysis-style 12" pivot="0" count="3" xr9:uid="{00000000-0011-0000-FFFF-FFFF0B000000}">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'Tab 4 - Habit Moment and Metric'!$F$17</c:f>
              <c:strCache>
                <c:ptCount val="1"/>
                <c:pt idx="0">
                  <c:v>% Overlap</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'Tab 4 - Habit Moment and Metric'!$A$17:$A$24</c15:sqref>
                  </c15:fullRef>
                </c:ext>
              </c:extLst>
              <c:f>'Tab 4 - Habit Moment and Metric'!$A$18:$A$24</c:f>
              <c:strCache>
                <c:ptCount val="7"/>
                <c:pt idx="0">
                  <c:v>100</c:v>
                </c:pt>
                <c:pt idx="1">
                  <c:v>500</c:v>
                </c:pt>
                <c:pt idx="2">
                  <c:v>1000</c:v>
                </c:pt>
                <c:pt idx="3">
                  <c:v>2000</c:v>
                </c:pt>
                <c:pt idx="4">
                  <c:v>5000</c:v>
                </c:pt>
                <c:pt idx="5">
                  <c:v>10000</c:v>
                </c:pt>
                <c:pt idx="6">
                  <c:v>20000</c:v>
                </c:pt>
              </c:strCache>
            </c:strRef>
          </c:cat>
          <c:val>
            <c:numRef>
              <c:extLst>
                <c:ext xmlns:c15="http://schemas.microsoft.com/office/drawing/2012/chart" uri="{02D57815-91ED-43cb-92C2-25804820EDAC}">
                  <c15:fullRef>
                    <c15:sqref>'Tab 4 - Habit Moment and Metric'!$F$18:$F$24</c15:sqref>
                  </c15:fullRef>
                </c:ext>
              </c:extLst>
              <c:f>'Tab 4 - Habit Moment and Metric'!$F$19:$F$24</c:f>
              <c:numCache>
                <c:formatCode>0%</c:formatCode>
                <c:ptCount val="6"/>
                <c:pt idx="0">
                  <c:v>0.49823321554770317</c:v>
                </c:pt>
                <c:pt idx="1">
                  <c:v>0.47609942638623326</c:v>
                </c:pt>
                <c:pt idx="2">
                  <c:v>0.5508684863523573</c:v>
                </c:pt>
                <c:pt idx="3">
                  <c:v>0.56000000000000005</c:v>
                </c:pt>
                <c:pt idx="4">
                  <c:v>0.5714285714285714</c:v>
                </c:pt>
                <c:pt idx="5">
                  <c:v>0.5757575757575758</c:v>
                </c:pt>
              </c:numCache>
            </c:numRef>
          </c:val>
          <c:smooth val="0"/>
          <c:extLst>
            <c:ext xmlns:c16="http://schemas.microsoft.com/office/drawing/2014/chart" uri="{C3380CC4-5D6E-409C-BE32-E72D297353CC}">
              <c16:uniqueId val="{00000001-C492-4234-94DF-43B40C241F5D}"/>
            </c:ext>
          </c:extLst>
        </c:ser>
        <c:dLbls>
          <c:dLblPos val="t"/>
          <c:showLegendKey val="0"/>
          <c:showVal val="1"/>
          <c:showCatName val="0"/>
          <c:showSerName val="0"/>
          <c:showPercent val="0"/>
          <c:showBubbleSize val="0"/>
        </c:dLbls>
        <c:smooth val="0"/>
        <c:axId val="2026768863"/>
        <c:axId val="2026768031"/>
      </c:lineChart>
      <c:catAx>
        <c:axId val="202676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768031"/>
        <c:crosses val="autoZero"/>
        <c:auto val="1"/>
        <c:lblAlgn val="ctr"/>
        <c:lblOffset val="100"/>
        <c:noMultiLvlLbl val="0"/>
      </c:catAx>
      <c:valAx>
        <c:axId val="2026768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Overlap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76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4 - Habit Moment and Metric'!$F$29</c:f>
              <c:strCache>
                <c:ptCount val="1"/>
                <c:pt idx="0">
                  <c:v>% Overlap</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4 - Habit Moment and Metric'!$A$30:$A$36</c:f>
              <c:strCache>
                <c:ptCount val="7"/>
                <c:pt idx="0">
                  <c:v>1+</c:v>
                </c:pt>
                <c:pt idx="1">
                  <c:v>2+</c:v>
                </c:pt>
                <c:pt idx="2">
                  <c:v>3+</c:v>
                </c:pt>
                <c:pt idx="3">
                  <c:v>4+</c:v>
                </c:pt>
                <c:pt idx="4">
                  <c:v>5+</c:v>
                </c:pt>
                <c:pt idx="5">
                  <c:v>6+</c:v>
                </c:pt>
                <c:pt idx="6">
                  <c:v>7+</c:v>
                </c:pt>
              </c:strCache>
            </c:strRef>
          </c:cat>
          <c:val>
            <c:numRef>
              <c:f>'Tab 4 - Habit Moment and Metric'!$F$30:$F$36</c:f>
              <c:numCache>
                <c:formatCode>0%</c:formatCode>
                <c:ptCount val="7"/>
                <c:pt idx="0">
                  <c:v>0.34953703703703703</c:v>
                </c:pt>
                <c:pt idx="1">
                  <c:v>0.40169332079021636</c:v>
                </c:pt>
                <c:pt idx="2">
                  <c:v>0.45274725274725275</c:v>
                </c:pt>
                <c:pt idx="3">
                  <c:v>0.45432692307692307</c:v>
                </c:pt>
                <c:pt idx="4">
                  <c:v>0.43833943833943834</c:v>
                </c:pt>
                <c:pt idx="5">
                  <c:v>0.44606413994169097</c:v>
                </c:pt>
                <c:pt idx="6">
                  <c:v>0.4264487369985141</c:v>
                </c:pt>
              </c:numCache>
            </c:numRef>
          </c:val>
          <c:smooth val="0"/>
          <c:extLst>
            <c:ext xmlns:c16="http://schemas.microsoft.com/office/drawing/2014/chart" uri="{C3380CC4-5D6E-409C-BE32-E72D297353CC}">
              <c16:uniqueId val="{00000000-C922-42FC-B5B4-AA5530E6D509}"/>
            </c:ext>
          </c:extLst>
        </c:ser>
        <c:dLbls>
          <c:dLblPos val="t"/>
          <c:showLegendKey val="0"/>
          <c:showVal val="1"/>
          <c:showCatName val="0"/>
          <c:showSerName val="0"/>
          <c:showPercent val="0"/>
          <c:showBubbleSize val="0"/>
        </c:dLbls>
        <c:smooth val="0"/>
        <c:axId val="1864697823"/>
        <c:axId val="1864696991"/>
      </c:lineChart>
      <c:catAx>
        <c:axId val="186469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696991"/>
        <c:crosses val="autoZero"/>
        <c:auto val="1"/>
        <c:lblAlgn val="ctr"/>
        <c:lblOffset val="100"/>
        <c:noMultiLvlLbl val="0"/>
      </c:catAx>
      <c:valAx>
        <c:axId val="18646969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697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4 - Habit Moment and Metric'!$F$41</c:f>
              <c:strCache>
                <c:ptCount val="1"/>
                <c:pt idx="0">
                  <c:v>% Overlap</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4 - Habit Moment and Metric'!$A$42:$A$48</c:f>
              <c:strCache>
                <c:ptCount val="7"/>
                <c:pt idx="0">
                  <c:v>1+</c:v>
                </c:pt>
                <c:pt idx="1">
                  <c:v>2+</c:v>
                </c:pt>
                <c:pt idx="2">
                  <c:v>3+</c:v>
                </c:pt>
                <c:pt idx="3">
                  <c:v>4+</c:v>
                </c:pt>
                <c:pt idx="4">
                  <c:v>5+</c:v>
                </c:pt>
                <c:pt idx="5">
                  <c:v>6+</c:v>
                </c:pt>
                <c:pt idx="6">
                  <c:v>7+</c:v>
                </c:pt>
              </c:strCache>
            </c:strRef>
          </c:cat>
          <c:val>
            <c:numRef>
              <c:f>'Tab 4 - Habit Moment and Metric'!$F$42:$F$48</c:f>
              <c:numCache>
                <c:formatCode>0%</c:formatCode>
                <c:ptCount val="7"/>
                <c:pt idx="0">
                  <c:v>0.46641791044776121</c:v>
                </c:pt>
                <c:pt idx="1">
                  <c:v>0.45673076923076922</c:v>
                </c:pt>
                <c:pt idx="2">
                  <c:v>0.45576407506702415</c:v>
                </c:pt>
                <c:pt idx="3">
                  <c:v>0.44891640866873067</c:v>
                </c:pt>
                <c:pt idx="4">
                  <c:v>0.43109540636042404</c:v>
                </c:pt>
                <c:pt idx="5">
                  <c:v>0.43426294820717132</c:v>
                </c:pt>
                <c:pt idx="6">
                  <c:v>0.42857142857142855</c:v>
                </c:pt>
              </c:numCache>
            </c:numRef>
          </c:val>
          <c:smooth val="0"/>
          <c:extLst>
            <c:ext xmlns:c16="http://schemas.microsoft.com/office/drawing/2014/chart" uri="{C3380CC4-5D6E-409C-BE32-E72D297353CC}">
              <c16:uniqueId val="{00000000-F5AB-44EB-B3C3-1847CEE2A3E6}"/>
            </c:ext>
          </c:extLst>
        </c:ser>
        <c:dLbls>
          <c:dLblPos val="t"/>
          <c:showLegendKey val="0"/>
          <c:showVal val="1"/>
          <c:showCatName val="0"/>
          <c:showSerName val="0"/>
          <c:showPercent val="0"/>
          <c:showBubbleSize val="0"/>
        </c:dLbls>
        <c:smooth val="0"/>
        <c:axId val="49658927"/>
        <c:axId val="49661007"/>
      </c:lineChart>
      <c:catAx>
        <c:axId val="4965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61007"/>
        <c:crosses val="autoZero"/>
        <c:auto val="1"/>
        <c:lblAlgn val="ctr"/>
        <c:lblOffset val="100"/>
        <c:noMultiLvlLbl val="0"/>
      </c:catAx>
      <c:valAx>
        <c:axId val="496610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5 - Aha Moment and Metric A'!$F$16</c:f>
              <c:strCache>
                <c:ptCount val="1"/>
                <c:pt idx="0">
                  <c:v>% Overlap</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5 - Aha Moment and Metric A'!$A$17:$A$23</c:f>
              <c:strCache>
                <c:ptCount val="7"/>
                <c:pt idx="0">
                  <c:v>1+</c:v>
                </c:pt>
                <c:pt idx="1">
                  <c:v>2+</c:v>
                </c:pt>
                <c:pt idx="2">
                  <c:v>3+</c:v>
                </c:pt>
                <c:pt idx="3">
                  <c:v>4+</c:v>
                </c:pt>
                <c:pt idx="4">
                  <c:v>5+</c:v>
                </c:pt>
                <c:pt idx="5">
                  <c:v>6+</c:v>
                </c:pt>
                <c:pt idx="6">
                  <c:v>7+</c:v>
                </c:pt>
              </c:strCache>
            </c:strRef>
          </c:cat>
          <c:val>
            <c:numRef>
              <c:f>'Tab 5 - Aha Moment and Metric A'!$F$17:$F$23</c:f>
              <c:numCache>
                <c:formatCode>0%</c:formatCode>
                <c:ptCount val="7"/>
                <c:pt idx="0">
                  <c:v>0.83</c:v>
                </c:pt>
                <c:pt idx="1">
                  <c:v>0.80566037735849061</c:v>
                </c:pt>
                <c:pt idx="2">
                  <c:v>0.78927203065134099</c:v>
                </c:pt>
                <c:pt idx="3">
                  <c:v>0.77142857142857146</c:v>
                </c:pt>
                <c:pt idx="4">
                  <c:v>0.58852459016393444</c:v>
                </c:pt>
                <c:pt idx="5">
                  <c:v>0.42797202797202799</c:v>
                </c:pt>
                <c:pt idx="6">
                  <c:v>0.31747787610619471</c:v>
                </c:pt>
              </c:numCache>
            </c:numRef>
          </c:val>
          <c:smooth val="0"/>
          <c:extLst>
            <c:ext xmlns:c16="http://schemas.microsoft.com/office/drawing/2014/chart" uri="{C3380CC4-5D6E-409C-BE32-E72D297353CC}">
              <c16:uniqueId val="{00000000-5E73-4106-A962-23B828C22261}"/>
            </c:ext>
          </c:extLst>
        </c:ser>
        <c:dLbls>
          <c:dLblPos val="t"/>
          <c:showLegendKey val="0"/>
          <c:showVal val="1"/>
          <c:showCatName val="0"/>
          <c:showSerName val="0"/>
          <c:showPercent val="0"/>
          <c:showBubbleSize val="0"/>
        </c:dLbls>
        <c:smooth val="0"/>
        <c:axId val="871066127"/>
        <c:axId val="871064879"/>
      </c:lineChart>
      <c:catAx>
        <c:axId val="8710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064879"/>
        <c:crosses val="autoZero"/>
        <c:auto val="1"/>
        <c:lblAlgn val="ctr"/>
        <c:lblOffset val="100"/>
        <c:noMultiLvlLbl val="0"/>
      </c:catAx>
      <c:valAx>
        <c:axId val="871064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0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5 - Aha Moment and Metric A'!$F$28</c:f>
              <c:strCache>
                <c:ptCount val="1"/>
                <c:pt idx="0">
                  <c:v>% Overlap</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5 - Aha Moment and Metric A'!$A$29:$A$35</c:f>
              <c:strCache>
                <c:ptCount val="7"/>
                <c:pt idx="0">
                  <c:v>1+</c:v>
                </c:pt>
                <c:pt idx="1">
                  <c:v>2+</c:v>
                </c:pt>
                <c:pt idx="2">
                  <c:v>3+</c:v>
                </c:pt>
                <c:pt idx="3">
                  <c:v>4+</c:v>
                </c:pt>
                <c:pt idx="4">
                  <c:v>5+</c:v>
                </c:pt>
                <c:pt idx="5">
                  <c:v>6+</c:v>
                </c:pt>
                <c:pt idx="6">
                  <c:v>7+</c:v>
                </c:pt>
              </c:strCache>
            </c:strRef>
          </c:cat>
          <c:val>
            <c:numRef>
              <c:f>'Tab 5 - Aha Moment and Metric A'!$F$29:$F$35</c:f>
              <c:numCache>
                <c:formatCode>0%</c:formatCode>
                <c:ptCount val="7"/>
                <c:pt idx="0">
                  <c:v>0.61349693251533743</c:v>
                </c:pt>
                <c:pt idx="1">
                  <c:v>0.58984007525870175</c:v>
                </c:pt>
                <c:pt idx="2">
                  <c:v>0.56595744680851068</c:v>
                </c:pt>
                <c:pt idx="3">
                  <c:v>0.55048076923076927</c:v>
                </c:pt>
                <c:pt idx="4">
                  <c:v>0.41311852704257768</c:v>
                </c:pt>
                <c:pt idx="5">
                  <c:v>0.36602870813397131</c:v>
                </c:pt>
                <c:pt idx="6">
                  <c:v>0.22721749696233293</c:v>
                </c:pt>
              </c:numCache>
            </c:numRef>
          </c:val>
          <c:smooth val="0"/>
          <c:extLst>
            <c:ext xmlns:c16="http://schemas.microsoft.com/office/drawing/2014/chart" uri="{C3380CC4-5D6E-409C-BE32-E72D297353CC}">
              <c16:uniqueId val="{00000000-7097-4E58-B5DD-46C297FE4774}"/>
            </c:ext>
          </c:extLst>
        </c:ser>
        <c:dLbls>
          <c:dLblPos val="t"/>
          <c:showLegendKey val="0"/>
          <c:showVal val="1"/>
          <c:showCatName val="0"/>
          <c:showSerName val="0"/>
          <c:showPercent val="0"/>
          <c:showBubbleSize val="0"/>
        </c:dLbls>
        <c:smooth val="0"/>
        <c:axId val="884062159"/>
        <c:axId val="884063823"/>
      </c:lineChart>
      <c:catAx>
        <c:axId val="88406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63823"/>
        <c:crosses val="autoZero"/>
        <c:auto val="1"/>
        <c:lblAlgn val="ctr"/>
        <c:lblOffset val="100"/>
        <c:noMultiLvlLbl val="0"/>
      </c:catAx>
      <c:valAx>
        <c:axId val="884063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06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5 - Aha Moment and Metric A'!$F$40</c:f>
              <c:strCache>
                <c:ptCount val="1"/>
                <c:pt idx="0">
                  <c:v>% Overlap</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5 - Aha Moment and Metric A'!$A$41:$A$47</c:f>
              <c:strCache>
                <c:ptCount val="7"/>
                <c:pt idx="0">
                  <c:v>1+</c:v>
                </c:pt>
                <c:pt idx="1">
                  <c:v>2+</c:v>
                </c:pt>
                <c:pt idx="2">
                  <c:v>3+</c:v>
                </c:pt>
                <c:pt idx="3">
                  <c:v>4+</c:v>
                </c:pt>
                <c:pt idx="4">
                  <c:v>5+</c:v>
                </c:pt>
                <c:pt idx="5">
                  <c:v>6+</c:v>
                </c:pt>
                <c:pt idx="6">
                  <c:v>7+</c:v>
                </c:pt>
              </c:strCache>
            </c:strRef>
          </c:cat>
          <c:val>
            <c:numRef>
              <c:f>'Tab 5 - Aha Moment and Metric A'!$F$41:$F$47</c:f>
              <c:numCache>
                <c:formatCode>0%</c:formatCode>
                <c:ptCount val="7"/>
                <c:pt idx="0">
                  <c:v>0.4170124481327801</c:v>
                </c:pt>
                <c:pt idx="1">
                  <c:v>0.40169332079021636</c:v>
                </c:pt>
                <c:pt idx="2">
                  <c:v>0.43829787234042555</c:v>
                </c:pt>
                <c:pt idx="3">
                  <c:v>0.42857142857142855</c:v>
                </c:pt>
                <c:pt idx="4">
                  <c:v>0.41311852704257768</c:v>
                </c:pt>
                <c:pt idx="5">
                  <c:v>0.36602870813397131</c:v>
                </c:pt>
                <c:pt idx="6">
                  <c:v>0.34872417982989062</c:v>
                </c:pt>
              </c:numCache>
            </c:numRef>
          </c:val>
          <c:smooth val="0"/>
          <c:extLst>
            <c:ext xmlns:c16="http://schemas.microsoft.com/office/drawing/2014/chart" uri="{C3380CC4-5D6E-409C-BE32-E72D297353CC}">
              <c16:uniqueId val="{00000000-0B95-4E3B-B163-065641F55B21}"/>
            </c:ext>
          </c:extLst>
        </c:ser>
        <c:dLbls>
          <c:dLblPos val="t"/>
          <c:showLegendKey val="0"/>
          <c:showVal val="1"/>
          <c:showCatName val="0"/>
          <c:showSerName val="0"/>
          <c:showPercent val="0"/>
          <c:showBubbleSize val="0"/>
        </c:dLbls>
        <c:smooth val="0"/>
        <c:axId val="548239183"/>
        <c:axId val="548239599"/>
      </c:lineChart>
      <c:catAx>
        <c:axId val="54823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39599"/>
        <c:crosses val="autoZero"/>
        <c:auto val="1"/>
        <c:lblAlgn val="ctr"/>
        <c:lblOffset val="100"/>
        <c:noMultiLvlLbl val="0"/>
      </c:catAx>
      <c:valAx>
        <c:axId val="5482395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3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6 - Setup Moment and Metric'!$F$15</c:f>
              <c:strCache>
                <c:ptCount val="1"/>
                <c:pt idx="0">
                  <c:v>% Overlap</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6 - Setup Moment and Metric'!$A$16:$A$22</c:f>
              <c:strCache>
                <c:ptCount val="7"/>
                <c:pt idx="0">
                  <c:v>1+</c:v>
                </c:pt>
                <c:pt idx="1">
                  <c:v>2+</c:v>
                </c:pt>
                <c:pt idx="2">
                  <c:v>3+</c:v>
                </c:pt>
                <c:pt idx="3">
                  <c:v>4+</c:v>
                </c:pt>
                <c:pt idx="4">
                  <c:v>5+</c:v>
                </c:pt>
                <c:pt idx="5">
                  <c:v>6+</c:v>
                </c:pt>
                <c:pt idx="6">
                  <c:v>7+</c:v>
                </c:pt>
              </c:strCache>
            </c:strRef>
          </c:cat>
          <c:val>
            <c:numRef>
              <c:f>'Tab 6 - Setup Moment and Metric'!$F$16:$F$22</c:f>
              <c:numCache>
                <c:formatCode>0%</c:formatCode>
                <c:ptCount val="7"/>
                <c:pt idx="0">
                  <c:v>0.39</c:v>
                </c:pt>
                <c:pt idx="1">
                  <c:v>0.36715391229578676</c:v>
                </c:pt>
                <c:pt idx="2">
                  <c:v>0.39615384615384613</c:v>
                </c:pt>
                <c:pt idx="3">
                  <c:v>0.38492871690427699</c:v>
                </c:pt>
                <c:pt idx="4">
                  <c:v>0.37048503611971106</c:v>
                </c:pt>
                <c:pt idx="5">
                  <c:v>0.32692307692307693</c:v>
                </c:pt>
                <c:pt idx="6">
                  <c:v>0.31094257854821233</c:v>
                </c:pt>
              </c:numCache>
            </c:numRef>
          </c:val>
          <c:smooth val="0"/>
          <c:extLst>
            <c:ext xmlns:c16="http://schemas.microsoft.com/office/drawing/2014/chart" uri="{C3380CC4-5D6E-409C-BE32-E72D297353CC}">
              <c16:uniqueId val="{00000000-58CD-4AE1-AD18-C17C81BB0762}"/>
            </c:ext>
          </c:extLst>
        </c:ser>
        <c:dLbls>
          <c:dLblPos val="t"/>
          <c:showLegendKey val="0"/>
          <c:showVal val="1"/>
          <c:showCatName val="0"/>
          <c:showSerName val="0"/>
          <c:showPercent val="0"/>
          <c:showBubbleSize val="0"/>
        </c:dLbls>
        <c:smooth val="0"/>
        <c:axId val="1026504543"/>
        <c:axId val="1026504959"/>
      </c:lineChart>
      <c:catAx>
        <c:axId val="102650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504959"/>
        <c:crosses val="autoZero"/>
        <c:auto val="1"/>
        <c:lblAlgn val="ctr"/>
        <c:lblOffset val="100"/>
        <c:noMultiLvlLbl val="0"/>
      </c:catAx>
      <c:valAx>
        <c:axId val="1026504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50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6 - Setup Moment and Metric'!$F$27</c:f>
              <c:strCache>
                <c:ptCount val="1"/>
                <c:pt idx="0">
                  <c:v>% Overlap</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6 - Setup Moment and Metric'!$A$28:$A$34</c:f>
              <c:strCache>
                <c:ptCount val="7"/>
                <c:pt idx="0">
                  <c:v>1+</c:v>
                </c:pt>
                <c:pt idx="1">
                  <c:v>2+</c:v>
                </c:pt>
                <c:pt idx="2">
                  <c:v>3+</c:v>
                </c:pt>
                <c:pt idx="3">
                  <c:v>4+</c:v>
                </c:pt>
                <c:pt idx="4">
                  <c:v>5+</c:v>
                </c:pt>
                <c:pt idx="5">
                  <c:v>6+</c:v>
                </c:pt>
                <c:pt idx="6">
                  <c:v>7+</c:v>
                </c:pt>
              </c:strCache>
            </c:strRef>
          </c:cat>
          <c:val>
            <c:numRef>
              <c:f>'Tab 6 - Setup Moment and Metric'!$F$28:$F$34</c:f>
              <c:numCache>
                <c:formatCode>0%</c:formatCode>
                <c:ptCount val="7"/>
                <c:pt idx="0">
                  <c:v>0.56980056980056981</c:v>
                </c:pt>
                <c:pt idx="1">
                  <c:v>0.5391229578675838</c:v>
                </c:pt>
                <c:pt idx="2">
                  <c:v>0.52777777777777779</c:v>
                </c:pt>
                <c:pt idx="3">
                  <c:v>0.51927437641723351</c:v>
                </c:pt>
                <c:pt idx="4">
                  <c:v>0.50350631136044877</c:v>
                </c:pt>
                <c:pt idx="5">
                  <c:v>0.49434571890145396</c:v>
                </c:pt>
                <c:pt idx="6">
                  <c:v>0.46875</c:v>
                </c:pt>
              </c:numCache>
            </c:numRef>
          </c:val>
          <c:smooth val="0"/>
          <c:extLst>
            <c:ext xmlns:c16="http://schemas.microsoft.com/office/drawing/2014/chart" uri="{C3380CC4-5D6E-409C-BE32-E72D297353CC}">
              <c16:uniqueId val="{00000000-DADE-4144-953D-03E06C254D2E}"/>
            </c:ext>
          </c:extLst>
        </c:ser>
        <c:dLbls>
          <c:dLblPos val="t"/>
          <c:showLegendKey val="0"/>
          <c:showVal val="1"/>
          <c:showCatName val="0"/>
          <c:showSerName val="0"/>
          <c:showPercent val="0"/>
          <c:showBubbleSize val="0"/>
        </c:dLbls>
        <c:smooth val="0"/>
        <c:axId val="872482239"/>
        <c:axId val="872482655"/>
      </c:lineChart>
      <c:catAx>
        <c:axId val="8724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82655"/>
        <c:crosses val="autoZero"/>
        <c:auto val="1"/>
        <c:lblAlgn val="ctr"/>
        <c:lblOffset val="100"/>
        <c:noMultiLvlLbl val="0"/>
      </c:catAx>
      <c:valAx>
        <c:axId val="8724826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4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6 - Setup Moment and Metric'!$F$39</c:f>
              <c:strCache>
                <c:ptCount val="1"/>
                <c:pt idx="0">
                  <c:v>% Overlap</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 6 - Setup Moment and Metric'!$A$40:$A$46</c:f>
              <c:strCache>
                <c:ptCount val="7"/>
                <c:pt idx="0">
                  <c:v>1+</c:v>
                </c:pt>
                <c:pt idx="1">
                  <c:v>2+</c:v>
                </c:pt>
                <c:pt idx="2">
                  <c:v>3+</c:v>
                </c:pt>
                <c:pt idx="3">
                  <c:v>4+</c:v>
                </c:pt>
                <c:pt idx="4">
                  <c:v>5+</c:v>
                </c:pt>
                <c:pt idx="5">
                  <c:v>6+</c:v>
                </c:pt>
                <c:pt idx="6">
                  <c:v>7+</c:v>
                </c:pt>
              </c:strCache>
            </c:strRef>
          </c:cat>
          <c:val>
            <c:numRef>
              <c:f>'Tab 6 - Setup Moment and Metric'!$F$40:$F$46</c:f>
              <c:numCache>
                <c:formatCode>0%</c:formatCode>
                <c:ptCount val="7"/>
                <c:pt idx="0">
                  <c:v>0.70123839009287925</c:v>
                </c:pt>
                <c:pt idx="1">
                  <c:v>0.67777777777777781</c:v>
                </c:pt>
                <c:pt idx="2">
                  <c:v>0.66237942122186499</c:v>
                </c:pt>
                <c:pt idx="3">
                  <c:v>0.64067796610169492</c:v>
                </c:pt>
                <c:pt idx="4">
                  <c:v>0.5056338028169014</c:v>
                </c:pt>
                <c:pt idx="5">
                  <c:v>0.3754601226993865</c:v>
                </c:pt>
                <c:pt idx="6">
                  <c:v>0.28585657370517931</c:v>
                </c:pt>
              </c:numCache>
            </c:numRef>
          </c:val>
          <c:smooth val="0"/>
          <c:extLst>
            <c:ext xmlns:c16="http://schemas.microsoft.com/office/drawing/2014/chart" uri="{C3380CC4-5D6E-409C-BE32-E72D297353CC}">
              <c16:uniqueId val="{00000000-BE6E-497C-8826-05C8AC9126CA}"/>
            </c:ext>
          </c:extLst>
        </c:ser>
        <c:dLbls>
          <c:dLblPos val="t"/>
          <c:showLegendKey val="0"/>
          <c:showVal val="1"/>
          <c:showCatName val="0"/>
          <c:showSerName val="0"/>
          <c:showPercent val="0"/>
          <c:showBubbleSize val="0"/>
        </c:dLbls>
        <c:smooth val="0"/>
        <c:axId val="779956847"/>
        <c:axId val="779962255"/>
      </c:lineChart>
      <c:catAx>
        <c:axId val="77995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62255"/>
        <c:crosses val="autoZero"/>
        <c:auto val="1"/>
        <c:lblAlgn val="ctr"/>
        <c:lblOffset val="100"/>
        <c:noMultiLvlLbl val="0"/>
      </c:catAx>
      <c:valAx>
        <c:axId val="779962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5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38101</xdr:colOff>
      <xdr:row>13</xdr:row>
      <xdr:rowOff>25401</xdr:rowOff>
    </xdr:from>
    <xdr:to>
      <xdr:col>10</xdr:col>
      <xdr:colOff>1003300</xdr:colOff>
      <xdr:row>24</xdr:row>
      <xdr:rowOff>0</xdr:rowOff>
    </xdr:to>
    <xdr:graphicFrame macro="">
      <xdr:nvGraphicFramePr>
        <xdr:cNvPr id="5" name="Chart 4">
          <a:extLst>
            <a:ext uri="{FF2B5EF4-FFF2-40B4-BE49-F238E27FC236}">
              <a16:creationId xmlns:a16="http://schemas.microsoft.com/office/drawing/2014/main" id="{57A8492C-4D69-4E09-9ABA-838AD97E2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31749</xdr:colOff>
      <xdr:row>25</xdr:row>
      <xdr:rowOff>1</xdr:rowOff>
    </xdr:from>
    <xdr:to>
      <xdr:col>10</xdr:col>
      <xdr:colOff>1006474</xdr:colOff>
      <xdr:row>36</xdr:row>
      <xdr:rowOff>12701</xdr:rowOff>
    </xdr:to>
    <xdr:graphicFrame macro="">
      <xdr:nvGraphicFramePr>
        <xdr:cNvPr id="6" name="Chart 5">
          <a:extLst>
            <a:ext uri="{FF2B5EF4-FFF2-40B4-BE49-F238E27FC236}">
              <a16:creationId xmlns:a16="http://schemas.microsoft.com/office/drawing/2014/main" id="{4BACE25E-A29E-4BE0-AC5E-D58F971B0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1000125</xdr:colOff>
      <xdr:row>37</xdr:row>
      <xdr:rowOff>38099</xdr:rowOff>
    </xdr:from>
    <xdr:to>
      <xdr:col>10</xdr:col>
      <xdr:colOff>939800</xdr:colOff>
      <xdr:row>47</xdr:row>
      <xdr:rowOff>120650</xdr:rowOff>
    </xdr:to>
    <xdr:graphicFrame macro="">
      <xdr:nvGraphicFramePr>
        <xdr:cNvPr id="7" name="Chart 6">
          <a:extLst>
            <a:ext uri="{FF2B5EF4-FFF2-40B4-BE49-F238E27FC236}">
              <a16:creationId xmlns:a16="http://schemas.microsoft.com/office/drawing/2014/main" id="{9EEA71F8-F1C1-4276-9B14-2DD3E6F08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15875</xdr:colOff>
      <xdr:row>12</xdr:row>
      <xdr:rowOff>28575</xdr:rowOff>
    </xdr:from>
    <xdr:to>
      <xdr:col>11</xdr:col>
      <xdr:colOff>12700</xdr:colOff>
      <xdr:row>22</xdr:row>
      <xdr:rowOff>127000</xdr:rowOff>
    </xdr:to>
    <xdr:graphicFrame macro="">
      <xdr:nvGraphicFramePr>
        <xdr:cNvPr id="2" name="Chart 1">
          <a:extLst>
            <a:ext uri="{FF2B5EF4-FFF2-40B4-BE49-F238E27FC236}">
              <a16:creationId xmlns:a16="http://schemas.microsoft.com/office/drawing/2014/main" id="{E74ED568-A95A-48FE-ABFC-55B2B5999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918729</xdr:colOff>
      <xdr:row>23</xdr:row>
      <xdr:rowOff>145763</xdr:rowOff>
    </xdr:from>
    <xdr:to>
      <xdr:col>11</xdr:col>
      <xdr:colOff>-1</xdr:colOff>
      <xdr:row>34</xdr:row>
      <xdr:rowOff>150092</xdr:rowOff>
    </xdr:to>
    <xdr:graphicFrame macro="">
      <xdr:nvGraphicFramePr>
        <xdr:cNvPr id="3" name="Chart 2">
          <a:extLst>
            <a:ext uri="{FF2B5EF4-FFF2-40B4-BE49-F238E27FC236}">
              <a16:creationId xmlns:a16="http://schemas.microsoft.com/office/drawing/2014/main" id="{539A3EDD-CE61-49F1-9A8B-7C3D833CF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23092</xdr:colOff>
      <xdr:row>35</xdr:row>
      <xdr:rowOff>140853</xdr:rowOff>
    </xdr:from>
    <xdr:to>
      <xdr:col>10</xdr:col>
      <xdr:colOff>958273</xdr:colOff>
      <xdr:row>46</xdr:row>
      <xdr:rowOff>23091</xdr:rowOff>
    </xdr:to>
    <xdr:graphicFrame macro="">
      <xdr:nvGraphicFramePr>
        <xdr:cNvPr id="4" name="Chart 3">
          <a:extLst>
            <a:ext uri="{FF2B5EF4-FFF2-40B4-BE49-F238E27FC236}">
              <a16:creationId xmlns:a16="http://schemas.microsoft.com/office/drawing/2014/main" id="{2886E394-214A-4565-B29C-17E0BFC97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7938</xdr:colOff>
      <xdr:row>11</xdr:row>
      <xdr:rowOff>33338</xdr:rowOff>
    </xdr:from>
    <xdr:to>
      <xdr:col>10</xdr:col>
      <xdr:colOff>968375</xdr:colOff>
      <xdr:row>22</xdr:row>
      <xdr:rowOff>15875</xdr:rowOff>
    </xdr:to>
    <xdr:graphicFrame macro="">
      <xdr:nvGraphicFramePr>
        <xdr:cNvPr id="2" name="Chart 1">
          <a:extLst>
            <a:ext uri="{FF2B5EF4-FFF2-40B4-BE49-F238E27FC236}">
              <a16:creationId xmlns:a16="http://schemas.microsoft.com/office/drawing/2014/main" id="{5B1AD90C-0507-47E7-B734-85E5CEC12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55563</xdr:colOff>
      <xdr:row>23</xdr:row>
      <xdr:rowOff>17463</xdr:rowOff>
    </xdr:from>
    <xdr:to>
      <xdr:col>11</xdr:col>
      <xdr:colOff>15875</xdr:colOff>
      <xdr:row>33</xdr:row>
      <xdr:rowOff>127000</xdr:rowOff>
    </xdr:to>
    <xdr:graphicFrame macro="">
      <xdr:nvGraphicFramePr>
        <xdr:cNvPr id="3" name="Chart 2">
          <a:extLst>
            <a:ext uri="{FF2B5EF4-FFF2-40B4-BE49-F238E27FC236}">
              <a16:creationId xmlns:a16="http://schemas.microsoft.com/office/drawing/2014/main" id="{7CBB0191-A7A2-4D5D-A132-6D442236B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35719</xdr:colOff>
      <xdr:row>35</xdr:row>
      <xdr:rowOff>9525</xdr:rowOff>
    </xdr:from>
    <xdr:to>
      <xdr:col>11</xdr:col>
      <xdr:colOff>0</xdr:colOff>
      <xdr:row>46</xdr:row>
      <xdr:rowOff>47625</xdr:rowOff>
    </xdr:to>
    <xdr:graphicFrame macro="">
      <xdr:nvGraphicFramePr>
        <xdr:cNvPr id="4" name="Chart 3">
          <a:extLst>
            <a:ext uri="{FF2B5EF4-FFF2-40B4-BE49-F238E27FC236}">
              <a16:creationId xmlns:a16="http://schemas.microsoft.com/office/drawing/2014/main" id="{D09AFBBD-9583-460C-B8BC-2DD8E56FE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63:D70" headerRowCount="0">
  <tableColumns count="1">
    <tableColumn id="1" xr3:uid="{00000000-0010-0000-0000-000001000000}" name="Column1" dataDxfId="11">
      <calculatedColumnFormula>E63/C63</calculatedColumnFormula>
    </tableColumn>
  </tableColumns>
  <tableStyleInfo name="Tab 8 - Segment Analysis-style" showFirstColumn="1" showLastColumn="1" showRowStripes="1" showColumnStripes="0"/>
  <extLst>
    <ext uri="GoogleSheetsCustomDataVersion1">
      <go:sheetsCustomData xmlns:go="http://customooxmlschemas.google.com/" headerRowCount="1"/>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H41:H49" headerRowCount="0">
  <tableColumns count="1">
    <tableColumn id="1" xr3:uid="{00000000-0010-0000-0900-000001000000}" name="Column1" dataDxfId="2">
      <calculatedColumnFormula>B41*C41*E41*G41</calculatedColumnFormula>
    </tableColumn>
  </tableColumns>
  <tableStyleInfo name="Tab 8 - Segment Analysis-style 10" showFirstColumn="1" showLastColumn="1" showRowStripes="1" showColumnStripes="0"/>
  <extLst>
    <ext uri="GoogleSheetsCustomDataVersion1">
      <go:sheetsCustomData xmlns:go="http://customooxmlschemas.google.com/" headerRowCount="1"/>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D41:D49" headerRowCount="0">
  <tableColumns count="1">
    <tableColumn id="1" xr3:uid="{00000000-0010-0000-0A00-000001000000}" name="Column1" dataDxfId="1">
      <calculatedColumnFormula>E41/C41</calculatedColumnFormula>
    </tableColumn>
  </tableColumns>
  <tableStyleInfo name="Tab 8 - Segment Analysis-style 11" showFirstColumn="1" showLastColumn="1" showRowStripes="1" showColumnStripes="0"/>
  <extLst>
    <ext uri="GoogleSheetsCustomDataVersion1">
      <go:sheetsCustomData xmlns:go="http://customooxmlschemas.google.com/" headerRowCount="1"/>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I63:I70" headerRowCount="0">
  <tableColumns count="1">
    <tableColumn id="1" xr3:uid="{00000000-0010-0000-0B00-000001000000}" name="Column1" dataDxfId="0">
      <calculatedColumnFormula>Table_6[[#This Row],[Column1]]/B63</calculatedColumnFormula>
    </tableColumn>
  </tableColumns>
  <tableStyleInfo name="Tab 8 - Segment Analysis-style 12"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84:D89" headerRowCount="0">
  <tableColumns count="1">
    <tableColumn id="1" xr3:uid="{00000000-0010-0000-0100-000001000000}" name="Column1" dataDxfId="10">
      <calculatedColumnFormula>E84/C84</calculatedColumnFormula>
    </tableColumn>
  </tableColumns>
  <tableStyleInfo name="Tab 8 - Segment Analysis-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I84:I89" headerRowCount="0">
  <tableColumns count="1">
    <tableColumn id="1" xr3:uid="{00000000-0010-0000-0200-000001000000}" name="Column1" dataDxfId="9">
      <calculatedColumnFormula>Table_4[[#This Row],[Column1]]/B84</calculatedColumnFormula>
    </tableColumn>
  </tableColumns>
  <tableStyleInfo name="Tab 8 - Segment Analysis-style 3"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H84:H89" headerRowCount="0">
  <tableColumns count="1">
    <tableColumn id="1" xr3:uid="{00000000-0010-0000-0300-000001000000}" name="Column1" dataDxfId="8">
      <calculatedColumnFormula>B84*C84*G84</calculatedColumnFormula>
    </tableColumn>
  </tableColumns>
  <tableStyleInfo name="Tab 8 - Segment Analysis-style 4"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F84:F89" headerRowCount="0">
  <tableColumns count="1">
    <tableColumn id="1" xr3:uid="{00000000-0010-0000-0400-000001000000}" name="Column1" dataDxfId="7">
      <calculatedColumnFormula>G84/E84</calculatedColumnFormula>
    </tableColumn>
  </tableColumns>
  <tableStyleInfo name="Tab 8 - Segment Analysis-style 5"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H63:H70" headerRowCount="0">
  <tableColumns count="1">
    <tableColumn id="1" xr3:uid="{00000000-0010-0000-0500-000001000000}" name="Column1" dataDxfId="6">
      <calculatedColumnFormula>B63*C63*E63*G63</calculatedColumnFormula>
    </tableColumn>
  </tableColumns>
  <tableStyleInfo name="Tab 8 - Segment Analysis-style 6"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I41:I49" headerRowCount="0">
  <tableColumns count="1">
    <tableColumn id="1" xr3:uid="{00000000-0010-0000-0600-000001000000}" name="Column1" dataDxfId="5">
      <calculatedColumnFormula>Table_10[[#This Row],[Column1]]/B41</calculatedColumnFormula>
    </tableColumn>
  </tableColumns>
  <tableStyleInfo name="Tab 8 - Segment Analysis-style 7"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F41:F49" headerRowCount="0">
  <tableColumns count="1">
    <tableColumn id="1" xr3:uid="{00000000-0010-0000-0700-000001000000}" name="Column1" dataDxfId="4">
      <calculatedColumnFormula>G41/E41</calculatedColumnFormula>
    </tableColumn>
  </tableColumns>
  <tableStyleInfo name="Tab 8 - Segment Analysis-style 8" showFirstColumn="1" showLastColumn="1" showRowStripes="1" showColumnStripes="0"/>
  <extLst>
    <ext uri="GoogleSheetsCustomDataVersion1">
      <go:sheetsCustomData xmlns:go="http://customooxmlschemas.google.com/" headerRowCount="1"/>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F63:F70" headerRowCount="0">
  <tableColumns count="1">
    <tableColumn id="1" xr3:uid="{00000000-0010-0000-0800-000001000000}" name="Column1" dataDxfId="3">
      <calculatedColumnFormula>G63/E63</calculatedColumnFormula>
    </tableColumn>
  </tableColumns>
  <tableStyleInfo name="Tab 8 - Segment Analysis-style 9"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4"/>
  <sheetViews>
    <sheetView showGridLines="0" topLeftCell="A8" workbookViewId="0">
      <selection activeCell="A24" sqref="A24"/>
    </sheetView>
  </sheetViews>
  <sheetFormatPr defaultColWidth="14.453125" defaultRowHeight="15.75" customHeight="1"/>
  <cols>
    <col min="1" max="2" width="12.453125" customWidth="1"/>
    <col min="3" max="3" width="49" customWidth="1"/>
  </cols>
  <sheetData>
    <row r="1" spans="1:3" ht="38">
      <c r="A1" s="187" t="s">
        <v>0</v>
      </c>
      <c r="B1" s="184"/>
      <c r="C1" s="185"/>
    </row>
    <row r="2" spans="1:3" ht="12.5">
      <c r="A2" s="188" t="s">
        <v>1</v>
      </c>
      <c r="B2" s="189"/>
      <c r="C2" s="190"/>
    </row>
    <row r="3" spans="1:3" ht="30.75" customHeight="1">
      <c r="A3" s="191"/>
      <c r="B3" s="192"/>
      <c r="C3" s="193"/>
    </row>
    <row r="4" spans="1:3" ht="30.75" customHeight="1">
      <c r="A4" s="194" t="str">
        <f>HYPERLINK("https://app.productboard.com/register","Step 1: Complete Tabs 1 - 2 in order by signing up for the free trial of productboard: https://app.productboard.com/register. 
")</f>
        <v xml:space="preserve">Step 1: Complete Tabs 1 - 2 in order by signing up for the free trial of productboard: https://app.productboard.com/register. 
</v>
      </c>
      <c r="B4" s="184"/>
      <c r="C4" s="185"/>
    </row>
    <row r="5" spans="1:3" ht="54.75" customHeight="1">
      <c r="A5" s="195" t="s">
        <v>2</v>
      </c>
      <c r="B5" s="192"/>
      <c r="C5" s="193"/>
    </row>
    <row r="6" spans="1:3" ht="99.75" customHeight="1">
      <c r="A6" s="195" t="s">
        <v>3</v>
      </c>
      <c r="B6" s="192"/>
      <c r="C6" s="193"/>
    </row>
    <row r="7" spans="1:3" ht="45.75" customHeight="1">
      <c r="A7" s="195" t="s">
        <v>4</v>
      </c>
      <c r="B7" s="192"/>
      <c r="C7" s="193"/>
    </row>
    <row r="8" spans="1:3" ht="56.25" customHeight="1">
      <c r="A8" s="195" t="s">
        <v>5</v>
      </c>
      <c r="B8" s="192"/>
      <c r="C8" s="193"/>
    </row>
    <row r="9" spans="1:3" ht="12.5">
      <c r="A9" s="183" t="s">
        <v>6</v>
      </c>
      <c r="B9" s="184"/>
      <c r="C9" s="185"/>
    </row>
    <row r="10" spans="1:3" ht="13">
      <c r="A10" s="186" t="s">
        <v>7</v>
      </c>
      <c r="B10" s="184"/>
      <c r="C10" s="185"/>
    </row>
    <row r="11" spans="1:3" ht="13">
      <c r="A11" s="1"/>
      <c r="B11" s="2"/>
      <c r="C11" s="3"/>
    </row>
    <row r="12" spans="1:3" ht="13">
      <c r="A12" s="4" t="s">
        <v>8</v>
      </c>
      <c r="B12" s="5" t="s">
        <v>9</v>
      </c>
      <c r="C12" s="4" t="s">
        <v>10</v>
      </c>
    </row>
    <row r="13" spans="1:3" ht="13">
      <c r="A13" s="6"/>
      <c r="B13" s="7"/>
      <c r="C13" s="8" t="s">
        <v>11</v>
      </c>
    </row>
    <row r="14" spans="1:3" ht="12.5">
      <c r="A14" s="9">
        <v>1</v>
      </c>
      <c r="B14" s="10" t="b">
        <v>0</v>
      </c>
      <c r="C14" s="11" t="s">
        <v>12</v>
      </c>
    </row>
    <row r="15" spans="1:3" ht="12.5">
      <c r="A15" s="12">
        <v>2</v>
      </c>
      <c r="B15" s="10" t="b">
        <v>0</v>
      </c>
      <c r="C15" s="13" t="s">
        <v>13</v>
      </c>
    </row>
    <row r="16" spans="1:3" ht="13">
      <c r="A16" s="6"/>
      <c r="B16" s="6"/>
      <c r="C16" s="8" t="s">
        <v>14</v>
      </c>
    </row>
    <row r="17" spans="1:3" ht="12.5">
      <c r="A17" s="14">
        <v>3</v>
      </c>
      <c r="B17" s="10" t="b">
        <v>0</v>
      </c>
      <c r="C17" s="13" t="s">
        <v>15</v>
      </c>
    </row>
    <row r="18" spans="1:3" ht="13">
      <c r="A18" s="15"/>
      <c r="B18" s="6"/>
      <c r="C18" s="8" t="s">
        <v>16</v>
      </c>
    </row>
    <row r="19" spans="1:3" ht="12.5">
      <c r="A19" s="14">
        <v>4</v>
      </c>
      <c r="B19" s="10" t="b">
        <v>0</v>
      </c>
      <c r="C19" s="13" t="s">
        <v>17</v>
      </c>
    </row>
    <row r="20" spans="1:3" ht="12.5">
      <c r="A20" s="14">
        <v>5</v>
      </c>
      <c r="B20" s="16" t="b">
        <v>0</v>
      </c>
      <c r="C20" s="13" t="s">
        <v>18</v>
      </c>
    </row>
    <row r="21" spans="1:3" ht="12.5">
      <c r="A21" s="14">
        <v>6</v>
      </c>
      <c r="B21" s="16" t="b">
        <v>0</v>
      </c>
      <c r="C21" s="13" t="s">
        <v>19</v>
      </c>
    </row>
    <row r="22" spans="1:3" ht="12.5">
      <c r="A22" s="14">
        <v>7</v>
      </c>
      <c r="B22" s="16" t="b">
        <v>0</v>
      </c>
      <c r="C22" s="13" t="s">
        <v>20</v>
      </c>
    </row>
    <row r="23" spans="1:3" ht="13">
      <c r="A23" s="15"/>
      <c r="B23" s="6"/>
      <c r="C23" s="8" t="s">
        <v>21</v>
      </c>
    </row>
    <row r="24" spans="1:3" ht="14">
      <c r="A24" s="14">
        <v>8</v>
      </c>
      <c r="B24" s="10" t="b">
        <v>0</v>
      </c>
      <c r="C24" s="17" t="s">
        <v>22</v>
      </c>
    </row>
  </sheetData>
  <mergeCells count="9">
    <mergeCell ref="A9:C9"/>
    <mergeCell ref="A10:C10"/>
    <mergeCell ref="A1:C1"/>
    <mergeCell ref="A2:C3"/>
    <mergeCell ref="A4:C4"/>
    <mergeCell ref="A5:C5"/>
    <mergeCell ref="A6:C6"/>
    <mergeCell ref="A7:C7"/>
    <mergeCell ref="A8:C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33"/>
  <sheetViews>
    <sheetView showGridLines="0" topLeftCell="T21" workbookViewId="0">
      <selection activeCell="W22" sqref="W22"/>
    </sheetView>
  </sheetViews>
  <sheetFormatPr defaultColWidth="14.453125" defaultRowHeight="15.75" customHeight="1"/>
  <cols>
    <col min="2" max="2" width="20.6328125" bestFit="1" customWidth="1"/>
    <col min="12" max="12" width="29" customWidth="1"/>
    <col min="13" max="13" width="28.7265625" customWidth="1"/>
    <col min="14" max="15" width="29.08984375" customWidth="1"/>
    <col min="16" max="16" width="28.81640625" customWidth="1"/>
    <col min="17" max="17" width="28.54296875" customWidth="1"/>
    <col min="18" max="18" width="29" customWidth="1"/>
    <col min="19" max="19" width="29.26953125" customWidth="1"/>
    <col min="20" max="20" width="29.08984375" customWidth="1"/>
    <col min="21" max="21" width="32.08984375" customWidth="1"/>
    <col min="22" max="22" width="38.453125" customWidth="1"/>
    <col min="23" max="23" width="53.81640625" customWidth="1"/>
  </cols>
  <sheetData>
    <row r="1" spans="1:23" ht="12.5">
      <c r="A1" s="208" t="s">
        <v>12</v>
      </c>
      <c r="B1" s="189"/>
      <c r="C1" s="189"/>
      <c r="D1" s="189"/>
      <c r="E1" s="189"/>
      <c r="F1" s="189"/>
      <c r="G1" s="189"/>
      <c r="H1" s="189"/>
      <c r="I1" s="189"/>
      <c r="J1" s="189"/>
      <c r="K1" s="189"/>
      <c r="L1" s="189"/>
      <c r="M1" s="189"/>
      <c r="N1" s="189"/>
      <c r="O1" s="189"/>
      <c r="P1" s="189"/>
      <c r="Q1" s="189"/>
      <c r="R1" s="189"/>
      <c r="S1" s="189"/>
      <c r="T1" s="189"/>
      <c r="U1" s="189"/>
      <c r="V1" s="189"/>
      <c r="W1" s="190"/>
    </row>
    <row r="2" spans="1:23" ht="12.5">
      <c r="A2" s="191"/>
      <c r="B2" s="192"/>
      <c r="C2" s="192"/>
      <c r="D2" s="192"/>
      <c r="E2" s="192"/>
      <c r="F2" s="192"/>
      <c r="G2" s="192"/>
      <c r="H2" s="192"/>
      <c r="I2" s="192"/>
      <c r="J2" s="192"/>
      <c r="K2" s="192"/>
      <c r="L2" s="192"/>
      <c r="M2" s="192"/>
      <c r="N2" s="192"/>
      <c r="O2" s="192"/>
      <c r="P2" s="192"/>
      <c r="Q2" s="192"/>
      <c r="R2" s="192"/>
      <c r="S2" s="192"/>
      <c r="T2" s="192"/>
      <c r="U2" s="192"/>
      <c r="V2" s="192"/>
      <c r="W2" s="193"/>
    </row>
    <row r="3" spans="1:23" ht="13">
      <c r="A3" s="207" t="s">
        <v>23</v>
      </c>
      <c r="B3" s="189"/>
      <c r="C3" s="189"/>
      <c r="D3" s="189"/>
      <c r="E3" s="189"/>
      <c r="F3" s="190"/>
      <c r="G3" s="18"/>
      <c r="H3" s="18"/>
      <c r="I3" s="18"/>
      <c r="J3" s="19"/>
      <c r="K3" s="19"/>
      <c r="L3" s="19"/>
      <c r="S3" s="19"/>
      <c r="T3" s="19"/>
      <c r="U3" s="20"/>
      <c r="V3" s="20"/>
      <c r="W3" s="20"/>
    </row>
    <row r="4" spans="1:23" ht="14.25" customHeight="1">
      <c r="A4" s="191"/>
      <c r="B4" s="192"/>
      <c r="C4" s="192"/>
      <c r="D4" s="192"/>
      <c r="E4" s="192"/>
      <c r="F4" s="193"/>
      <c r="G4" s="18"/>
      <c r="H4" s="18"/>
      <c r="I4" s="18"/>
      <c r="J4" s="18"/>
      <c r="K4" s="18"/>
      <c r="L4" s="18"/>
      <c r="S4" s="19"/>
      <c r="T4" s="19"/>
      <c r="U4" s="20"/>
      <c r="V4" s="20"/>
      <c r="W4" s="20"/>
    </row>
    <row r="5" spans="1:23" ht="21.75" customHeight="1">
      <c r="A5" s="195" t="s">
        <v>24</v>
      </c>
      <c r="B5" s="192"/>
      <c r="C5" s="192"/>
      <c r="D5" s="192"/>
      <c r="E5" s="192"/>
      <c r="F5" s="193"/>
      <c r="G5" s="18"/>
      <c r="H5" s="18"/>
      <c r="I5" s="18"/>
      <c r="J5" s="18"/>
      <c r="K5" s="18"/>
      <c r="L5" s="18"/>
      <c r="S5" s="19"/>
      <c r="T5" s="19"/>
      <c r="U5" s="20"/>
      <c r="V5" s="20"/>
      <c r="W5" s="20"/>
    </row>
    <row r="6" spans="1:23" ht="21" customHeight="1">
      <c r="A6" s="195" t="s">
        <v>25</v>
      </c>
      <c r="B6" s="192"/>
      <c r="C6" s="192"/>
      <c r="D6" s="192"/>
      <c r="E6" s="192"/>
      <c r="F6" s="193"/>
      <c r="G6" s="18"/>
      <c r="H6" s="18"/>
      <c r="I6" s="18"/>
      <c r="J6" s="18"/>
      <c r="K6" s="18"/>
      <c r="L6" s="18"/>
      <c r="S6" s="19"/>
      <c r="T6" s="19"/>
      <c r="U6" s="20"/>
      <c r="V6" s="20"/>
      <c r="W6" s="20"/>
    </row>
    <row r="7" spans="1:23" ht="30" customHeight="1">
      <c r="A7" s="195" t="s">
        <v>26</v>
      </c>
      <c r="B7" s="192"/>
      <c r="C7" s="192"/>
      <c r="D7" s="192"/>
      <c r="E7" s="192"/>
      <c r="F7" s="193"/>
      <c r="G7" s="18"/>
      <c r="H7" s="18"/>
      <c r="I7" s="18"/>
      <c r="J7" s="18"/>
      <c r="K7" s="18"/>
      <c r="L7" s="18"/>
      <c r="S7" s="19"/>
      <c r="T7" s="19"/>
      <c r="U7" s="20"/>
      <c r="V7" s="20"/>
      <c r="W7" s="20"/>
    </row>
    <row r="8" spans="1:23" ht="31.5" customHeight="1">
      <c r="A8" s="195" t="s">
        <v>27</v>
      </c>
      <c r="B8" s="192"/>
      <c r="C8" s="192"/>
      <c r="D8" s="192"/>
      <c r="E8" s="192"/>
      <c r="F8" s="193"/>
      <c r="G8" s="18"/>
      <c r="H8" s="18"/>
      <c r="I8" s="18"/>
      <c r="J8" s="18"/>
      <c r="K8" s="18"/>
      <c r="L8" s="18"/>
      <c r="S8" s="19"/>
      <c r="T8" s="19"/>
      <c r="U8" s="20"/>
      <c r="V8" s="20"/>
      <c r="W8" s="20"/>
    </row>
    <row r="9" spans="1:23" ht="68.25" customHeight="1">
      <c r="A9" s="206" t="s">
        <v>28</v>
      </c>
      <c r="B9" s="184"/>
      <c r="C9" s="184"/>
      <c r="D9" s="184"/>
      <c r="E9" s="184"/>
      <c r="F9" s="185"/>
      <c r="G9" s="18"/>
      <c r="H9" s="18"/>
      <c r="I9" s="18"/>
      <c r="J9" s="18"/>
      <c r="K9" s="18"/>
      <c r="L9" s="18"/>
      <c r="S9" s="19"/>
      <c r="T9" s="19"/>
      <c r="U9" s="20"/>
      <c r="V9" s="20"/>
      <c r="W9" s="20"/>
    </row>
    <row r="10" spans="1:23" ht="93.75" customHeight="1">
      <c r="A10" s="207" t="s">
        <v>29</v>
      </c>
      <c r="B10" s="189"/>
      <c r="C10" s="189"/>
      <c r="D10" s="189"/>
      <c r="E10" s="189"/>
      <c r="F10" s="190"/>
      <c r="G10" s="18"/>
      <c r="H10" s="18"/>
      <c r="I10" s="18"/>
      <c r="J10" s="18"/>
      <c r="K10" s="18"/>
      <c r="L10" s="18"/>
      <c r="S10" s="20"/>
      <c r="T10" s="20"/>
      <c r="U10" s="20"/>
      <c r="V10" s="20"/>
      <c r="W10" s="20"/>
    </row>
    <row r="11" spans="1:23" ht="17.25" customHeight="1">
      <c r="A11" s="205" t="s">
        <v>30</v>
      </c>
      <c r="B11" s="202"/>
      <c r="C11" s="202"/>
      <c r="D11" s="202"/>
      <c r="E11" s="202"/>
      <c r="F11" s="203"/>
      <c r="G11" s="18"/>
      <c r="H11" s="18"/>
      <c r="I11" s="18"/>
      <c r="J11" s="18"/>
      <c r="K11" s="18"/>
      <c r="L11" s="18"/>
      <c r="S11" s="20"/>
      <c r="T11" s="20"/>
      <c r="U11" s="20"/>
      <c r="V11" s="20"/>
      <c r="W11" s="20"/>
    </row>
    <row r="12" spans="1:23" ht="20.25" customHeight="1">
      <c r="A12" s="205" t="s">
        <v>31</v>
      </c>
      <c r="B12" s="202"/>
      <c r="C12" s="202"/>
      <c r="D12" s="202"/>
      <c r="E12" s="202"/>
      <c r="F12" s="203"/>
      <c r="G12" s="18"/>
      <c r="H12" s="18"/>
      <c r="I12" s="18"/>
      <c r="J12" s="18"/>
      <c r="K12" s="18"/>
      <c r="L12" s="18"/>
      <c r="S12" s="20"/>
      <c r="T12" s="20"/>
      <c r="U12" s="20"/>
      <c r="V12" s="20"/>
      <c r="W12" s="20"/>
    </row>
    <row r="13" spans="1:23" ht="29.25" customHeight="1">
      <c r="A13" s="201" t="s">
        <v>32</v>
      </c>
      <c r="B13" s="202"/>
      <c r="C13" s="202"/>
      <c r="D13" s="202"/>
      <c r="E13" s="202"/>
      <c r="F13" s="203"/>
      <c r="G13" s="18"/>
      <c r="H13" s="18"/>
      <c r="I13" s="18"/>
      <c r="J13" s="18"/>
      <c r="K13" s="18"/>
      <c r="L13" s="18"/>
      <c r="S13" s="20"/>
      <c r="T13" s="20"/>
      <c r="U13" s="20"/>
      <c r="V13" s="20"/>
      <c r="W13" s="20"/>
    </row>
    <row r="14" spans="1:23" ht="26.25" customHeight="1">
      <c r="A14" s="204" t="s">
        <v>33</v>
      </c>
      <c r="B14" s="202"/>
      <c r="C14" s="202"/>
      <c r="D14" s="202"/>
      <c r="E14" s="202"/>
      <c r="F14" s="203"/>
      <c r="G14" s="18"/>
      <c r="H14" s="18"/>
      <c r="I14" s="18"/>
      <c r="J14" s="18"/>
      <c r="K14" s="18"/>
      <c r="L14" s="18"/>
      <c r="S14" s="20"/>
      <c r="T14" s="20"/>
      <c r="U14" s="20"/>
      <c r="V14" s="20"/>
      <c r="W14" s="20"/>
    </row>
    <row r="15" spans="1:23" ht="24.75" customHeight="1">
      <c r="A15" s="205" t="s">
        <v>34</v>
      </c>
      <c r="B15" s="202"/>
      <c r="C15" s="202"/>
      <c r="D15" s="202"/>
      <c r="E15" s="202"/>
      <c r="F15" s="203"/>
      <c r="G15" s="18"/>
      <c r="H15" s="18"/>
      <c r="I15" s="18"/>
      <c r="J15" s="18"/>
      <c r="K15" s="18"/>
      <c r="L15" s="18"/>
      <c r="S15" s="20"/>
      <c r="T15" s="20"/>
      <c r="U15" s="20"/>
      <c r="V15" s="20"/>
      <c r="W15" s="20"/>
    </row>
    <row r="16" spans="1:23" ht="24.75" customHeight="1">
      <c r="A16" s="205" t="s">
        <v>35</v>
      </c>
      <c r="B16" s="202"/>
      <c r="C16" s="202"/>
      <c r="D16" s="202"/>
      <c r="E16" s="202"/>
      <c r="F16" s="203"/>
      <c r="G16" s="18"/>
      <c r="H16" s="18"/>
      <c r="I16" s="18"/>
      <c r="J16" s="18"/>
      <c r="K16" s="18"/>
      <c r="L16" s="18"/>
      <c r="S16" s="20"/>
      <c r="T16" s="20"/>
      <c r="U16" s="20"/>
      <c r="V16" s="20"/>
      <c r="W16" s="20"/>
    </row>
    <row r="17" spans="1:23" ht="24.75" customHeight="1">
      <c r="A17" s="197" t="s">
        <v>36</v>
      </c>
      <c r="B17" s="192"/>
      <c r="C17" s="192"/>
      <c r="D17" s="192"/>
      <c r="E17" s="192"/>
      <c r="F17" s="193"/>
      <c r="G17" s="18"/>
      <c r="H17" s="18"/>
      <c r="I17" s="18"/>
      <c r="J17" s="18"/>
      <c r="K17" s="18"/>
      <c r="L17" s="18"/>
      <c r="S17" s="20"/>
      <c r="T17" s="20"/>
      <c r="U17" s="20"/>
      <c r="V17" s="20"/>
      <c r="W17" s="20"/>
    </row>
    <row r="18" spans="1:23" ht="18.75" customHeight="1">
      <c r="A18" s="21" t="s">
        <v>37</v>
      </c>
      <c r="B18" s="22"/>
      <c r="C18" s="22"/>
      <c r="D18" s="22"/>
      <c r="E18" s="22"/>
      <c r="F18" s="23"/>
      <c r="G18" s="18"/>
      <c r="H18" s="18"/>
      <c r="I18" s="18"/>
      <c r="J18" s="18"/>
      <c r="K18" s="18"/>
      <c r="L18" s="18"/>
      <c r="S18" s="20"/>
      <c r="T18" s="20"/>
      <c r="U18" s="20"/>
      <c r="V18" s="20"/>
      <c r="W18" s="20"/>
    </row>
    <row r="19" spans="1:23" ht="13">
      <c r="A19" s="24" t="s">
        <v>38</v>
      </c>
      <c r="B19" s="24" t="s">
        <v>39</v>
      </c>
      <c r="C19" s="24" t="s">
        <v>40</v>
      </c>
      <c r="D19" s="24" t="s">
        <v>41</v>
      </c>
      <c r="E19" s="24" t="s">
        <v>42</v>
      </c>
      <c r="F19" s="24" t="s">
        <v>43</v>
      </c>
      <c r="G19" s="25" t="s">
        <v>44</v>
      </c>
      <c r="H19" s="25" t="s">
        <v>45</v>
      </c>
      <c r="I19" s="25" t="s">
        <v>46</v>
      </c>
      <c r="J19" s="25" t="s">
        <v>47</v>
      </c>
      <c r="K19" s="25" t="s">
        <v>48</v>
      </c>
      <c r="L19" s="25" t="s">
        <v>49</v>
      </c>
      <c r="M19" s="25" t="s">
        <v>50</v>
      </c>
      <c r="N19" s="25" t="s">
        <v>51</v>
      </c>
      <c r="O19" s="25" t="s">
        <v>52</v>
      </c>
      <c r="P19" s="25" t="s">
        <v>53</v>
      </c>
      <c r="Q19" s="25" t="s">
        <v>54</v>
      </c>
      <c r="R19" s="25" t="s">
        <v>55</v>
      </c>
      <c r="S19" s="25" t="s">
        <v>56</v>
      </c>
      <c r="T19" s="25" t="s">
        <v>57</v>
      </c>
      <c r="U19" s="25" t="s">
        <v>58</v>
      </c>
      <c r="V19" s="25" t="s">
        <v>59</v>
      </c>
      <c r="W19" s="25" t="s">
        <v>60</v>
      </c>
    </row>
    <row r="20" spans="1:23" ht="64">
      <c r="A20" s="26" t="s">
        <v>61</v>
      </c>
      <c r="B20" s="26" t="s">
        <v>62</v>
      </c>
      <c r="C20" s="26" t="s">
        <v>63</v>
      </c>
      <c r="D20" s="26" t="s">
        <v>64</v>
      </c>
      <c r="E20" s="26" t="s">
        <v>65</v>
      </c>
      <c r="F20" s="26" t="s">
        <v>376</v>
      </c>
      <c r="G20" s="27" t="s">
        <v>66</v>
      </c>
      <c r="H20" s="27" t="s">
        <v>67</v>
      </c>
      <c r="I20" s="198" t="s">
        <v>68</v>
      </c>
      <c r="J20" s="184"/>
      <c r="K20" s="184"/>
      <c r="L20" s="185"/>
      <c r="M20" s="26" t="s">
        <v>69</v>
      </c>
      <c r="N20" s="26" t="s">
        <v>70</v>
      </c>
      <c r="O20" s="26" t="s">
        <v>71</v>
      </c>
      <c r="P20" s="26" t="s">
        <v>72</v>
      </c>
      <c r="Q20" s="26" t="s">
        <v>73</v>
      </c>
      <c r="R20" s="26" t="s">
        <v>74</v>
      </c>
      <c r="S20" s="26" t="s">
        <v>75</v>
      </c>
      <c r="T20" s="26" t="s">
        <v>76</v>
      </c>
      <c r="U20" s="26" t="s">
        <v>77</v>
      </c>
      <c r="V20" s="26" t="s">
        <v>78</v>
      </c>
      <c r="W20" s="26" t="s">
        <v>79</v>
      </c>
    </row>
    <row r="21" spans="1:23" ht="75">
      <c r="A21" s="28">
        <v>1</v>
      </c>
      <c r="B21" s="29" t="s">
        <v>80</v>
      </c>
      <c r="C21" s="28">
        <f>3820*2</f>
        <v>7640</v>
      </c>
      <c r="D21" s="30">
        <v>0.11020000000000001</v>
      </c>
      <c r="E21" s="30">
        <v>0.88980000000000004</v>
      </c>
      <c r="F21" s="31" t="s">
        <v>81</v>
      </c>
      <c r="G21" s="32">
        <v>1</v>
      </c>
      <c r="H21" s="32">
        <v>0</v>
      </c>
      <c r="I21" s="199" t="s">
        <v>82</v>
      </c>
      <c r="J21" s="184"/>
      <c r="K21" s="184"/>
      <c r="L21" s="185"/>
      <c r="M21" s="33" t="s">
        <v>83</v>
      </c>
      <c r="N21" s="34" t="s">
        <v>84</v>
      </c>
      <c r="O21" s="34" t="s">
        <v>85</v>
      </c>
      <c r="P21" s="34" t="s">
        <v>86</v>
      </c>
      <c r="Q21" s="34" t="s">
        <v>86</v>
      </c>
      <c r="R21" s="34" t="s">
        <v>86</v>
      </c>
      <c r="S21" s="35" t="s">
        <v>87</v>
      </c>
      <c r="T21" s="36" t="s">
        <v>88</v>
      </c>
      <c r="U21" s="37"/>
      <c r="V21" s="37"/>
      <c r="W21" s="38" t="s">
        <v>89</v>
      </c>
    </row>
    <row r="22" spans="1:23" ht="37.5">
      <c r="A22" s="39">
        <v>2</v>
      </c>
      <c r="B22" s="40" t="s">
        <v>90</v>
      </c>
      <c r="C22" s="39">
        <f>421*2</f>
        <v>842</v>
      </c>
      <c r="D22" s="41">
        <f>C23/C22</f>
        <v>0.93586698337292162</v>
      </c>
      <c r="E22" s="41">
        <f>1-D22</f>
        <v>6.4133016627078376E-2</v>
      </c>
      <c r="F22" s="41">
        <f>1-C22/C21</f>
        <v>0.88979057591623034</v>
      </c>
      <c r="G22" s="42">
        <v>1</v>
      </c>
      <c r="H22" s="42">
        <v>1</v>
      </c>
      <c r="I22" s="200" t="s">
        <v>316</v>
      </c>
      <c r="J22" s="184"/>
      <c r="K22" s="184"/>
      <c r="L22" s="185"/>
      <c r="M22" s="43" t="s">
        <v>317</v>
      </c>
      <c r="N22" s="44" t="s">
        <v>318</v>
      </c>
      <c r="O22" s="45" t="s">
        <v>319</v>
      </c>
      <c r="P22" s="44" t="s">
        <v>320</v>
      </c>
      <c r="Q22" s="44" t="s">
        <v>320</v>
      </c>
      <c r="R22" s="44" t="s">
        <v>320</v>
      </c>
      <c r="S22" s="46" t="s">
        <v>321</v>
      </c>
      <c r="T22" s="47"/>
      <c r="U22" s="48"/>
      <c r="V22" s="48"/>
      <c r="W22" s="182" t="s">
        <v>428</v>
      </c>
    </row>
    <row r="23" spans="1:23" ht="62.5">
      <c r="A23" s="39">
        <v>3</v>
      </c>
      <c r="B23" s="40" t="s">
        <v>91</v>
      </c>
      <c r="C23" s="39">
        <f>394*2</f>
        <v>788</v>
      </c>
      <c r="D23" s="41">
        <f t="shared" ref="D23:D28" si="0">C24/C23</f>
        <v>0.97208121827411165</v>
      </c>
      <c r="E23" s="41">
        <f t="shared" ref="E23:E28" si="1">1-D23</f>
        <v>2.7918781725888353E-2</v>
      </c>
      <c r="F23" s="41">
        <f>1-C23/$C$22</f>
        <v>6.4133016627078376E-2</v>
      </c>
      <c r="G23" s="42">
        <v>1</v>
      </c>
      <c r="H23" s="42">
        <v>0</v>
      </c>
      <c r="I23" s="196" t="s">
        <v>322</v>
      </c>
      <c r="J23" s="184"/>
      <c r="K23" s="184"/>
      <c r="L23" s="185"/>
      <c r="M23" s="43" t="s">
        <v>323</v>
      </c>
      <c r="N23" s="44" t="s">
        <v>324</v>
      </c>
      <c r="O23" s="44" t="s">
        <v>324</v>
      </c>
      <c r="P23" s="44" t="s">
        <v>320</v>
      </c>
      <c r="Q23" s="44" t="s">
        <v>320</v>
      </c>
      <c r="R23" s="44" t="s">
        <v>320</v>
      </c>
      <c r="S23" s="46" t="s">
        <v>321</v>
      </c>
      <c r="T23" s="47"/>
      <c r="U23" s="47"/>
      <c r="V23" s="53"/>
      <c r="W23" s="54" t="s">
        <v>429</v>
      </c>
    </row>
    <row r="24" spans="1:23" ht="50">
      <c r="A24" s="39">
        <v>4</v>
      </c>
      <c r="B24" s="40" t="s">
        <v>92</v>
      </c>
      <c r="C24" s="39">
        <f>383*2</f>
        <v>766</v>
      </c>
      <c r="D24" s="41">
        <f t="shared" si="0"/>
        <v>0.96866840731070492</v>
      </c>
      <c r="E24" s="41">
        <f t="shared" si="1"/>
        <v>3.1331592689295085E-2</v>
      </c>
      <c r="F24" s="41">
        <f>1-C24/$C$22</f>
        <v>9.0261282660332509E-2</v>
      </c>
      <c r="G24" s="42">
        <v>1</v>
      </c>
      <c r="H24" s="42">
        <v>0</v>
      </c>
      <c r="I24" s="196" t="s">
        <v>325</v>
      </c>
      <c r="J24" s="184"/>
      <c r="K24" s="184"/>
      <c r="L24" s="185"/>
      <c r="M24" s="50" t="s">
        <v>326</v>
      </c>
      <c r="N24" s="51" t="s">
        <v>324</v>
      </c>
      <c r="O24" s="52" t="s">
        <v>324</v>
      </c>
      <c r="P24" s="52" t="s">
        <v>320</v>
      </c>
      <c r="Q24" s="52" t="s">
        <v>320</v>
      </c>
      <c r="R24" s="52" t="s">
        <v>327</v>
      </c>
      <c r="S24" s="46" t="s">
        <v>328</v>
      </c>
      <c r="T24" s="47" t="s">
        <v>329</v>
      </c>
      <c r="U24" s="53"/>
      <c r="V24" s="53"/>
      <c r="W24" s="54" t="s">
        <v>430</v>
      </c>
    </row>
    <row r="25" spans="1:23" ht="50">
      <c r="A25" s="39">
        <v>5</v>
      </c>
      <c r="B25" s="40" t="s">
        <v>93</v>
      </c>
      <c r="C25" s="39">
        <f>371*2</f>
        <v>742</v>
      </c>
      <c r="D25" s="41">
        <f t="shared" si="0"/>
        <v>0.98921832884097038</v>
      </c>
      <c r="E25" s="41">
        <f t="shared" si="1"/>
        <v>1.0781671159029615E-2</v>
      </c>
      <c r="F25" s="41">
        <f t="shared" ref="F25:F28" si="2">1-C25/$C$22</f>
        <v>0.11876484560570066</v>
      </c>
      <c r="G25" s="42">
        <v>1</v>
      </c>
      <c r="H25" s="42">
        <v>3</v>
      </c>
      <c r="I25" s="196" t="s">
        <v>330</v>
      </c>
      <c r="J25" s="184"/>
      <c r="K25" s="184"/>
      <c r="L25" s="185"/>
      <c r="M25" s="50" t="s">
        <v>331</v>
      </c>
      <c r="N25" s="52" t="s">
        <v>332</v>
      </c>
      <c r="O25" s="51" t="s">
        <v>333</v>
      </c>
      <c r="P25" s="51" t="s">
        <v>320</v>
      </c>
      <c r="Q25" s="52" t="s">
        <v>320</v>
      </c>
      <c r="R25" s="52" t="s">
        <v>334</v>
      </c>
      <c r="S25" s="46" t="s">
        <v>321</v>
      </c>
      <c r="T25" s="48"/>
      <c r="U25" s="48"/>
      <c r="V25" s="48"/>
      <c r="W25" s="182" t="s">
        <v>431</v>
      </c>
    </row>
    <row r="26" spans="1:23" ht="12.5">
      <c r="A26" s="39">
        <v>6</v>
      </c>
      <c r="B26" s="40" t="s">
        <v>94</v>
      </c>
      <c r="C26" s="39">
        <f>367*2</f>
        <v>734</v>
      </c>
      <c r="D26" s="41">
        <f t="shared" si="0"/>
        <v>0.86376021798365121</v>
      </c>
      <c r="E26" s="41">
        <f t="shared" si="1"/>
        <v>0.13623978201634879</v>
      </c>
      <c r="F26" s="41">
        <f t="shared" si="2"/>
        <v>0.12826603325415675</v>
      </c>
      <c r="G26" s="42">
        <v>1</v>
      </c>
      <c r="H26" s="42">
        <v>1</v>
      </c>
      <c r="I26" s="196" t="s">
        <v>335</v>
      </c>
      <c r="J26" s="184"/>
      <c r="K26" s="184"/>
      <c r="L26" s="185"/>
      <c r="M26" s="50" t="s">
        <v>331</v>
      </c>
      <c r="N26" s="52" t="s">
        <v>336</v>
      </c>
      <c r="O26" s="52" t="s">
        <v>337</v>
      </c>
      <c r="P26" s="52" t="s">
        <v>320</v>
      </c>
      <c r="Q26" s="52" t="s">
        <v>320</v>
      </c>
      <c r="R26" s="52" t="s">
        <v>86</v>
      </c>
      <c r="S26" s="46" t="s">
        <v>87</v>
      </c>
      <c r="T26" s="48"/>
      <c r="U26" s="48"/>
      <c r="V26" s="48"/>
      <c r="W26" s="49"/>
    </row>
    <row r="27" spans="1:23" ht="12.5">
      <c r="A27" s="39">
        <v>7</v>
      </c>
      <c r="B27" s="40" t="s">
        <v>95</v>
      </c>
      <c r="C27" s="39">
        <f>317*2</f>
        <v>634</v>
      </c>
      <c r="D27" s="41">
        <f t="shared" si="0"/>
        <v>0.96845425867507884</v>
      </c>
      <c r="E27" s="41">
        <f t="shared" si="1"/>
        <v>3.1545741324921162E-2</v>
      </c>
      <c r="F27" s="41">
        <f t="shared" si="2"/>
        <v>0.24703087885985753</v>
      </c>
      <c r="G27" s="42">
        <v>1</v>
      </c>
      <c r="H27" s="42">
        <v>3</v>
      </c>
      <c r="I27" s="196" t="s">
        <v>338</v>
      </c>
      <c r="J27" s="184"/>
      <c r="K27" s="184"/>
      <c r="L27" s="185"/>
      <c r="M27" s="50" t="s">
        <v>339</v>
      </c>
      <c r="N27" s="51" t="s">
        <v>340</v>
      </c>
      <c r="O27" s="52" t="s">
        <v>341</v>
      </c>
      <c r="P27" s="52" t="s">
        <v>320</v>
      </c>
      <c r="Q27" s="52" t="s">
        <v>320</v>
      </c>
      <c r="R27" s="52" t="s">
        <v>320</v>
      </c>
      <c r="S27" s="46" t="s">
        <v>321</v>
      </c>
      <c r="T27" s="48"/>
      <c r="U27" s="48"/>
      <c r="V27" s="48"/>
      <c r="W27" s="54"/>
    </row>
    <row r="28" spans="1:23" ht="12.5">
      <c r="A28" s="39">
        <v>8</v>
      </c>
      <c r="B28" s="40" t="s">
        <v>96</v>
      </c>
      <c r="C28" s="39">
        <f>307*2</f>
        <v>614</v>
      </c>
      <c r="D28" s="41">
        <f t="shared" si="0"/>
        <v>0.92182410423452765</v>
      </c>
      <c r="E28" s="41">
        <f t="shared" si="1"/>
        <v>7.8175895765472347E-2</v>
      </c>
      <c r="F28" s="41">
        <f t="shared" si="2"/>
        <v>0.27078384798099764</v>
      </c>
      <c r="G28" s="42">
        <v>1</v>
      </c>
      <c r="H28" s="42">
        <v>1</v>
      </c>
      <c r="I28" s="196" t="s">
        <v>342</v>
      </c>
      <c r="J28" s="184"/>
      <c r="K28" s="184"/>
      <c r="L28" s="185"/>
      <c r="M28" s="50" t="s">
        <v>331</v>
      </c>
      <c r="N28" s="52" t="s">
        <v>343</v>
      </c>
      <c r="O28" s="52" t="s">
        <v>344</v>
      </c>
      <c r="P28" s="52" t="s">
        <v>320</v>
      </c>
      <c r="Q28" s="52" t="s">
        <v>320</v>
      </c>
      <c r="R28" s="52" t="s">
        <v>320</v>
      </c>
      <c r="S28" s="47" t="s">
        <v>320</v>
      </c>
      <c r="T28" s="48"/>
      <c r="U28" s="48"/>
      <c r="V28" s="48"/>
      <c r="W28" s="47"/>
    </row>
    <row r="29" spans="1:23" ht="25">
      <c r="A29" s="39">
        <v>9</v>
      </c>
      <c r="B29" s="40" t="s">
        <v>97</v>
      </c>
      <c r="C29" s="39">
        <f>283*2</f>
        <v>566</v>
      </c>
      <c r="D29" s="55">
        <f>C30/C29</f>
        <v>1</v>
      </c>
      <c r="E29" s="56">
        <f>1-D29</f>
        <v>0</v>
      </c>
      <c r="F29" s="41"/>
      <c r="G29" s="42">
        <v>4</v>
      </c>
      <c r="H29" s="42" t="s">
        <v>348</v>
      </c>
      <c r="I29" s="196" t="s">
        <v>345</v>
      </c>
      <c r="J29" s="184"/>
      <c r="K29" s="184"/>
      <c r="L29" s="185"/>
      <c r="M29" s="50" t="s">
        <v>331</v>
      </c>
      <c r="N29" s="51" t="s">
        <v>346</v>
      </c>
      <c r="O29" s="51" t="s">
        <v>347</v>
      </c>
      <c r="P29" s="51" t="s">
        <v>320</v>
      </c>
      <c r="Q29" s="52" t="s">
        <v>320</v>
      </c>
      <c r="R29" s="52" t="s">
        <v>320</v>
      </c>
      <c r="S29" s="47" t="s">
        <v>320</v>
      </c>
      <c r="T29" s="53"/>
      <c r="U29" s="53"/>
      <c r="V29" s="48"/>
      <c r="W29" s="47"/>
    </row>
    <row r="30" spans="1:23" ht="12.5">
      <c r="A30" s="57">
        <v>10</v>
      </c>
      <c r="B30" s="58" t="s">
        <v>98</v>
      </c>
      <c r="C30" s="59">
        <f>C29</f>
        <v>566</v>
      </c>
      <c r="D30" s="20"/>
      <c r="E30" s="60"/>
      <c r="F30" s="61"/>
      <c r="G30" s="62"/>
      <c r="H30" s="62"/>
      <c r="I30" s="20"/>
      <c r="J30" s="20"/>
      <c r="K30" s="20"/>
      <c r="L30" s="20"/>
      <c r="M30" s="20"/>
      <c r="N30" s="20"/>
      <c r="O30" s="20"/>
      <c r="P30" s="20"/>
      <c r="Q30" s="20"/>
      <c r="R30" s="20"/>
      <c r="S30" s="20"/>
      <c r="T30" s="20"/>
      <c r="U30" s="20"/>
      <c r="V30" s="20"/>
      <c r="W30" s="20"/>
    </row>
    <row r="31" spans="1:23" ht="12.5">
      <c r="A31" s="20"/>
      <c r="B31" s="20"/>
      <c r="C31" s="20"/>
      <c r="D31" s="20"/>
      <c r="E31" s="63"/>
      <c r="F31" s="58" t="s">
        <v>99</v>
      </c>
      <c r="G31" s="58" t="s">
        <v>100</v>
      </c>
      <c r="H31" s="58" t="s">
        <v>100</v>
      </c>
      <c r="I31" s="20"/>
      <c r="J31" s="20"/>
      <c r="K31" s="20"/>
      <c r="L31" s="20"/>
      <c r="M31" s="20"/>
      <c r="N31" s="20"/>
      <c r="O31" s="20"/>
      <c r="P31" s="20"/>
      <c r="Q31" s="20"/>
      <c r="R31" s="20"/>
      <c r="S31" s="20"/>
      <c r="T31" s="20"/>
      <c r="U31" s="20"/>
      <c r="V31" s="20"/>
      <c r="W31" s="20"/>
    </row>
    <row r="32" spans="1:23" ht="12.5">
      <c r="A32" s="20"/>
      <c r="B32" s="20"/>
      <c r="C32" s="20"/>
      <c r="D32" s="20"/>
      <c r="E32" s="63"/>
      <c r="F32" s="64">
        <f>AVERAGE(F22:F28)</f>
        <v>0.2584329258434791</v>
      </c>
      <c r="G32" s="65">
        <f>SUM(G21:G29)</f>
        <v>12</v>
      </c>
      <c r="H32" s="65">
        <f>SUM(H21:H28)</f>
        <v>9</v>
      </c>
      <c r="I32" s="20"/>
      <c r="J32" s="20"/>
      <c r="K32" s="20"/>
      <c r="L32" s="20"/>
      <c r="M32" s="20"/>
      <c r="N32" s="20"/>
      <c r="O32" s="20"/>
      <c r="P32" s="20"/>
      <c r="Q32" s="20"/>
      <c r="R32" s="20"/>
      <c r="S32" s="20"/>
      <c r="T32" s="20"/>
      <c r="U32" s="20"/>
      <c r="V32" s="20"/>
      <c r="W32" s="20"/>
    </row>
    <row r="33" spans="1:23" ht="12.5">
      <c r="A33" s="20"/>
      <c r="B33" s="20"/>
      <c r="C33" s="20"/>
      <c r="D33" s="20"/>
      <c r="E33" s="20"/>
      <c r="F33" s="20"/>
      <c r="G33" s="20"/>
      <c r="H33" s="20"/>
      <c r="I33" s="20"/>
      <c r="J33" s="20"/>
      <c r="K33" s="20"/>
      <c r="L33" s="20"/>
      <c r="M33" s="20"/>
      <c r="N33" s="20"/>
      <c r="O33" s="20"/>
      <c r="P33" s="20"/>
      <c r="Q33" s="20"/>
      <c r="R33" s="20"/>
      <c r="S33" s="20"/>
      <c r="T33" s="20"/>
      <c r="U33" s="20"/>
      <c r="V33" s="20"/>
      <c r="W33" s="20"/>
    </row>
  </sheetData>
  <mergeCells count="25">
    <mergeCell ref="A1:W2"/>
    <mergeCell ref="A3:F4"/>
    <mergeCell ref="A5:F5"/>
    <mergeCell ref="A6:F6"/>
    <mergeCell ref="A7:F7"/>
    <mergeCell ref="A8:F8"/>
    <mergeCell ref="A9:F9"/>
    <mergeCell ref="A10:F10"/>
    <mergeCell ref="A11:F11"/>
    <mergeCell ref="A12:F12"/>
    <mergeCell ref="A13:F13"/>
    <mergeCell ref="A14:F14"/>
    <mergeCell ref="A15:F15"/>
    <mergeCell ref="A16:F16"/>
    <mergeCell ref="I26:L26"/>
    <mergeCell ref="I27:L27"/>
    <mergeCell ref="I28:L28"/>
    <mergeCell ref="I29:L29"/>
    <mergeCell ref="A17:F17"/>
    <mergeCell ref="I20:L20"/>
    <mergeCell ref="I21:L21"/>
    <mergeCell ref="I22:L22"/>
    <mergeCell ref="I23:L23"/>
    <mergeCell ref="I24:L24"/>
    <mergeCell ref="I25:L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23"/>
  <sheetViews>
    <sheetView showGridLines="0" topLeftCell="H15" zoomScale="70" zoomScaleNormal="70" workbookViewId="0">
      <selection activeCell="R20" sqref="R20"/>
    </sheetView>
  </sheetViews>
  <sheetFormatPr defaultColWidth="14.453125" defaultRowHeight="15.75" customHeight="1"/>
  <cols>
    <col min="2" max="2" width="59.08984375" customWidth="1"/>
    <col min="3" max="3" width="21.7265625" customWidth="1"/>
    <col min="4" max="4" width="44.54296875" customWidth="1"/>
    <col min="5" max="5" width="43.7265625" customWidth="1"/>
    <col min="6" max="6" width="44.54296875" customWidth="1"/>
    <col min="7" max="7" width="43.26953125" customWidth="1"/>
    <col min="8" max="8" width="43.81640625" customWidth="1"/>
    <col min="9" max="9" width="29.453125" customWidth="1"/>
    <col min="10" max="10" width="23" customWidth="1"/>
    <col min="11" max="11" width="28.453125" customWidth="1"/>
    <col min="12" max="12" width="28.54296875" customWidth="1"/>
    <col min="13" max="13" width="16.08984375" customWidth="1"/>
  </cols>
  <sheetData>
    <row r="1" spans="1:16" ht="12.5">
      <c r="A1" s="208" t="s">
        <v>12</v>
      </c>
      <c r="B1" s="189"/>
      <c r="C1" s="189"/>
      <c r="D1" s="189"/>
      <c r="E1" s="189"/>
      <c r="F1" s="189"/>
      <c r="G1" s="189"/>
      <c r="H1" s="189"/>
      <c r="I1" s="189"/>
      <c r="J1" s="189"/>
      <c r="K1" s="189"/>
      <c r="L1" s="189"/>
      <c r="M1" s="189"/>
      <c r="N1" s="189"/>
      <c r="O1" s="189"/>
      <c r="P1" s="190"/>
    </row>
    <row r="2" spans="1:16" ht="12.5">
      <c r="A2" s="191"/>
      <c r="B2" s="192"/>
      <c r="C2" s="192"/>
      <c r="D2" s="192"/>
      <c r="E2" s="192"/>
      <c r="F2" s="192"/>
      <c r="G2" s="192"/>
      <c r="H2" s="192"/>
      <c r="I2" s="192"/>
      <c r="J2" s="192"/>
      <c r="K2" s="192"/>
      <c r="L2" s="192"/>
      <c r="M2" s="192"/>
      <c r="N2" s="192"/>
      <c r="O2" s="192"/>
      <c r="P2" s="193"/>
    </row>
    <row r="3" spans="1:16" ht="13">
      <c r="A3" s="207" t="s">
        <v>101</v>
      </c>
      <c r="B3" s="189"/>
      <c r="C3" s="189"/>
      <c r="D3" s="189"/>
      <c r="E3" s="189"/>
      <c r="F3" s="190"/>
      <c r="K3" s="19"/>
      <c r="L3" s="19"/>
      <c r="M3" s="20"/>
      <c r="N3" s="20"/>
      <c r="O3" s="20"/>
      <c r="P3" s="20"/>
    </row>
    <row r="4" spans="1:16" ht="13">
      <c r="A4" s="207" t="s">
        <v>102</v>
      </c>
      <c r="B4" s="189"/>
      <c r="C4" s="189"/>
      <c r="D4" s="189"/>
      <c r="E4" s="189"/>
      <c r="F4" s="190"/>
      <c r="K4" s="19"/>
      <c r="L4" s="19"/>
      <c r="M4" s="18"/>
      <c r="N4" s="20"/>
      <c r="O4" s="20"/>
      <c r="P4" s="20"/>
    </row>
    <row r="5" spans="1:16" ht="12.5">
      <c r="A5" s="210" t="s">
        <v>103</v>
      </c>
      <c r="B5" s="189"/>
      <c r="C5" s="189"/>
      <c r="D5" s="189"/>
      <c r="E5" s="189"/>
      <c r="F5" s="190"/>
      <c r="K5" s="20"/>
      <c r="L5" s="20"/>
      <c r="M5" s="20"/>
      <c r="N5" s="20"/>
      <c r="O5" s="20"/>
      <c r="P5" s="20"/>
    </row>
    <row r="6" spans="1:16" ht="15" customHeight="1">
      <c r="A6" s="209" t="s">
        <v>104</v>
      </c>
      <c r="B6" s="202"/>
      <c r="C6" s="202"/>
      <c r="D6" s="202"/>
      <c r="E6" s="202"/>
      <c r="F6" s="203"/>
      <c r="K6" s="20"/>
      <c r="L6" s="20"/>
      <c r="M6" s="20"/>
      <c r="N6" s="20"/>
      <c r="O6" s="20"/>
      <c r="P6" s="20"/>
    </row>
    <row r="7" spans="1:16" ht="15" customHeight="1">
      <c r="A7" s="209" t="s">
        <v>105</v>
      </c>
      <c r="B7" s="202"/>
      <c r="C7" s="202"/>
      <c r="D7" s="202"/>
      <c r="E7" s="202"/>
      <c r="F7" s="203"/>
      <c r="K7" s="20"/>
      <c r="L7" s="20"/>
      <c r="M7" s="20"/>
      <c r="N7" s="20"/>
      <c r="O7" s="20"/>
      <c r="P7" s="20"/>
    </row>
    <row r="8" spans="1:16" ht="15" customHeight="1">
      <c r="A8" s="209" t="s">
        <v>106</v>
      </c>
      <c r="B8" s="202"/>
      <c r="C8" s="202"/>
      <c r="D8" s="202"/>
      <c r="E8" s="202"/>
      <c r="F8" s="203"/>
      <c r="K8" s="20"/>
      <c r="L8" s="20"/>
      <c r="M8" s="20"/>
      <c r="N8" s="20"/>
      <c r="O8" s="20"/>
      <c r="P8" s="20"/>
    </row>
    <row r="9" spans="1:16" ht="15" customHeight="1">
      <c r="A9" s="209" t="s">
        <v>107</v>
      </c>
      <c r="B9" s="202"/>
      <c r="C9" s="202"/>
      <c r="D9" s="202"/>
      <c r="E9" s="202"/>
      <c r="F9" s="203"/>
      <c r="K9" s="20"/>
      <c r="L9" s="20"/>
      <c r="M9" s="20"/>
      <c r="N9" s="20"/>
      <c r="O9" s="20"/>
      <c r="P9" s="20"/>
    </row>
    <row r="10" spans="1:16" ht="15" customHeight="1">
      <c r="A10" s="209" t="s">
        <v>108</v>
      </c>
      <c r="B10" s="202"/>
      <c r="C10" s="202"/>
      <c r="D10" s="202"/>
      <c r="E10" s="202"/>
      <c r="F10" s="203"/>
      <c r="K10" s="20"/>
      <c r="L10" s="20"/>
      <c r="M10" s="20"/>
      <c r="N10" s="20"/>
      <c r="O10" s="20"/>
      <c r="P10" s="20"/>
    </row>
    <row r="11" spans="1:16" ht="15" customHeight="1">
      <c r="A11" s="209" t="s">
        <v>109</v>
      </c>
      <c r="B11" s="202"/>
      <c r="C11" s="202"/>
      <c r="D11" s="202"/>
      <c r="E11" s="202"/>
      <c r="F11" s="203"/>
      <c r="K11" s="20"/>
      <c r="L11" s="20"/>
      <c r="M11" s="20"/>
      <c r="N11" s="20"/>
      <c r="O11" s="20"/>
      <c r="P11" s="20"/>
    </row>
    <row r="12" spans="1:16" ht="15" customHeight="1">
      <c r="A12" s="209" t="s">
        <v>110</v>
      </c>
      <c r="B12" s="202"/>
      <c r="C12" s="202"/>
      <c r="D12" s="202"/>
      <c r="E12" s="202"/>
      <c r="F12" s="203"/>
      <c r="K12" s="20"/>
      <c r="L12" s="20"/>
      <c r="M12" s="20"/>
      <c r="N12" s="20"/>
      <c r="O12" s="20"/>
      <c r="P12" s="20"/>
    </row>
    <row r="13" spans="1:16" ht="15" customHeight="1">
      <c r="A13" s="209" t="s">
        <v>111</v>
      </c>
      <c r="B13" s="202"/>
      <c r="C13" s="202"/>
      <c r="D13" s="202"/>
      <c r="E13" s="202"/>
      <c r="F13" s="203"/>
      <c r="K13" s="20"/>
      <c r="L13" s="20"/>
      <c r="M13" s="20"/>
      <c r="N13" s="20"/>
      <c r="O13" s="20"/>
      <c r="P13" s="20"/>
    </row>
    <row r="14" spans="1:16" ht="15" customHeight="1">
      <c r="A14" s="209" t="s">
        <v>112</v>
      </c>
      <c r="B14" s="202"/>
      <c r="C14" s="202"/>
      <c r="D14" s="202"/>
      <c r="E14" s="202"/>
      <c r="F14" s="203"/>
      <c r="K14" s="20"/>
      <c r="L14" s="20"/>
      <c r="M14" s="20"/>
      <c r="N14" s="20"/>
      <c r="O14" s="20"/>
      <c r="P14" s="20"/>
    </row>
    <row r="15" spans="1:16" ht="15" customHeight="1">
      <c r="A15" s="66" t="s">
        <v>113</v>
      </c>
      <c r="B15" s="67"/>
      <c r="C15" s="67"/>
      <c r="D15" s="67"/>
      <c r="E15" s="67"/>
      <c r="F15" s="68"/>
      <c r="K15" s="20"/>
      <c r="L15" s="20"/>
      <c r="M15" s="20"/>
      <c r="N15" s="20"/>
      <c r="O15" s="20"/>
      <c r="P15" s="20"/>
    </row>
    <row r="16" spans="1:16" ht="15" customHeight="1">
      <c r="A16" s="21" t="s">
        <v>37</v>
      </c>
      <c r="B16" s="22"/>
      <c r="C16" s="22"/>
      <c r="D16" s="22"/>
      <c r="E16" s="22"/>
      <c r="F16" s="23"/>
      <c r="K16" s="20"/>
      <c r="L16" s="20"/>
      <c r="M16" s="20"/>
      <c r="N16" s="20"/>
      <c r="O16" s="20"/>
      <c r="P16" s="20"/>
    </row>
    <row r="17" spans="1:16" ht="15" customHeight="1">
      <c r="A17" s="13" t="s">
        <v>38</v>
      </c>
      <c r="B17" s="13" t="s">
        <v>114</v>
      </c>
      <c r="C17" s="13" t="s">
        <v>115</v>
      </c>
      <c r="D17" s="13" t="s">
        <v>41</v>
      </c>
      <c r="E17" s="69" t="s">
        <v>42</v>
      </c>
      <c r="F17" s="69" t="s">
        <v>43</v>
      </c>
      <c r="G17" s="69" t="s">
        <v>44</v>
      </c>
      <c r="H17" s="69" t="s">
        <v>45</v>
      </c>
      <c r="I17" s="69" t="s">
        <v>46</v>
      </c>
      <c r="J17" s="69" t="s">
        <v>47</v>
      </c>
      <c r="K17" s="13" t="s">
        <v>48</v>
      </c>
      <c r="L17" s="13" t="s">
        <v>49</v>
      </c>
      <c r="M17" s="13" t="s">
        <v>50</v>
      </c>
      <c r="N17" s="13" t="s">
        <v>51</v>
      </c>
      <c r="O17" s="13" t="s">
        <v>52</v>
      </c>
      <c r="P17" s="13" t="s">
        <v>53</v>
      </c>
    </row>
    <row r="18" spans="1:16" ht="39">
      <c r="A18" s="70"/>
      <c r="B18" s="71" t="s">
        <v>116</v>
      </c>
      <c r="C18" s="72" t="s">
        <v>117</v>
      </c>
      <c r="D18" s="71" t="s">
        <v>118</v>
      </c>
      <c r="E18" s="71" t="s">
        <v>119</v>
      </c>
      <c r="F18" s="71" t="s">
        <v>120</v>
      </c>
      <c r="G18" s="72" t="s">
        <v>121</v>
      </c>
      <c r="H18" s="71" t="s">
        <v>122</v>
      </c>
      <c r="I18" s="71" t="s">
        <v>123</v>
      </c>
      <c r="J18" s="71" t="s">
        <v>124</v>
      </c>
      <c r="K18" s="71" t="s">
        <v>125</v>
      </c>
      <c r="L18" s="71" t="s">
        <v>126</v>
      </c>
      <c r="M18" s="72" t="s">
        <v>127</v>
      </c>
      <c r="N18" s="71" t="s">
        <v>128</v>
      </c>
      <c r="O18" s="71" t="s">
        <v>129</v>
      </c>
      <c r="P18" s="71" t="s">
        <v>130</v>
      </c>
    </row>
    <row r="19" spans="1:16" ht="75">
      <c r="A19" s="73">
        <v>1</v>
      </c>
      <c r="B19" s="74" t="s">
        <v>131</v>
      </c>
      <c r="C19" s="74" t="s">
        <v>132</v>
      </c>
      <c r="D19" s="74" t="s">
        <v>133</v>
      </c>
      <c r="E19" s="74" t="s">
        <v>134</v>
      </c>
      <c r="F19" s="75" t="s">
        <v>135</v>
      </c>
      <c r="G19" s="74" t="s">
        <v>136</v>
      </c>
      <c r="H19" s="74" t="s">
        <v>137</v>
      </c>
      <c r="I19" s="74" t="s">
        <v>138</v>
      </c>
      <c r="J19" s="74" t="s">
        <v>139</v>
      </c>
      <c r="K19" s="76">
        <v>0.2</v>
      </c>
      <c r="L19" s="75" t="s">
        <v>140</v>
      </c>
      <c r="M19" s="77">
        <v>9</v>
      </c>
      <c r="N19" s="77">
        <v>9</v>
      </c>
      <c r="O19" s="77">
        <v>10</v>
      </c>
      <c r="P19" s="78">
        <f>AVERAGE(M19:O19)</f>
        <v>9.3333333333333339</v>
      </c>
    </row>
    <row r="20" spans="1:16" ht="50">
      <c r="A20" s="79">
        <v>2</v>
      </c>
      <c r="B20" s="80" t="s">
        <v>432</v>
      </c>
      <c r="C20" s="80" t="s">
        <v>349</v>
      </c>
      <c r="D20" s="80" t="s">
        <v>350</v>
      </c>
      <c r="E20" s="80" t="s">
        <v>351</v>
      </c>
      <c r="F20" s="80" t="s">
        <v>352</v>
      </c>
      <c r="G20" s="80" t="s">
        <v>353</v>
      </c>
      <c r="H20" s="80" t="s">
        <v>354</v>
      </c>
      <c r="I20" s="80" t="s">
        <v>355</v>
      </c>
      <c r="J20" s="80" t="s">
        <v>356</v>
      </c>
      <c r="K20" s="81">
        <v>0.2</v>
      </c>
      <c r="L20" s="80" t="s">
        <v>357</v>
      </c>
      <c r="M20" s="82">
        <v>9</v>
      </c>
      <c r="N20" s="82">
        <v>8</v>
      </c>
      <c r="O20" s="82">
        <v>10</v>
      </c>
      <c r="P20" s="83">
        <f>AVERAGE(M20:O20)</f>
        <v>9</v>
      </c>
    </row>
    <row r="21" spans="1:16" ht="50">
      <c r="A21" s="79">
        <v>3</v>
      </c>
      <c r="B21" s="84" t="s">
        <v>433</v>
      </c>
      <c r="C21" s="80" t="s">
        <v>358</v>
      </c>
      <c r="D21" s="80" t="s">
        <v>377</v>
      </c>
      <c r="E21" s="80" t="s">
        <v>359</v>
      </c>
      <c r="F21" s="80" t="s">
        <v>360</v>
      </c>
      <c r="G21" s="85" t="s">
        <v>446</v>
      </c>
      <c r="H21" s="80" t="s">
        <v>361</v>
      </c>
      <c r="I21" s="80" t="s">
        <v>362</v>
      </c>
      <c r="J21" s="80" t="s">
        <v>356</v>
      </c>
      <c r="K21" s="81">
        <v>0.2</v>
      </c>
      <c r="L21" s="80" t="s">
        <v>378</v>
      </c>
      <c r="M21" s="82">
        <v>10</v>
      </c>
      <c r="N21" s="82">
        <v>8</v>
      </c>
      <c r="O21" s="82">
        <v>10</v>
      </c>
      <c r="P21" s="83">
        <f>AVERAGE(M21:O21)</f>
        <v>9.3333333333333339</v>
      </c>
    </row>
    <row r="22" spans="1:16" ht="50">
      <c r="A22" s="79">
        <v>4</v>
      </c>
      <c r="B22" s="182" t="s">
        <v>435</v>
      </c>
      <c r="C22" s="80" t="s">
        <v>434</v>
      </c>
      <c r="D22" s="80" t="s">
        <v>439</v>
      </c>
      <c r="E22" s="85" t="s">
        <v>440</v>
      </c>
      <c r="F22" s="80" t="s">
        <v>442</v>
      </c>
      <c r="G22" s="85" t="s">
        <v>448</v>
      </c>
      <c r="H22" s="85" t="s">
        <v>449</v>
      </c>
      <c r="I22" s="85" t="s">
        <v>362</v>
      </c>
      <c r="J22" s="80" t="s">
        <v>356</v>
      </c>
      <c r="K22" s="81">
        <v>0.3</v>
      </c>
      <c r="L22" s="80" t="s">
        <v>444</v>
      </c>
      <c r="M22" s="82">
        <v>9</v>
      </c>
      <c r="N22" s="82">
        <v>8</v>
      </c>
      <c r="O22" s="82">
        <v>9</v>
      </c>
      <c r="P22" s="83">
        <f t="shared" ref="P22:P23" si="0">AVERAGE(M22:O22)</f>
        <v>8.6666666666666661</v>
      </c>
    </row>
    <row r="23" spans="1:16" ht="25">
      <c r="A23" s="79">
        <v>5</v>
      </c>
      <c r="B23" s="86" t="s">
        <v>437</v>
      </c>
      <c r="C23" s="80" t="s">
        <v>436</v>
      </c>
      <c r="D23" s="80" t="s">
        <v>438</v>
      </c>
      <c r="E23" s="85" t="s">
        <v>441</v>
      </c>
      <c r="F23" s="85" t="s">
        <v>443</v>
      </c>
      <c r="G23" s="80" t="s">
        <v>447</v>
      </c>
      <c r="H23" s="80" t="s">
        <v>450</v>
      </c>
      <c r="I23" s="85" t="s">
        <v>451</v>
      </c>
      <c r="J23" s="80" t="s">
        <v>356</v>
      </c>
      <c r="K23" s="81">
        <v>0.25</v>
      </c>
      <c r="L23" s="80" t="s">
        <v>445</v>
      </c>
      <c r="M23" s="82">
        <v>10</v>
      </c>
      <c r="N23" s="82">
        <v>10</v>
      </c>
      <c r="O23" s="82">
        <v>9</v>
      </c>
      <c r="P23" s="83">
        <f t="shared" si="0"/>
        <v>9.6666666666666661</v>
      </c>
    </row>
  </sheetData>
  <mergeCells count="13">
    <mergeCell ref="A14:F14"/>
    <mergeCell ref="A1:P2"/>
    <mergeCell ref="A3:F3"/>
    <mergeCell ref="A4:F4"/>
    <mergeCell ref="A5:F5"/>
    <mergeCell ref="A6:F6"/>
    <mergeCell ref="A7:F7"/>
    <mergeCell ref="A8:F8"/>
    <mergeCell ref="A9:F9"/>
    <mergeCell ref="A10:F10"/>
    <mergeCell ref="A11:F11"/>
    <mergeCell ref="A12:F12"/>
    <mergeCell ref="A13: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4"/>
  <sheetViews>
    <sheetView showGridLines="0" tabSelected="1" topLeftCell="A15" workbookViewId="0">
      <selection activeCell="B38" sqref="B38"/>
    </sheetView>
  </sheetViews>
  <sheetFormatPr defaultColWidth="14.453125" defaultRowHeight="15.75" customHeight="1"/>
  <cols>
    <col min="1" max="1" width="13.26953125" customWidth="1"/>
    <col min="2" max="2" width="93.08984375" customWidth="1"/>
  </cols>
  <sheetData>
    <row r="1" spans="1:2" ht="37.5">
      <c r="A1" s="217" t="s">
        <v>15</v>
      </c>
      <c r="B1" s="185"/>
    </row>
    <row r="2" spans="1:2" ht="44.25" customHeight="1">
      <c r="A2" s="218" t="s">
        <v>141</v>
      </c>
      <c r="B2" s="185"/>
    </row>
    <row r="3" spans="1:2" ht="77.25" customHeight="1">
      <c r="A3" s="215" t="s">
        <v>142</v>
      </c>
      <c r="B3" s="185"/>
    </row>
    <row r="4" spans="1:2" ht="66" customHeight="1">
      <c r="A4" s="215" t="s">
        <v>143</v>
      </c>
      <c r="B4" s="185"/>
    </row>
    <row r="5" spans="1:2" ht="43.5" customHeight="1">
      <c r="A5" s="210" t="s">
        <v>144</v>
      </c>
      <c r="B5" s="190"/>
    </row>
    <row r="6" spans="1:2" ht="21.75" customHeight="1">
      <c r="A6" s="211" t="str">
        <f>HYPERLINK("https://slack.com/get-started#/ ","Instructions: Signup for Slack at https://slack.com/get-started#/")</f>
        <v>Instructions: Signup for Slack at https://slack.com/get-started#/</v>
      </c>
      <c r="B6" s="190"/>
    </row>
    <row r="7" spans="1:2" ht="12.5">
      <c r="A7" s="212" t="s">
        <v>145</v>
      </c>
      <c r="B7" s="185"/>
    </row>
    <row r="8" spans="1:2" ht="12.5">
      <c r="A8" s="214" t="s">
        <v>146</v>
      </c>
      <c r="B8" s="203"/>
    </row>
    <row r="9" spans="1:2" ht="12.5">
      <c r="A9" s="215" t="s">
        <v>147</v>
      </c>
      <c r="B9" s="185"/>
    </row>
    <row r="10" spans="1:2" ht="12.5">
      <c r="A10" s="215" t="s">
        <v>148</v>
      </c>
      <c r="B10" s="185"/>
    </row>
    <row r="11" spans="1:2" ht="12.5">
      <c r="A11" s="215" t="s">
        <v>149</v>
      </c>
      <c r="B11" s="185"/>
    </row>
    <row r="12" spans="1:2" ht="12.5">
      <c r="A12" s="216" t="s">
        <v>150</v>
      </c>
      <c r="B12" s="203"/>
    </row>
    <row r="13" spans="1:2" ht="12.5">
      <c r="A13" s="216" t="s">
        <v>151</v>
      </c>
      <c r="B13" s="203"/>
    </row>
    <row r="14" spans="1:2" ht="12.5">
      <c r="A14" s="216" t="s">
        <v>363</v>
      </c>
      <c r="B14" s="203"/>
    </row>
    <row r="15" spans="1:2" ht="12.5">
      <c r="A15" s="13" t="s">
        <v>38</v>
      </c>
      <c r="B15" s="13" t="s">
        <v>114</v>
      </c>
    </row>
    <row r="16" spans="1:2" ht="13">
      <c r="A16" s="21" t="s">
        <v>37</v>
      </c>
      <c r="B16" s="88"/>
    </row>
    <row r="17" spans="1:2" ht="13">
      <c r="A17" s="213" t="s">
        <v>152</v>
      </c>
      <c r="B17" s="185"/>
    </row>
    <row r="18" spans="1:2" ht="12.5">
      <c r="A18" s="89">
        <v>1</v>
      </c>
      <c r="B18" s="90" t="s">
        <v>153</v>
      </c>
    </row>
    <row r="19" spans="1:2" ht="12.5">
      <c r="A19" s="89">
        <v>2</v>
      </c>
      <c r="B19" s="10" t="s">
        <v>367</v>
      </c>
    </row>
    <row r="20" spans="1:2" ht="12.5">
      <c r="A20" s="89">
        <v>3</v>
      </c>
      <c r="B20" s="10" t="s">
        <v>379</v>
      </c>
    </row>
    <row r="21" spans="1:2" ht="12.5">
      <c r="A21" s="89">
        <v>4</v>
      </c>
      <c r="B21" s="10" t="s">
        <v>371</v>
      </c>
    </row>
    <row r="22" spans="1:2" ht="12.5">
      <c r="A22" s="89">
        <v>5</v>
      </c>
      <c r="B22" s="16" t="s">
        <v>364</v>
      </c>
    </row>
    <row r="23" spans="1:2" ht="13">
      <c r="A23" s="213" t="s">
        <v>154</v>
      </c>
      <c r="B23" s="185"/>
    </row>
    <row r="24" spans="1:2" ht="12.5">
      <c r="A24" s="89">
        <v>1</v>
      </c>
      <c r="B24" s="90" t="s">
        <v>155</v>
      </c>
    </row>
    <row r="25" spans="1:2" ht="12.5">
      <c r="A25" s="89">
        <v>2</v>
      </c>
      <c r="B25" s="10" t="s">
        <v>366</v>
      </c>
    </row>
    <row r="26" spans="1:2" ht="12.5">
      <c r="A26" s="89">
        <v>3</v>
      </c>
      <c r="B26" s="10" t="s">
        <v>365</v>
      </c>
    </row>
    <row r="27" spans="1:2" ht="12.5">
      <c r="A27" s="89">
        <v>4</v>
      </c>
      <c r="B27" s="10" t="s">
        <v>373</v>
      </c>
    </row>
    <row r="28" spans="1:2" ht="12.5">
      <c r="A28" s="89">
        <v>5</v>
      </c>
      <c r="B28" s="16" t="s">
        <v>369</v>
      </c>
    </row>
    <row r="29" spans="1:2" ht="13">
      <c r="A29" s="213" t="s">
        <v>156</v>
      </c>
      <c r="B29" s="185"/>
    </row>
    <row r="30" spans="1:2" ht="12.5">
      <c r="A30" s="89">
        <v>1</v>
      </c>
      <c r="B30" s="90" t="s">
        <v>157</v>
      </c>
    </row>
    <row r="31" spans="1:2" ht="12.5">
      <c r="A31" s="89">
        <v>2</v>
      </c>
      <c r="B31" s="10" t="s">
        <v>368</v>
      </c>
    </row>
    <row r="32" spans="1:2" ht="12.5">
      <c r="A32" s="89">
        <v>3</v>
      </c>
      <c r="B32" s="10" t="s">
        <v>370</v>
      </c>
    </row>
    <row r="33" spans="1:2" ht="12.5">
      <c r="A33" s="89">
        <v>4</v>
      </c>
      <c r="B33" s="10" t="s">
        <v>372</v>
      </c>
    </row>
    <row r="34" spans="1:2" ht="12.5">
      <c r="A34" s="89">
        <v>5</v>
      </c>
      <c r="B34" s="10" t="s">
        <v>374</v>
      </c>
    </row>
  </sheetData>
  <mergeCells count="17">
    <mergeCell ref="A1:B1"/>
    <mergeCell ref="A2:B2"/>
    <mergeCell ref="A3:B3"/>
    <mergeCell ref="A4:B4"/>
    <mergeCell ref="A5:B5"/>
    <mergeCell ref="A6:B6"/>
    <mergeCell ref="A7:B7"/>
    <mergeCell ref="A17:B17"/>
    <mergeCell ref="A23:B23"/>
    <mergeCell ref="A29:B29"/>
    <mergeCell ref="A8:B8"/>
    <mergeCell ref="A9:B9"/>
    <mergeCell ref="A10:B10"/>
    <mergeCell ref="A11:B11"/>
    <mergeCell ref="A12:B12"/>
    <mergeCell ref="A13:B13"/>
    <mergeCell ref="A14:B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65"/>
  <sheetViews>
    <sheetView showGridLines="0" topLeftCell="A25" zoomScale="50" zoomScaleNormal="50" workbookViewId="0">
      <selection activeCell="S27" sqref="S27:S29"/>
    </sheetView>
  </sheetViews>
  <sheetFormatPr defaultColWidth="14.453125" defaultRowHeight="15.75" customHeight="1"/>
  <cols>
    <col min="1" max="1" width="11.7265625" customWidth="1"/>
    <col min="2" max="2" width="17" customWidth="1"/>
    <col min="3" max="4" width="17.08984375" customWidth="1"/>
    <col min="5" max="5" width="11.7265625" customWidth="1"/>
    <col min="18" max="18" width="16.7265625" customWidth="1"/>
    <col min="19" max="19" width="19.81640625" customWidth="1"/>
  </cols>
  <sheetData>
    <row r="1" spans="1:19" ht="15.75" customHeight="1">
      <c r="A1" s="217" t="s">
        <v>17</v>
      </c>
      <c r="B1" s="184"/>
      <c r="C1" s="184"/>
      <c r="D1" s="184"/>
      <c r="E1" s="184"/>
      <c r="F1" s="184"/>
      <c r="G1" s="184"/>
      <c r="H1" s="184"/>
      <c r="I1" s="184"/>
      <c r="J1" s="184"/>
      <c r="K1" s="184"/>
      <c r="L1" s="184"/>
      <c r="M1" s="184"/>
      <c r="N1" s="184"/>
      <c r="O1" s="184"/>
      <c r="P1" s="184"/>
      <c r="Q1" s="184"/>
      <c r="R1" s="184"/>
      <c r="S1" s="185"/>
    </row>
    <row r="2" spans="1:19" ht="13">
      <c r="A2" s="218" t="s">
        <v>375</v>
      </c>
      <c r="B2" s="184"/>
      <c r="C2" s="184"/>
      <c r="D2" s="184"/>
      <c r="E2" s="184"/>
      <c r="F2" s="184"/>
      <c r="G2" s="184"/>
      <c r="H2" s="184"/>
      <c r="I2" s="185"/>
      <c r="J2" s="91"/>
      <c r="K2" s="91"/>
      <c r="L2" s="91"/>
      <c r="M2" s="91"/>
      <c r="N2" s="91"/>
      <c r="O2" s="91"/>
      <c r="Q2" s="92"/>
      <c r="R2" s="92"/>
    </row>
    <row r="3" spans="1:19" ht="13">
      <c r="A3" s="215" t="s">
        <v>158</v>
      </c>
      <c r="B3" s="184"/>
      <c r="C3" s="184"/>
      <c r="D3" s="184"/>
      <c r="E3" s="184"/>
      <c r="F3" s="184"/>
      <c r="G3" s="184"/>
      <c r="H3" s="184"/>
      <c r="I3" s="185"/>
      <c r="J3" s="91"/>
      <c r="K3" s="91"/>
      <c r="L3" s="91"/>
      <c r="M3" s="91"/>
      <c r="N3" s="91"/>
      <c r="O3" s="91"/>
      <c r="Q3" s="92"/>
      <c r="R3" s="92"/>
    </row>
    <row r="4" spans="1:19" ht="13">
      <c r="A4" s="195" t="s">
        <v>159</v>
      </c>
      <c r="B4" s="192"/>
      <c r="C4" s="192"/>
      <c r="D4" s="192"/>
      <c r="E4" s="192"/>
      <c r="F4" s="192"/>
      <c r="G4" s="192"/>
      <c r="H4" s="192"/>
      <c r="I4" s="193"/>
      <c r="J4" s="91"/>
      <c r="K4" s="91"/>
      <c r="L4" s="91"/>
      <c r="M4" s="91"/>
      <c r="N4" s="91"/>
      <c r="O4" s="91"/>
      <c r="Q4" s="92"/>
      <c r="R4" s="92"/>
    </row>
    <row r="5" spans="1:19" ht="13">
      <c r="A5" s="195" t="s">
        <v>160</v>
      </c>
      <c r="B5" s="192"/>
      <c r="C5" s="192"/>
      <c r="D5" s="192"/>
      <c r="E5" s="192"/>
      <c r="F5" s="192"/>
      <c r="G5" s="192"/>
      <c r="H5" s="192"/>
      <c r="I5" s="193"/>
      <c r="J5" s="91"/>
      <c r="K5" s="91"/>
      <c r="L5" s="91"/>
      <c r="M5" s="91"/>
      <c r="N5" s="91"/>
      <c r="O5" s="91"/>
      <c r="Q5" s="92"/>
      <c r="R5" s="92"/>
    </row>
    <row r="6" spans="1:19" ht="13">
      <c r="A6" s="197" t="s">
        <v>161</v>
      </c>
      <c r="B6" s="192"/>
      <c r="C6" s="192"/>
      <c r="D6" s="192"/>
      <c r="E6" s="192"/>
      <c r="F6" s="192"/>
      <c r="G6" s="192"/>
      <c r="H6" s="192"/>
      <c r="I6" s="193"/>
      <c r="J6" s="91"/>
      <c r="K6" s="91"/>
      <c r="L6" s="91"/>
      <c r="M6" s="91"/>
      <c r="N6" s="91"/>
      <c r="O6" s="91"/>
      <c r="Q6" s="92"/>
      <c r="R6" s="92"/>
    </row>
    <row r="7" spans="1:19" ht="13">
      <c r="A7" s="237" t="s">
        <v>162</v>
      </c>
      <c r="B7" s="189"/>
      <c r="C7" s="189"/>
      <c r="D7" s="189"/>
      <c r="E7" s="189"/>
      <c r="F7" s="189"/>
      <c r="G7" s="189"/>
      <c r="H7" s="189"/>
      <c r="I7" s="190"/>
      <c r="J7" s="93"/>
      <c r="K7" s="93"/>
      <c r="L7" s="93"/>
      <c r="M7" s="93"/>
      <c r="N7" s="93"/>
      <c r="O7" s="91"/>
      <c r="Q7" s="92"/>
      <c r="R7" s="92"/>
    </row>
    <row r="8" spans="1:19" ht="13">
      <c r="A8" s="228" t="s">
        <v>163</v>
      </c>
      <c r="B8" s="202"/>
      <c r="C8" s="202"/>
      <c r="D8" s="202"/>
      <c r="E8" s="202"/>
      <c r="F8" s="202"/>
      <c r="G8" s="202"/>
      <c r="H8" s="202"/>
      <c r="I8" s="203"/>
      <c r="J8" s="93"/>
      <c r="K8" s="93"/>
      <c r="L8" s="93"/>
      <c r="M8" s="93"/>
      <c r="N8" s="93"/>
      <c r="O8" s="91"/>
      <c r="Q8" s="92"/>
      <c r="R8" s="92"/>
    </row>
    <row r="9" spans="1:19" ht="13">
      <c r="A9" s="228" t="s">
        <v>164</v>
      </c>
      <c r="B9" s="202"/>
      <c r="C9" s="202"/>
      <c r="D9" s="202"/>
      <c r="E9" s="202"/>
      <c r="F9" s="202"/>
      <c r="G9" s="202"/>
      <c r="H9" s="202"/>
      <c r="I9" s="203"/>
      <c r="J9" s="93"/>
      <c r="K9" s="93"/>
      <c r="L9" s="93"/>
      <c r="M9" s="93"/>
      <c r="N9" s="93"/>
      <c r="O9" s="91"/>
      <c r="Q9" s="92"/>
      <c r="R9" s="92"/>
    </row>
    <row r="10" spans="1:19" ht="13">
      <c r="A10" s="228" t="s">
        <v>165</v>
      </c>
      <c r="B10" s="202"/>
      <c r="C10" s="202"/>
      <c r="D10" s="202"/>
      <c r="E10" s="202"/>
      <c r="F10" s="202"/>
      <c r="G10" s="202"/>
      <c r="H10" s="202"/>
      <c r="I10" s="203"/>
      <c r="J10" s="93"/>
      <c r="K10" s="93"/>
      <c r="L10" s="93"/>
      <c r="M10" s="93"/>
      <c r="N10" s="93"/>
      <c r="O10" s="91"/>
      <c r="Q10" s="92"/>
      <c r="R10" s="92"/>
    </row>
    <row r="11" spans="1:19" ht="13">
      <c r="A11" s="229" t="s">
        <v>166</v>
      </c>
      <c r="B11" s="192"/>
      <c r="C11" s="192"/>
      <c r="D11" s="192"/>
      <c r="E11" s="192"/>
      <c r="F11" s="192"/>
      <c r="G11" s="192"/>
      <c r="H11" s="192"/>
      <c r="I11" s="193"/>
      <c r="J11" s="93"/>
      <c r="K11" s="93"/>
      <c r="L11" s="93"/>
      <c r="M11" s="93"/>
      <c r="N11" s="93"/>
      <c r="O11" s="91"/>
      <c r="Q11" s="92"/>
      <c r="R11" s="92"/>
    </row>
    <row r="12" spans="1:19" ht="13">
      <c r="A12" s="230" t="s">
        <v>37</v>
      </c>
      <c r="B12" s="202"/>
      <c r="C12" s="202"/>
      <c r="D12" s="202"/>
      <c r="E12" s="202"/>
      <c r="F12" s="202"/>
      <c r="G12" s="202"/>
      <c r="H12" s="202"/>
      <c r="I12" s="202"/>
      <c r="J12" s="93"/>
      <c r="K12" s="93"/>
      <c r="L12" s="93"/>
      <c r="M12" s="93"/>
      <c r="N12" s="93"/>
      <c r="O12" s="91"/>
      <c r="Q12" s="92"/>
      <c r="R12" s="92"/>
    </row>
    <row r="13" spans="1:19" ht="13">
      <c r="A13" s="94"/>
      <c r="B13" s="94"/>
      <c r="C13" s="94"/>
      <c r="D13" s="94"/>
      <c r="E13" s="94"/>
      <c r="F13" s="94"/>
      <c r="G13" s="94"/>
      <c r="H13" s="94"/>
      <c r="I13" s="94"/>
      <c r="J13" s="94"/>
      <c r="K13" s="94"/>
      <c r="L13" s="94"/>
      <c r="M13" s="95"/>
      <c r="N13" s="95"/>
      <c r="O13" s="95"/>
      <c r="P13" s="96"/>
      <c r="Q13" s="97"/>
      <c r="R13" s="97"/>
      <c r="S13" s="96"/>
    </row>
    <row r="14" spans="1:19" ht="13">
      <c r="A14" s="213" t="s">
        <v>386</v>
      </c>
      <c r="B14" s="231"/>
      <c r="C14" s="231"/>
      <c r="D14" s="231"/>
      <c r="E14" s="231"/>
      <c r="F14" s="232"/>
      <c r="G14" s="98"/>
      <c r="H14" s="236"/>
      <c r="I14" s="189"/>
      <c r="J14" s="189"/>
      <c r="K14" s="190"/>
      <c r="L14" s="98"/>
      <c r="M14" s="91"/>
      <c r="N14" s="91"/>
      <c r="O14" s="91"/>
      <c r="Q14" s="92"/>
      <c r="R14" s="92"/>
    </row>
    <row r="15" spans="1:19" ht="13">
      <c r="A15" s="233" t="s">
        <v>388</v>
      </c>
      <c r="B15" s="234"/>
      <c r="C15" s="234"/>
      <c r="D15" s="234"/>
      <c r="E15" s="234"/>
      <c r="F15" s="235"/>
      <c r="G15" s="98"/>
      <c r="H15" s="223"/>
      <c r="I15" s="202"/>
      <c r="J15" s="202"/>
      <c r="K15" s="203"/>
      <c r="L15" s="98"/>
      <c r="M15" s="224" t="s">
        <v>380</v>
      </c>
      <c r="N15" s="189"/>
      <c r="O15" s="190"/>
      <c r="Q15" s="225" t="s">
        <v>168</v>
      </c>
      <c r="R15" s="190"/>
      <c r="S15" s="226" t="s">
        <v>455</v>
      </c>
    </row>
    <row r="16" spans="1:19" ht="13">
      <c r="A16" s="99" t="s">
        <v>169</v>
      </c>
      <c r="B16" s="238" t="s">
        <v>170</v>
      </c>
      <c r="C16" s="239"/>
      <c r="D16" s="239"/>
      <c r="E16" s="239"/>
      <c r="F16" s="240"/>
      <c r="G16" s="100"/>
      <c r="H16" s="223"/>
      <c r="I16" s="202"/>
      <c r="J16" s="202"/>
      <c r="K16" s="203"/>
      <c r="L16" s="100"/>
      <c r="M16" s="223"/>
      <c r="N16" s="202"/>
      <c r="O16" s="203"/>
      <c r="Q16" s="223"/>
      <c r="R16" s="203"/>
      <c r="S16" s="220"/>
    </row>
    <row r="17" spans="1:19" ht="26">
      <c r="A17" s="101" t="s">
        <v>171</v>
      </c>
      <c r="B17" s="102" t="s">
        <v>172</v>
      </c>
      <c r="C17" s="102" t="s">
        <v>173</v>
      </c>
      <c r="D17" s="102" t="s">
        <v>174</v>
      </c>
      <c r="E17" s="102" t="s">
        <v>175</v>
      </c>
      <c r="F17" s="102" t="s">
        <v>176</v>
      </c>
      <c r="G17" s="100"/>
      <c r="H17" s="223"/>
      <c r="I17" s="202"/>
      <c r="J17" s="202"/>
      <c r="K17" s="203"/>
      <c r="L17" s="100"/>
      <c r="M17" s="223"/>
      <c r="N17" s="202"/>
      <c r="O17" s="203"/>
      <c r="Q17" s="191"/>
      <c r="R17" s="193"/>
      <c r="S17" s="221"/>
    </row>
    <row r="18" spans="1:19" ht="14">
      <c r="A18" s="103">
        <v>100</v>
      </c>
      <c r="B18" s="104">
        <f>997-200</f>
        <v>797</v>
      </c>
      <c r="C18" s="104">
        <f>139+0</f>
        <v>139</v>
      </c>
      <c r="D18" s="105">
        <f>358</f>
        <v>358</v>
      </c>
      <c r="E18" s="106">
        <f t="shared" ref="E18:E24" si="0">B18+C18</f>
        <v>936</v>
      </c>
      <c r="F18" s="107">
        <v>0.38</v>
      </c>
      <c r="G18" s="108"/>
      <c r="H18" s="223"/>
      <c r="I18" s="202"/>
      <c r="J18" s="202"/>
      <c r="K18" s="203"/>
      <c r="L18" s="108"/>
      <c r="M18" s="223"/>
      <c r="N18" s="202"/>
      <c r="O18" s="203"/>
      <c r="Q18" s="109"/>
      <c r="R18" s="92"/>
      <c r="S18" s="110"/>
    </row>
    <row r="19" spans="1:19" ht="13">
      <c r="A19" s="111">
        <v>500</v>
      </c>
      <c r="B19" s="28">
        <f>620-200</f>
        <v>420</v>
      </c>
      <c r="C19" s="28">
        <v>146</v>
      </c>
      <c r="D19" s="28">
        <v>282</v>
      </c>
      <c r="E19" s="112">
        <f t="shared" si="0"/>
        <v>566</v>
      </c>
      <c r="F19" s="113">
        <f>D19/E19</f>
        <v>0.49823321554770317</v>
      </c>
      <c r="G19" s="114"/>
      <c r="H19" s="223"/>
      <c r="I19" s="202"/>
      <c r="J19" s="202"/>
      <c r="K19" s="203"/>
      <c r="L19" s="114"/>
      <c r="M19" s="223"/>
      <c r="N19" s="202"/>
      <c r="O19" s="203"/>
      <c r="Q19" s="219" t="s">
        <v>177</v>
      </c>
      <c r="R19" s="222" t="s">
        <v>383</v>
      </c>
      <c r="S19" s="190"/>
    </row>
    <row r="20" spans="1:19" ht="13">
      <c r="A20" s="103">
        <v>1000</v>
      </c>
      <c r="B20" s="104">
        <f>565-200</f>
        <v>365</v>
      </c>
      <c r="C20" s="104">
        <v>158</v>
      </c>
      <c r="D20" s="104">
        <v>249</v>
      </c>
      <c r="E20" s="106">
        <f t="shared" si="0"/>
        <v>523</v>
      </c>
      <c r="F20" s="113">
        <f t="shared" ref="F20:F24" si="1">D20/E20</f>
        <v>0.47609942638623326</v>
      </c>
      <c r="G20" s="114"/>
      <c r="H20" s="223"/>
      <c r="I20" s="202"/>
      <c r="J20" s="202"/>
      <c r="K20" s="203"/>
      <c r="L20" s="114"/>
      <c r="M20" s="223"/>
      <c r="N20" s="202"/>
      <c r="O20" s="203"/>
      <c r="Q20" s="220"/>
      <c r="R20" s="223"/>
      <c r="S20" s="203"/>
    </row>
    <row r="21" spans="1:19" ht="13">
      <c r="A21" s="111">
        <v>2000</v>
      </c>
      <c r="B21" s="28">
        <f>432-200</f>
        <v>232</v>
      </c>
      <c r="C21" s="28">
        <v>171</v>
      </c>
      <c r="D21" s="28">
        <v>222</v>
      </c>
      <c r="E21" s="112">
        <f t="shared" si="0"/>
        <v>403</v>
      </c>
      <c r="F21" s="113">
        <f t="shared" si="1"/>
        <v>0.5508684863523573</v>
      </c>
      <c r="G21" s="114"/>
      <c r="H21" s="223"/>
      <c r="I21" s="202"/>
      <c r="J21" s="202"/>
      <c r="K21" s="203"/>
      <c r="L21" s="114"/>
      <c r="M21" s="223"/>
      <c r="N21" s="202"/>
      <c r="O21" s="203"/>
      <c r="Q21" s="220"/>
      <c r="R21" s="223"/>
      <c r="S21" s="203"/>
    </row>
    <row r="22" spans="1:19" ht="13">
      <c r="A22" s="103">
        <v>5000</v>
      </c>
      <c r="B22" s="115">
        <v>185</v>
      </c>
      <c r="C22" s="115">
        <v>190</v>
      </c>
      <c r="D22" s="115">
        <v>210</v>
      </c>
      <c r="E22" s="106">
        <f t="shared" si="0"/>
        <v>375</v>
      </c>
      <c r="F22" s="113">
        <f t="shared" si="1"/>
        <v>0.56000000000000005</v>
      </c>
      <c r="G22" s="114"/>
      <c r="H22" s="223"/>
      <c r="I22" s="202"/>
      <c r="J22" s="202"/>
      <c r="K22" s="203"/>
      <c r="L22" s="114"/>
      <c r="M22" s="223"/>
      <c r="N22" s="202"/>
      <c r="O22" s="203"/>
      <c r="P22" s="116"/>
      <c r="Q22" s="220"/>
      <c r="R22" s="223"/>
      <c r="S22" s="203"/>
    </row>
    <row r="23" spans="1:19" ht="13">
      <c r="A23" s="111">
        <v>10000</v>
      </c>
      <c r="B23" s="117">
        <v>150</v>
      </c>
      <c r="C23" s="117">
        <v>200</v>
      </c>
      <c r="D23" s="117">
        <v>200</v>
      </c>
      <c r="E23" s="112">
        <f t="shared" si="0"/>
        <v>350</v>
      </c>
      <c r="F23" s="113">
        <f t="shared" si="1"/>
        <v>0.5714285714285714</v>
      </c>
      <c r="G23" s="114"/>
      <c r="H23" s="223"/>
      <c r="I23" s="202"/>
      <c r="J23" s="202"/>
      <c r="K23" s="203"/>
      <c r="L23" s="114"/>
      <c r="M23" s="223"/>
      <c r="N23" s="202"/>
      <c r="O23" s="203"/>
      <c r="P23" s="116"/>
      <c r="Q23" s="220"/>
      <c r="R23" s="223"/>
      <c r="S23" s="203"/>
    </row>
    <row r="24" spans="1:19" ht="13">
      <c r="A24" s="103">
        <v>20000</v>
      </c>
      <c r="B24" s="115">
        <v>120</v>
      </c>
      <c r="C24" s="115">
        <v>210</v>
      </c>
      <c r="D24" s="115">
        <v>190</v>
      </c>
      <c r="E24" s="106">
        <f t="shared" si="0"/>
        <v>330</v>
      </c>
      <c r="F24" s="113">
        <f t="shared" si="1"/>
        <v>0.5757575757575758</v>
      </c>
      <c r="G24" s="114"/>
      <c r="H24" s="191"/>
      <c r="I24" s="192"/>
      <c r="J24" s="192"/>
      <c r="K24" s="193"/>
      <c r="L24" s="114"/>
      <c r="M24" s="191"/>
      <c r="N24" s="192"/>
      <c r="O24" s="193"/>
      <c r="P24" s="116"/>
      <c r="Q24" s="221"/>
      <c r="R24" s="191"/>
      <c r="S24" s="193"/>
    </row>
    <row r="25" spans="1:19" ht="13">
      <c r="A25" s="94"/>
      <c r="B25" s="94"/>
      <c r="C25" s="94"/>
      <c r="D25" s="94"/>
      <c r="E25" s="94"/>
      <c r="F25" s="94"/>
      <c r="G25" s="94"/>
      <c r="H25" s="94"/>
      <c r="I25" s="94"/>
      <c r="J25" s="94"/>
      <c r="K25" s="94"/>
      <c r="L25" s="94"/>
      <c r="M25" s="95"/>
      <c r="N25" s="95"/>
      <c r="O25" s="95"/>
      <c r="P25" s="96"/>
      <c r="Q25" s="97"/>
      <c r="R25" s="97"/>
      <c r="S25" s="96"/>
    </row>
    <row r="26" spans="1:19" ht="13">
      <c r="A26" s="213" t="s">
        <v>178</v>
      </c>
      <c r="B26" s="184"/>
      <c r="C26" s="184"/>
      <c r="D26" s="184"/>
      <c r="E26" s="184"/>
      <c r="F26" s="185"/>
      <c r="H26" s="236"/>
      <c r="I26" s="189"/>
      <c r="J26" s="189"/>
      <c r="K26" s="190"/>
      <c r="M26" s="91"/>
      <c r="N26" s="91"/>
      <c r="O26" s="91"/>
      <c r="Q26" s="92"/>
      <c r="R26" s="92"/>
      <c r="S26" s="92"/>
    </row>
    <row r="27" spans="1:19" ht="13">
      <c r="A27" s="213" t="s">
        <v>179</v>
      </c>
      <c r="B27" s="184"/>
      <c r="C27" s="184"/>
      <c r="D27" s="184"/>
      <c r="E27" s="184"/>
      <c r="F27" s="185"/>
      <c r="H27" s="223"/>
      <c r="I27" s="202"/>
      <c r="J27" s="202"/>
      <c r="K27" s="203"/>
      <c r="M27" s="224" t="s">
        <v>381</v>
      </c>
      <c r="N27" s="189"/>
      <c r="O27" s="190"/>
      <c r="Q27" s="225" t="s">
        <v>168</v>
      </c>
      <c r="R27" s="190"/>
      <c r="S27" s="226" t="s">
        <v>456</v>
      </c>
    </row>
    <row r="28" spans="1:19" ht="13">
      <c r="A28" s="8" t="s">
        <v>180</v>
      </c>
      <c r="B28" s="213" t="s">
        <v>170</v>
      </c>
      <c r="C28" s="184"/>
      <c r="D28" s="184"/>
      <c r="E28" s="184"/>
      <c r="F28" s="185"/>
      <c r="G28" s="100"/>
      <c r="H28" s="223"/>
      <c r="I28" s="202"/>
      <c r="J28" s="202"/>
      <c r="K28" s="203"/>
      <c r="L28" s="100"/>
      <c r="M28" s="223"/>
      <c r="N28" s="202"/>
      <c r="O28" s="203"/>
      <c r="Q28" s="223"/>
      <c r="R28" s="203"/>
      <c r="S28" s="220"/>
    </row>
    <row r="29" spans="1:19" ht="26">
      <c r="A29" s="118" t="s">
        <v>181</v>
      </c>
      <c r="B29" s="119" t="s">
        <v>172</v>
      </c>
      <c r="C29" s="119" t="s">
        <v>173</v>
      </c>
      <c r="D29" s="119" t="s">
        <v>174</v>
      </c>
      <c r="E29" s="119" t="s">
        <v>175</v>
      </c>
      <c r="F29" s="119" t="s">
        <v>176</v>
      </c>
      <c r="H29" s="223"/>
      <c r="I29" s="202"/>
      <c r="J29" s="202"/>
      <c r="K29" s="203"/>
      <c r="M29" s="223"/>
      <c r="N29" s="202"/>
      <c r="O29" s="203"/>
      <c r="Q29" s="191"/>
      <c r="R29" s="193"/>
      <c r="S29" s="221"/>
    </row>
    <row r="30" spans="1:19" ht="14">
      <c r="A30" s="120" t="s">
        <v>182</v>
      </c>
      <c r="B30" s="39">
        <f>954+150</f>
        <v>1104</v>
      </c>
      <c r="C30" s="39">
        <f>192</f>
        <v>192</v>
      </c>
      <c r="D30" s="121">
        <f>303+150</f>
        <v>453</v>
      </c>
      <c r="E30" s="122">
        <f t="shared" ref="E30:E36" si="2">B30+C30</f>
        <v>1296</v>
      </c>
      <c r="F30" s="113">
        <f>D30/E30</f>
        <v>0.34953703703703703</v>
      </c>
      <c r="H30" s="223"/>
      <c r="I30" s="202"/>
      <c r="J30" s="202"/>
      <c r="K30" s="203"/>
      <c r="M30" s="223"/>
      <c r="N30" s="202"/>
      <c r="O30" s="203"/>
      <c r="Q30" s="109"/>
      <c r="R30" s="92"/>
      <c r="S30" s="110"/>
    </row>
    <row r="31" spans="1:19" ht="13">
      <c r="A31" s="120" t="s">
        <v>183</v>
      </c>
      <c r="B31" s="39">
        <f>540+150</f>
        <v>690</v>
      </c>
      <c r="C31" s="39">
        <f>223+150</f>
        <v>373</v>
      </c>
      <c r="D31" s="39">
        <f>277+150</f>
        <v>427</v>
      </c>
      <c r="E31" s="122">
        <f t="shared" si="2"/>
        <v>1063</v>
      </c>
      <c r="F31" s="113">
        <f t="shared" ref="F31:F36" si="3">D31/E31</f>
        <v>0.40169332079021636</v>
      </c>
      <c r="H31" s="223"/>
      <c r="I31" s="202"/>
      <c r="J31" s="202"/>
      <c r="K31" s="203"/>
      <c r="M31" s="223"/>
      <c r="N31" s="202"/>
      <c r="O31" s="203"/>
      <c r="Q31" s="219" t="s">
        <v>177</v>
      </c>
      <c r="R31" s="222" t="s">
        <v>384</v>
      </c>
      <c r="S31" s="190"/>
    </row>
    <row r="32" spans="1:19" ht="13">
      <c r="A32" s="120" t="s">
        <v>184</v>
      </c>
      <c r="B32" s="39">
        <f>402+150</f>
        <v>552</v>
      </c>
      <c r="C32" s="39">
        <f>238+120</f>
        <v>358</v>
      </c>
      <c r="D32" s="39">
        <f>262+150</f>
        <v>412</v>
      </c>
      <c r="E32" s="122">
        <f t="shared" si="2"/>
        <v>910</v>
      </c>
      <c r="F32" s="113">
        <f>D32/E32</f>
        <v>0.45274725274725275</v>
      </c>
      <c r="H32" s="223"/>
      <c r="I32" s="202"/>
      <c r="J32" s="202"/>
      <c r="K32" s="203"/>
      <c r="M32" s="223"/>
      <c r="N32" s="202"/>
      <c r="O32" s="203"/>
      <c r="Q32" s="220"/>
      <c r="R32" s="223"/>
      <c r="S32" s="203"/>
    </row>
    <row r="33" spans="1:19" ht="13">
      <c r="A33" s="120" t="s">
        <v>185</v>
      </c>
      <c r="B33" s="39">
        <f>310+150</f>
        <v>460</v>
      </c>
      <c r="C33" s="39">
        <f>272+100</f>
        <v>372</v>
      </c>
      <c r="D33" s="39">
        <f>228+150</f>
        <v>378</v>
      </c>
      <c r="E33" s="122">
        <f t="shared" si="2"/>
        <v>832</v>
      </c>
      <c r="F33" s="113">
        <f t="shared" si="3"/>
        <v>0.45432692307692307</v>
      </c>
      <c r="H33" s="223"/>
      <c r="I33" s="202"/>
      <c r="J33" s="202"/>
      <c r="K33" s="203"/>
      <c r="M33" s="223"/>
      <c r="N33" s="202"/>
      <c r="O33" s="203"/>
      <c r="Q33" s="220"/>
      <c r="R33" s="223"/>
      <c r="S33" s="203"/>
    </row>
    <row r="34" spans="1:19" ht="13">
      <c r="A34" s="120" t="s">
        <v>186</v>
      </c>
      <c r="B34" s="39">
        <f>278+150</f>
        <v>428</v>
      </c>
      <c r="C34" s="39">
        <f>291+100</f>
        <v>391</v>
      </c>
      <c r="D34" s="39">
        <f>209+150</f>
        <v>359</v>
      </c>
      <c r="E34" s="122">
        <f t="shared" si="2"/>
        <v>819</v>
      </c>
      <c r="F34" s="113">
        <f t="shared" si="3"/>
        <v>0.43833943833943834</v>
      </c>
      <c r="H34" s="223"/>
      <c r="I34" s="202"/>
      <c r="J34" s="202"/>
      <c r="K34" s="203"/>
      <c r="M34" s="223"/>
      <c r="N34" s="202"/>
      <c r="O34" s="203"/>
      <c r="P34" s="116"/>
      <c r="Q34" s="220"/>
      <c r="R34" s="223"/>
      <c r="S34" s="203"/>
    </row>
    <row r="35" spans="1:19" ht="13">
      <c r="A35" s="120" t="s">
        <v>187</v>
      </c>
      <c r="B35" s="39">
        <f>202+150</f>
        <v>352</v>
      </c>
      <c r="C35" s="39">
        <f>334</f>
        <v>334</v>
      </c>
      <c r="D35" s="39">
        <f>156+150</f>
        <v>306</v>
      </c>
      <c r="E35" s="122">
        <f t="shared" si="2"/>
        <v>686</v>
      </c>
      <c r="F35" s="113">
        <f t="shared" si="3"/>
        <v>0.44606413994169097</v>
      </c>
      <c r="H35" s="223"/>
      <c r="I35" s="202"/>
      <c r="J35" s="202"/>
      <c r="K35" s="203"/>
      <c r="M35" s="223"/>
      <c r="N35" s="202"/>
      <c r="O35" s="203"/>
      <c r="P35" s="116"/>
      <c r="Q35" s="220"/>
      <c r="R35" s="223"/>
      <c r="S35" s="203"/>
    </row>
    <row r="36" spans="1:19" ht="13">
      <c r="A36" s="120" t="s">
        <v>188</v>
      </c>
      <c r="B36" s="39">
        <f>160+150</f>
        <v>310</v>
      </c>
      <c r="C36" s="39">
        <f>363</f>
        <v>363</v>
      </c>
      <c r="D36" s="39">
        <f>137+150</f>
        <v>287</v>
      </c>
      <c r="E36" s="122">
        <f t="shared" si="2"/>
        <v>673</v>
      </c>
      <c r="F36" s="113">
        <f t="shared" si="3"/>
        <v>0.4264487369985141</v>
      </c>
      <c r="H36" s="191"/>
      <c r="I36" s="192"/>
      <c r="J36" s="192"/>
      <c r="K36" s="193"/>
      <c r="M36" s="191"/>
      <c r="N36" s="192"/>
      <c r="O36" s="193"/>
      <c r="P36" s="116"/>
      <c r="Q36" s="221"/>
      <c r="R36" s="191"/>
      <c r="S36" s="193"/>
    </row>
    <row r="37" spans="1:19" ht="13">
      <c r="A37" s="94"/>
      <c r="B37" s="94"/>
      <c r="C37" s="94"/>
      <c r="D37" s="94"/>
      <c r="E37" s="94"/>
      <c r="F37" s="94"/>
      <c r="G37" s="94"/>
      <c r="H37" s="94"/>
      <c r="I37" s="94"/>
      <c r="J37" s="94"/>
      <c r="K37" s="94"/>
      <c r="L37" s="94"/>
      <c r="M37" s="95"/>
      <c r="N37" s="95"/>
      <c r="O37" s="95"/>
      <c r="P37" s="96"/>
      <c r="Q37" s="97"/>
      <c r="R37" s="97"/>
      <c r="S37" s="96"/>
    </row>
    <row r="38" spans="1:19" ht="13">
      <c r="A38" s="213" t="s">
        <v>189</v>
      </c>
      <c r="B38" s="184"/>
      <c r="C38" s="184"/>
      <c r="D38" s="184"/>
      <c r="E38" s="184"/>
      <c r="F38" s="185"/>
      <c r="H38" s="236"/>
      <c r="I38" s="189"/>
      <c r="J38" s="189"/>
      <c r="K38" s="190"/>
      <c r="M38" s="91"/>
      <c r="N38" s="91"/>
      <c r="O38" s="91"/>
      <c r="Q38" s="92"/>
      <c r="R38" s="92"/>
      <c r="S38" s="92"/>
    </row>
    <row r="39" spans="1:19" ht="13">
      <c r="A39" s="213" t="s">
        <v>190</v>
      </c>
      <c r="B39" s="184"/>
      <c r="C39" s="184"/>
      <c r="D39" s="184"/>
      <c r="E39" s="184"/>
      <c r="F39" s="185"/>
      <c r="H39" s="223"/>
      <c r="I39" s="202"/>
      <c r="J39" s="202"/>
      <c r="K39" s="203"/>
      <c r="M39" s="224" t="s">
        <v>382</v>
      </c>
      <c r="N39" s="189"/>
      <c r="O39" s="190"/>
      <c r="Q39" s="225" t="s">
        <v>168</v>
      </c>
      <c r="R39" s="190"/>
      <c r="S39" s="226" t="s">
        <v>457</v>
      </c>
    </row>
    <row r="40" spans="1:19" ht="13">
      <c r="A40" s="8" t="s">
        <v>169</v>
      </c>
      <c r="B40" s="213" t="s">
        <v>170</v>
      </c>
      <c r="C40" s="184"/>
      <c r="D40" s="184"/>
      <c r="E40" s="184"/>
      <c r="F40" s="185"/>
      <c r="G40" s="100"/>
      <c r="H40" s="223"/>
      <c r="I40" s="202"/>
      <c r="J40" s="202"/>
      <c r="K40" s="203"/>
      <c r="L40" s="100"/>
      <c r="M40" s="223"/>
      <c r="N40" s="202"/>
      <c r="O40" s="203"/>
      <c r="Q40" s="223"/>
      <c r="R40" s="203"/>
      <c r="S40" s="220"/>
    </row>
    <row r="41" spans="1:19" ht="26">
      <c r="A41" s="118" t="s">
        <v>191</v>
      </c>
      <c r="B41" s="119" t="s">
        <v>172</v>
      </c>
      <c r="C41" s="119" t="s">
        <v>173</v>
      </c>
      <c r="D41" s="119" t="s">
        <v>174</v>
      </c>
      <c r="E41" s="119" t="s">
        <v>175</v>
      </c>
      <c r="F41" s="119" t="s">
        <v>176</v>
      </c>
      <c r="H41" s="223"/>
      <c r="I41" s="202"/>
      <c r="J41" s="202"/>
      <c r="K41" s="203"/>
      <c r="M41" s="223"/>
      <c r="N41" s="202"/>
      <c r="O41" s="203"/>
      <c r="Q41" s="191"/>
      <c r="R41" s="193"/>
      <c r="S41" s="221"/>
    </row>
    <row r="42" spans="1:19" ht="14">
      <c r="A42" s="120" t="s">
        <v>182</v>
      </c>
      <c r="B42" s="39">
        <f>997-600</f>
        <v>397</v>
      </c>
      <c r="C42" s="39">
        <v>139</v>
      </c>
      <c r="D42" s="123">
        <v>250</v>
      </c>
      <c r="E42" s="122">
        <f t="shared" ref="E42:E48" si="4">B42+C42</f>
        <v>536</v>
      </c>
      <c r="F42" s="113">
        <f>D42/E42</f>
        <v>0.46641791044776121</v>
      </c>
      <c r="H42" s="223"/>
      <c r="I42" s="202"/>
      <c r="J42" s="202"/>
      <c r="K42" s="203"/>
      <c r="M42" s="223"/>
      <c r="N42" s="202"/>
      <c r="O42" s="203"/>
      <c r="Q42" s="109"/>
      <c r="R42" s="92"/>
      <c r="S42" s="110"/>
    </row>
    <row r="43" spans="1:19" ht="13">
      <c r="A43" s="120" t="s">
        <v>183</v>
      </c>
      <c r="B43" s="39">
        <f>620-350</f>
        <v>270</v>
      </c>
      <c r="C43" s="39">
        <v>146</v>
      </c>
      <c r="D43" s="124">
        <v>190</v>
      </c>
      <c r="E43" s="122">
        <f t="shared" si="4"/>
        <v>416</v>
      </c>
      <c r="F43" s="113">
        <f t="shared" ref="F43:F48" si="5">D43/E43</f>
        <v>0.45673076923076922</v>
      </c>
      <c r="H43" s="223"/>
      <c r="I43" s="202"/>
      <c r="J43" s="202"/>
      <c r="K43" s="203"/>
      <c r="M43" s="223"/>
      <c r="N43" s="202"/>
      <c r="O43" s="203"/>
      <c r="Q43" s="219" t="s">
        <v>177</v>
      </c>
      <c r="R43" s="222" t="s">
        <v>385</v>
      </c>
      <c r="S43" s="190"/>
    </row>
    <row r="44" spans="1:19" ht="13">
      <c r="A44" s="120" t="s">
        <v>184</v>
      </c>
      <c r="B44" s="39">
        <f>565-350</f>
        <v>215</v>
      </c>
      <c r="C44" s="39">
        <v>158</v>
      </c>
      <c r="D44" s="124">
        <v>170</v>
      </c>
      <c r="E44" s="122">
        <f t="shared" si="4"/>
        <v>373</v>
      </c>
      <c r="F44" s="113">
        <f t="shared" si="5"/>
        <v>0.45576407506702415</v>
      </c>
      <c r="H44" s="223"/>
      <c r="I44" s="202"/>
      <c r="J44" s="202"/>
      <c r="K44" s="203"/>
      <c r="M44" s="223"/>
      <c r="N44" s="202"/>
      <c r="O44" s="203"/>
      <c r="Q44" s="220"/>
      <c r="R44" s="223"/>
      <c r="S44" s="203"/>
    </row>
    <row r="45" spans="1:19" ht="13">
      <c r="A45" s="120" t="s">
        <v>185</v>
      </c>
      <c r="B45" s="39">
        <f>432-280</f>
        <v>152</v>
      </c>
      <c r="C45" s="39">
        <v>171</v>
      </c>
      <c r="D45" s="124">
        <v>145</v>
      </c>
      <c r="E45" s="122">
        <f t="shared" si="4"/>
        <v>323</v>
      </c>
      <c r="F45" s="113">
        <f t="shared" si="5"/>
        <v>0.44891640866873067</v>
      </c>
      <c r="H45" s="223"/>
      <c r="I45" s="202"/>
      <c r="J45" s="202"/>
      <c r="K45" s="203"/>
      <c r="M45" s="223"/>
      <c r="N45" s="202"/>
      <c r="O45" s="203"/>
      <c r="Q45" s="220"/>
      <c r="R45" s="223"/>
      <c r="S45" s="203"/>
    </row>
    <row r="46" spans="1:19" ht="13">
      <c r="A46" s="120" t="s">
        <v>186</v>
      </c>
      <c r="B46" s="39">
        <f>294-190</f>
        <v>104</v>
      </c>
      <c r="C46" s="39">
        <v>179</v>
      </c>
      <c r="D46" s="124">
        <v>122</v>
      </c>
      <c r="E46" s="122">
        <f t="shared" si="4"/>
        <v>283</v>
      </c>
      <c r="F46" s="113">
        <f t="shared" si="5"/>
        <v>0.43109540636042404</v>
      </c>
      <c r="H46" s="223"/>
      <c r="I46" s="202"/>
      <c r="J46" s="202"/>
      <c r="K46" s="203"/>
      <c r="M46" s="223"/>
      <c r="N46" s="202"/>
      <c r="O46" s="203"/>
      <c r="P46" s="116"/>
      <c r="Q46" s="220"/>
      <c r="R46" s="223"/>
      <c r="S46" s="203"/>
    </row>
    <row r="47" spans="1:19" ht="13">
      <c r="A47" s="120" t="s">
        <v>187</v>
      </c>
      <c r="B47" s="39">
        <f>209-150</f>
        <v>59</v>
      </c>
      <c r="C47" s="39">
        <v>192</v>
      </c>
      <c r="D47" s="124">
        <v>109</v>
      </c>
      <c r="E47" s="122">
        <f t="shared" si="4"/>
        <v>251</v>
      </c>
      <c r="F47" s="113">
        <f t="shared" si="5"/>
        <v>0.43426294820717132</v>
      </c>
      <c r="H47" s="223"/>
      <c r="I47" s="202"/>
      <c r="J47" s="202"/>
      <c r="K47" s="203"/>
      <c r="M47" s="223"/>
      <c r="N47" s="202"/>
      <c r="O47" s="203"/>
      <c r="P47" s="116"/>
      <c r="Q47" s="220"/>
      <c r="R47" s="223"/>
      <c r="S47" s="203"/>
    </row>
    <row r="48" spans="1:19" ht="13">
      <c r="A48" s="120" t="s">
        <v>188</v>
      </c>
      <c r="B48" s="39">
        <f>144-120</f>
        <v>24</v>
      </c>
      <c r="C48" s="39">
        <v>214</v>
      </c>
      <c r="D48" s="124">
        <v>102</v>
      </c>
      <c r="E48" s="122">
        <f t="shared" si="4"/>
        <v>238</v>
      </c>
      <c r="F48" s="113">
        <f t="shared" si="5"/>
        <v>0.42857142857142855</v>
      </c>
      <c r="H48" s="191"/>
      <c r="I48" s="192"/>
      <c r="J48" s="192"/>
      <c r="K48" s="193"/>
      <c r="M48" s="191"/>
      <c r="N48" s="192"/>
      <c r="O48" s="193"/>
      <c r="P48" s="116"/>
      <c r="Q48" s="221"/>
      <c r="R48" s="191"/>
      <c r="S48" s="193"/>
    </row>
    <row r="49" spans="1:19" ht="13">
      <c r="A49" s="94"/>
      <c r="B49" s="94"/>
      <c r="C49" s="94"/>
      <c r="D49" s="94"/>
      <c r="E49" s="94"/>
      <c r="F49" s="94"/>
      <c r="G49" s="94"/>
      <c r="H49" s="94"/>
      <c r="I49" s="94"/>
      <c r="J49" s="94"/>
      <c r="K49" s="94"/>
      <c r="L49" s="94"/>
      <c r="M49" s="95"/>
      <c r="N49" s="95"/>
      <c r="O49" s="95"/>
      <c r="P49" s="96"/>
      <c r="Q49" s="97"/>
      <c r="R49" s="97"/>
      <c r="S49" s="96"/>
    </row>
    <row r="50" spans="1:19" ht="14">
      <c r="D50" s="108"/>
      <c r="P50" s="116"/>
      <c r="Q50" s="125"/>
      <c r="R50" s="126" t="s">
        <v>192</v>
      </c>
      <c r="S50" s="126" t="s">
        <v>193</v>
      </c>
    </row>
    <row r="51" spans="1:19" ht="12.5">
      <c r="D51" s="114"/>
      <c r="P51" s="225" t="s">
        <v>194</v>
      </c>
      <c r="Q51" s="190"/>
      <c r="R51" s="227" t="s">
        <v>387</v>
      </c>
      <c r="S51" s="227" t="s">
        <v>389</v>
      </c>
    </row>
    <row r="52" spans="1:19" ht="12.5">
      <c r="D52" s="114"/>
      <c r="P52" s="223"/>
      <c r="Q52" s="203"/>
      <c r="R52" s="220"/>
      <c r="S52" s="220"/>
    </row>
    <row r="53" spans="1:19" ht="12.5">
      <c r="D53" s="114"/>
      <c r="P53" s="223"/>
      <c r="Q53" s="203"/>
      <c r="R53" s="220"/>
      <c r="S53" s="220"/>
    </row>
    <row r="54" spans="1:19" ht="12.5">
      <c r="D54" s="114"/>
      <c r="P54" s="223"/>
      <c r="Q54" s="203"/>
      <c r="R54" s="220"/>
      <c r="S54" s="220"/>
    </row>
    <row r="55" spans="1:19" ht="12.5">
      <c r="D55" s="114"/>
      <c r="P55" s="223"/>
      <c r="Q55" s="203"/>
      <c r="R55" s="220"/>
      <c r="S55" s="220"/>
    </row>
    <row r="56" spans="1:19" ht="12.5">
      <c r="D56" s="114"/>
      <c r="P56" s="191"/>
      <c r="Q56" s="193"/>
      <c r="R56" s="221"/>
      <c r="S56" s="221"/>
    </row>
    <row r="57" spans="1:19" ht="13">
      <c r="D57" s="114"/>
      <c r="Q57" s="92"/>
      <c r="R57" s="92"/>
      <c r="S57" s="92"/>
    </row>
    <row r="58" spans="1:19" ht="13">
      <c r="D58" s="114"/>
      <c r="Q58" s="92"/>
      <c r="R58" s="92"/>
      <c r="S58" s="92"/>
    </row>
    <row r="59" spans="1:19" ht="12.5">
      <c r="D59" s="114"/>
      <c r="Q59" s="219" t="s">
        <v>195</v>
      </c>
      <c r="R59" s="222" t="s">
        <v>390</v>
      </c>
      <c r="S59" s="190"/>
    </row>
    <row r="60" spans="1:19" ht="12.5">
      <c r="D60" s="114"/>
      <c r="Q60" s="220"/>
      <c r="R60" s="223"/>
      <c r="S60" s="203"/>
    </row>
    <row r="61" spans="1:19" ht="12.5">
      <c r="Q61" s="220"/>
      <c r="R61" s="223"/>
      <c r="S61" s="203"/>
    </row>
    <row r="62" spans="1:19" ht="12.5">
      <c r="Q62" s="220"/>
      <c r="R62" s="223"/>
      <c r="S62" s="203"/>
    </row>
    <row r="63" spans="1:19" ht="12.5">
      <c r="Q63" s="220"/>
      <c r="R63" s="223"/>
      <c r="S63" s="203"/>
    </row>
    <row r="64" spans="1:19" ht="12.5">
      <c r="Q64" s="221"/>
      <c r="R64" s="191"/>
      <c r="S64" s="193"/>
    </row>
    <row r="65" spans="1:19" ht="13">
      <c r="A65" s="94"/>
      <c r="B65" s="94"/>
      <c r="C65" s="94"/>
      <c r="D65" s="94"/>
      <c r="E65" s="94"/>
      <c r="F65" s="94"/>
      <c r="G65" s="94"/>
      <c r="H65" s="94"/>
      <c r="I65" s="94"/>
      <c r="J65" s="94"/>
      <c r="K65" s="94"/>
      <c r="L65" s="94"/>
      <c r="M65" s="95"/>
      <c r="N65" s="95"/>
      <c r="O65" s="95"/>
      <c r="P65" s="96"/>
      <c r="Q65" s="97"/>
      <c r="R65" s="97"/>
      <c r="S65" s="96"/>
    </row>
  </sheetData>
  <mergeCells count="44">
    <mergeCell ref="A1:S1"/>
    <mergeCell ref="A2:I2"/>
    <mergeCell ref="A3:I3"/>
    <mergeCell ref="A4:I4"/>
    <mergeCell ref="A5:I5"/>
    <mergeCell ref="A6:I6"/>
    <mergeCell ref="A7:I7"/>
    <mergeCell ref="B16:F16"/>
    <mergeCell ref="A26:F26"/>
    <mergeCell ref="A27:F27"/>
    <mergeCell ref="B28:F28"/>
    <mergeCell ref="A38:F38"/>
    <mergeCell ref="A39:F39"/>
    <mergeCell ref="B40:F40"/>
    <mergeCell ref="A8:I8"/>
    <mergeCell ref="A9:I9"/>
    <mergeCell ref="A10:I10"/>
    <mergeCell ref="A11:I11"/>
    <mergeCell ref="A12:I12"/>
    <mergeCell ref="A14:F14"/>
    <mergeCell ref="A15:F15"/>
    <mergeCell ref="H26:K36"/>
    <mergeCell ref="H38:K48"/>
    <mergeCell ref="H14:K24"/>
    <mergeCell ref="Q19:Q24"/>
    <mergeCell ref="Q27:R29"/>
    <mergeCell ref="M15:O24"/>
    <mergeCell ref="Q15:R17"/>
    <mergeCell ref="S15:S17"/>
    <mergeCell ref="R19:S24"/>
    <mergeCell ref="S27:S29"/>
    <mergeCell ref="Q59:Q64"/>
    <mergeCell ref="R59:S64"/>
    <mergeCell ref="M27:O36"/>
    <mergeCell ref="Q31:Q36"/>
    <mergeCell ref="M39:O48"/>
    <mergeCell ref="Q39:R41"/>
    <mergeCell ref="S39:S41"/>
    <mergeCell ref="Q43:Q48"/>
    <mergeCell ref="R43:S48"/>
    <mergeCell ref="R31:S36"/>
    <mergeCell ref="P51:Q56"/>
    <mergeCell ref="R51:R56"/>
    <mergeCell ref="S51:S5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63"/>
  <sheetViews>
    <sheetView showGridLines="0" topLeftCell="A24" zoomScale="50" zoomScaleNormal="50" workbookViewId="0">
      <selection activeCell="S38" sqref="S38:S40"/>
    </sheetView>
  </sheetViews>
  <sheetFormatPr defaultColWidth="14.453125" defaultRowHeight="15.75" customHeight="1"/>
  <cols>
    <col min="2" max="2" width="11.54296875" customWidth="1"/>
    <col min="3" max="3" width="17.453125" customWidth="1"/>
    <col min="4" max="4" width="18" customWidth="1"/>
    <col min="5" max="5" width="9" customWidth="1"/>
    <col min="6" max="6" width="11.453125" customWidth="1"/>
  </cols>
  <sheetData>
    <row r="1" spans="1:19" ht="15.75" customHeight="1">
      <c r="A1" s="217" t="s">
        <v>18</v>
      </c>
      <c r="B1" s="184"/>
      <c r="C1" s="184"/>
      <c r="D1" s="184"/>
      <c r="E1" s="184"/>
      <c r="F1" s="184"/>
      <c r="G1" s="184"/>
      <c r="H1" s="184"/>
      <c r="I1" s="184"/>
      <c r="J1" s="184"/>
      <c r="K1" s="184"/>
      <c r="L1" s="184"/>
      <c r="M1" s="184"/>
      <c r="N1" s="184"/>
      <c r="O1" s="184"/>
      <c r="P1" s="184"/>
      <c r="Q1" s="184"/>
      <c r="R1" s="184"/>
      <c r="S1" s="185"/>
    </row>
    <row r="2" spans="1:19" ht="13">
      <c r="A2" s="218" t="s">
        <v>196</v>
      </c>
      <c r="B2" s="184"/>
      <c r="C2" s="184"/>
      <c r="D2" s="184"/>
      <c r="E2" s="184"/>
      <c r="F2" s="184"/>
      <c r="G2" s="184"/>
      <c r="H2" s="184"/>
      <c r="I2" s="185"/>
      <c r="O2" s="127"/>
      <c r="P2" s="91"/>
      <c r="R2" s="92"/>
      <c r="S2" s="92"/>
    </row>
    <row r="3" spans="1:19" ht="13">
      <c r="A3" s="215" t="s">
        <v>197</v>
      </c>
      <c r="B3" s="184"/>
      <c r="C3" s="184"/>
      <c r="D3" s="184"/>
      <c r="E3" s="184"/>
      <c r="F3" s="184"/>
      <c r="G3" s="184"/>
      <c r="H3" s="184"/>
      <c r="I3" s="185"/>
      <c r="O3" s="127"/>
      <c r="P3" s="91"/>
      <c r="R3" s="92"/>
      <c r="S3" s="92"/>
    </row>
    <row r="4" spans="1:19" ht="13">
      <c r="A4" s="195" t="s">
        <v>198</v>
      </c>
      <c r="B4" s="192"/>
      <c r="C4" s="192"/>
      <c r="D4" s="192"/>
      <c r="E4" s="192"/>
      <c r="F4" s="192"/>
      <c r="G4" s="192"/>
      <c r="H4" s="192"/>
      <c r="I4" s="193"/>
      <c r="O4" s="127"/>
      <c r="P4" s="91"/>
      <c r="R4" s="92"/>
      <c r="S4" s="92"/>
    </row>
    <row r="5" spans="1:19" ht="13">
      <c r="A5" s="218" t="s">
        <v>199</v>
      </c>
      <c r="B5" s="184"/>
      <c r="C5" s="184"/>
      <c r="D5" s="184"/>
      <c r="E5" s="184"/>
      <c r="F5" s="184"/>
      <c r="G5" s="184"/>
      <c r="H5" s="184"/>
      <c r="I5" s="185"/>
      <c r="O5" s="127"/>
      <c r="P5" s="91"/>
      <c r="R5" s="92"/>
      <c r="S5" s="92"/>
    </row>
    <row r="6" spans="1:19" ht="13">
      <c r="A6" s="241" t="s">
        <v>200</v>
      </c>
      <c r="B6" s="184"/>
      <c r="C6" s="184"/>
      <c r="D6" s="184"/>
      <c r="E6" s="184"/>
      <c r="F6" s="184"/>
      <c r="G6" s="184"/>
      <c r="H6" s="184"/>
      <c r="I6" s="185"/>
      <c r="O6" s="127"/>
      <c r="P6" s="91"/>
      <c r="R6" s="92"/>
      <c r="S6" s="92"/>
    </row>
    <row r="7" spans="1:19" ht="13">
      <c r="A7" s="241" t="s">
        <v>201</v>
      </c>
      <c r="B7" s="184"/>
      <c r="C7" s="184"/>
      <c r="D7" s="184"/>
      <c r="E7" s="184"/>
      <c r="F7" s="184"/>
      <c r="G7" s="184"/>
      <c r="H7" s="184"/>
      <c r="I7" s="185"/>
      <c r="O7" s="127"/>
      <c r="P7" s="91"/>
      <c r="R7" s="92"/>
      <c r="S7" s="92"/>
    </row>
    <row r="8" spans="1:19" ht="13">
      <c r="A8" s="241" t="s">
        <v>202</v>
      </c>
      <c r="B8" s="184"/>
      <c r="C8" s="184"/>
      <c r="D8" s="184"/>
      <c r="E8" s="184"/>
      <c r="F8" s="184"/>
      <c r="G8" s="184"/>
      <c r="H8" s="184"/>
      <c r="I8" s="185"/>
      <c r="O8" s="127"/>
      <c r="P8" s="91"/>
      <c r="R8" s="92"/>
      <c r="S8" s="92"/>
    </row>
    <row r="9" spans="1:19" ht="13">
      <c r="A9" s="241" t="s">
        <v>203</v>
      </c>
      <c r="B9" s="184"/>
      <c r="C9" s="184"/>
      <c r="D9" s="184"/>
      <c r="E9" s="184"/>
      <c r="F9" s="184"/>
      <c r="G9" s="184"/>
      <c r="H9" s="184"/>
      <c r="I9" s="185"/>
      <c r="O9" s="127"/>
      <c r="P9" s="91"/>
      <c r="R9" s="92"/>
      <c r="S9" s="92"/>
    </row>
    <row r="10" spans="1:19" ht="13">
      <c r="A10" s="241" t="s">
        <v>204</v>
      </c>
      <c r="B10" s="184"/>
      <c r="C10" s="184"/>
      <c r="D10" s="184"/>
      <c r="E10" s="184"/>
      <c r="F10" s="184"/>
      <c r="G10" s="184"/>
      <c r="H10" s="184"/>
      <c r="I10" s="185"/>
      <c r="O10" s="127"/>
      <c r="P10" s="91"/>
      <c r="R10" s="92"/>
      <c r="S10" s="92"/>
    </row>
    <row r="11" spans="1:19" ht="13">
      <c r="A11" s="230" t="s">
        <v>37</v>
      </c>
      <c r="B11" s="202"/>
      <c r="C11" s="202"/>
      <c r="D11" s="202"/>
      <c r="E11" s="202"/>
      <c r="F11" s="202"/>
      <c r="G11" s="202"/>
      <c r="H11" s="202"/>
      <c r="I11" s="202"/>
      <c r="J11" s="98"/>
      <c r="K11" s="98"/>
      <c r="L11" s="98"/>
      <c r="M11" s="98"/>
      <c r="N11" s="98"/>
      <c r="O11" s="98"/>
      <c r="P11" s="91"/>
      <c r="R11" s="92"/>
      <c r="S11" s="92"/>
    </row>
    <row r="12" spans="1:19" ht="13">
      <c r="A12" s="98"/>
      <c r="B12" s="98"/>
      <c r="C12" s="98"/>
      <c r="D12" s="98"/>
      <c r="E12" s="98"/>
      <c r="F12" s="98"/>
      <c r="G12" s="98"/>
      <c r="H12" s="98"/>
      <c r="I12" s="98"/>
      <c r="J12" s="98"/>
      <c r="K12" s="98"/>
      <c r="L12" s="98"/>
      <c r="M12" s="98"/>
      <c r="N12" s="98"/>
      <c r="O12" s="98"/>
      <c r="P12" s="91"/>
      <c r="R12" s="92"/>
      <c r="S12" s="92"/>
    </row>
    <row r="13" spans="1:19" ht="13">
      <c r="A13" s="213" t="s">
        <v>205</v>
      </c>
      <c r="B13" s="184"/>
      <c r="C13" s="184"/>
      <c r="D13" s="184"/>
      <c r="E13" s="184"/>
      <c r="F13" s="185"/>
      <c r="H13" s="236"/>
      <c r="I13" s="189"/>
      <c r="J13" s="189"/>
      <c r="K13" s="190"/>
      <c r="L13" s="91"/>
      <c r="M13" s="91"/>
      <c r="N13" s="91"/>
      <c r="O13" s="91"/>
    </row>
    <row r="14" spans="1:19" ht="13">
      <c r="A14" s="213" t="s">
        <v>398</v>
      </c>
      <c r="B14" s="184"/>
      <c r="C14" s="184"/>
      <c r="D14" s="184"/>
      <c r="E14" s="184"/>
      <c r="F14" s="185"/>
      <c r="H14" s="223"/>
      <c r="I14" s="202"/>
      <c r="J14" s="202"/>
      <c r="K14" s="203"/>
      <c r="L14" s="91"/>
      <c r="M14" s="224" t="s">
        <v>391</v>
      </c>
      <c r="N14" s="189"/>
      <c r="O14" s="190"/>
      <c r="Q14" s="225" t="s">
        <v>206</v>
      </c>
      <c r="R14" s="189"/>
      <c r="S14" s="226" t="s">
        <v>458</v>
      </c>
    </row>
    <row r="15" spans="1:19" ht="13">
      <c r="A15" s="8" t="s">
        <v>207</v>
      </c>
      <c r="B15" s="213" t="s">
        <v>170</v>
      </c>
      <c r="C15" s="184"/>
      <c r="D15" s="184"/>
      <c r="E15" s="184"/>
      <c r="F15" s="185"/>
      <c r="H15" s="223"/>
      <c r="I15" s="202"/>
      <c r="J15" s="202"/>
      <c r="K15" s="203"/>
      <c r="L15" s="91"/>
      <c r="M15" s="223"/>
      <c r="N15" s="202"/>
      <c r="O15" s="203"/>
      <c r="Q15" s="223"/>
      <c r="R15" s="202"/>
      <c r="S15" s="220"/>
    </row>
    <row r="16" spans="1:19" ht="26">
      <c r="A16" s="118" t="s">
        <v>208</v>
      </c>
      <c r="B16" s="119" t="s">
        <v>172</v>
      </c>
      <c r="C16" s="119" t="s">
        <v>173</v>
      </c>
      <c r="D16" s="119" t="s">
        <v>174</v>
      </c>
      <c r="E16" s="119" t="s">
        <v>175</v>
      </c>
      <c r="F16" s="119" t="s">
        <v>176</v>
      </c>
      <c r="G16" s="128"/>
      <c r="H16" s="223"/>
      <c r="I16" s="202"/>
      <c r="J16" s="202"/>
      <c r="K16" s="203"/>
      <c r="L16" s="91"/>
      <c r="M16" s="223"/>
      <c r="N16" s="202"/>
      <c r="O16" s="203"/>
      <c r="Q16" s="223"/>
      <c r="R16" s="202"/>
      <c r="S16" s="221"/>
    </row>
    <row r="17" spans="1:19" ht="14">
      <c r="A17" s="120" t="s">
        <v>182</v>
      </c>
      <c r="B17" s="39">
        <f>954-750</f>
        <v>204</v>
      </c>
      <c r="C17" s="39">
        <f>192+150</f>
        <v>342</v>
      </c>
      <c r="D17" s="121">
        <f>303+150</f>
        <v>453</v>
      </c>
      <c r="E17" s="122">
        <f t="shared" ref="E17:E23" si="0">B17+C17</f>
        <v>546</v>
      </c>
      <c r="F17" s="129">
        <v>0.83</v>
      </c>
      <c r="H17" s="223"/>
      <c r="I17" s="202"/>
      <c r="J17" s="202"/>
      <c r="K17" s="203"/>
      <c r="L17" s="91"/>
      <c r="M17" s="223"/>
      <c r="N17" s="202"/>
      <c r="O17" s="203"/>
      <c r="Q17" s="109"/>
      <c r="R17" s="92"/>
      <c r="S17" s="110"/>
    </row>
    <row r="18" spans="1:19" ht="13">
      <c r="A18" s="120" t="s">
        <v>183</v>
      </c>
      <c r="B18" s="39">
        <f>540-370</f>
        <v>170</v>
      </c>
      <c r="C18" s="124">
        <v>360</v>
      </c>
      <c r="D18" s="39">
        <f>277+150</f>
        <v>427</v>
      </c>
      <c r="E18" s="122">
        <f t="shared" si="0"/>
        <v>530</v>
      </c>
      <c r="F18" s="113">
        <f>D18/E18</f>
        <v>0.80566037735849061</v>
      </c>
      <c r="H18" s="223"/>
      <c r="I18" s="202"/>
      <c r="J18" s="202"/>
      <c r="K18" s="203"/>
      <c r="L18" s="91"/>
      <c r="M18" s="223"/>
      <c r="N18" s="202"/>
      <c r="O18" s="203"/>
      <c r="Q18" s="219" t="s">
        <v>177</v>
      </c>
      <c r="R18" s="222" t="s">
        <v>394</v>
      </c>
      <c r="S18" s="190"/>
    </row>
    <row r="19" spans="1:19" ht="13">
      <c r="A19" s="120" t="s">
        <v>184</v>
      </c>
      <c r="B19" s="39">
        <f>402-250</f>
        <v>152</v>
      </c>
      <c r="C19" s="124">
        <v>370</v>
      </c>
      <c r="D19" s="39">
        <f>262+150</f>
        <v>412</v>
      </c>
      <c r="E19" s="122">
        <f t="shared" si="0"/>
        <v>522</v>
      </c>
      <c r="F19" s="113">
        <f t="shared" ref="F19:F23" si="1">D19/E19</f>
        <v>0.78927203065134099</v>
      </c>
      <c r="H19" s="223"/>
      <c r="I19" s="202"/>
      <c r="J19" s="202"/>
      <c r="K19" s="203"/>
      <c r="L19" s="91"/>
      <c r="M19" s="223"/>
      <c r="N19" s="202"/>
      <c r="O19" s="203"/>
      <c r="Q19" s="220"/>
      <c r="R19" s="223"/>
      <c r="S19" s="203"/>
    </row>
    <row r="20" spans="1:19" ht="13">
      <c r="A20" s="120" t="s">
        <v>185</v>
      </c>
      <c r="B20" s="39">
        <f>310-200</f>
        <v>110</v>
      </c>
      <c r="C20" s="124">
        <v>380</v>
      </c>
      <c r="D20" s="39">
        <f>228+150</f>
        <v>378</v>
      </c>
      <c r="E20" s="122">
        <f t="shared" si="0"/>
        <v>490</v>
      </c>
      <c r="F20" s="113">
        <f t="shared" si="1"/>
        <v>0.77142857142857146</v>
      </c>
      <c r="H20" s="223"/>
      <c r="I20" s="202"/>
      <c r="J20" s="202"/>
      <c r="K20" s="203"/>
      <c r="L20" s="91"/>
      <c r="M20" s="223"/>
      <c r="N20" s="202"/>
      <c r="O20" s="203"/>
      <c r="Q20" s="220"/>
      <c r="R20" s="223"/>
      <c r="S20" s="203"/>
    </row>
    <row r="21" spans="1:19" ht="13">
      <c r="A21" s="120" t="s">
        <v>186</v>
      </c>
      <c r="B21" s="124">
        <v>90</v>
      </c>
      <c r="C21" s="124">
        <v>520</v>
      </c>
      <c r="D21" s="39">
        <f>209+150</f>
        <v>359</v>
      </c>
      <c r="E21" s="122">
        <f t="shared" si="0"/>
        <v>610</v>
      </c>
      <c r="F21" s="113">
        <f t="shared" si="1"/>
        <v>0.58852459016393444</v>
      </c>
      <c r="H21" s="223"/>
      <c r="I21" s="202"/>
      <c r="J21" s="202"/>
      <c r="K21" s="203"/>
      <c r="L21" s="91"/>
      <c r="M21" s="223"/>
      <c r="N21" s="202"/>
      <c r="O21" s="203"/>
      <c r="P21" s="116"/>
      <c r="Q21" s="220"/>
      <c r="R21" s="223"/>
      <c r="S21" s="203"/>
    </row>
    <row r="22" spans="1:19" ht="13">
      <c r="A22" s="120" t="s">
        <v>187</v>
      </c>
      <c r="B22" s="124">
        <v>65</v>
      </c>
      <c r="C22" s="124">
        <v>650</v>
      </c>
      <c r="D22" s="39">
        <f>156+150</f>
        <v>306</v>
      </c>
      <c r="E22" s="122">
        <f t="shared" si="0"/>
        <v>715</v>
      </c>
      <c r="F22" s="113">
        <f t="shared" si="1"/>
        <v>0.42797202797202799</v>
      </c>
      <c r="H22" s="223"/>
      <c r="I22" s="202"/>
      <c r="J22" s="202"/>
      <c r="K22" s="203"/>
      <c r="L22" s="91"/>
      <c r="M22" s="223"/>
      <c r="N22" s="202"/>
      <c r="O22" s="203"/>
      <c r="P22" s="116"/>
      <c r="Q22" s="220"/>
      <c r="R22" s="223"/>
      <c r="S22" s="203"/>
    </row>
    <row r="23" spans="1:19" ht="13">
      <c r="A23" s="120" t="s">
        <v>188</v>
      </c>
      <c r="B23" s="124">
        <v>30</v>
      </c>
      <c r="C23" s="124">
        <v>874</v>
      </c>
      <c r="D23" s="39">
        <f>137+150</f>
        <v>287</v>
      </c>
      <c r="E23" s="122">
        <f t="shared" si="0"/>
        <v>904</v>
      </c>
      <c r="F23" s="113">
        <f t="shared" si="1"/>
        <v>0.31747787610619471</v>
      </c>
      <c r="H23" s="191"/>
      <c r="I23" s="192"/>
      <c r="J23" s="192"/>
      <c r="K23" s="193"/>
      <c r="L23" s="91"/>
      <c r="M23" s="191"/>
      <c r="N23" s="192"/>
      <c r="O23" s="193"/>
      <c r="P23" s="116"/>
      <c r="Q23" s="221"/>
      <c r="R23" s="191"/>
      <c r="S23" s="193"/>
    </row>
    <row r="24" spans="1:19" ht="12.5">
      <c r="A24" s="128"/>
      <c r="C24" s="114"/>
    </row>
    <row r="25" spans="1:19" ht="13">
      <c r="A25" s="213" t="s">
        <v>209</v>
      </c>
      <c r="B25" s="184"/>
      <c r="C25" s="184"/>
      <c r="D25" s="184"/>
      <c r="E25" s="184"/>
      <c r="F25" s="185"/>
      <c r="H25" s="236"/>
      <c r="I25" s="189"/>
      <c r="J25" s="189"/>
      <c r="K25" s="190"/>
      <c r="L25" s="91"/>
      <c r="M25" s="91"/>
      <c r="N25" s="91"/>
      <c r="O25" s="91"/>
    </row>
    <row r="26" spans="1:19" ht="13">
      <c r="A26" s="213" t="s">
        <v>210</v>
      </c>
      <c r="B26" s="184"/>
      <c r="C26" s="184"/>
      <c r="D26" s="184"/>
      <c r="E26" s="184"/>
      <c r="F26" s="185"/>
      <c r="H26" s="223"/>
      <c r="I26" s="202"/>
      <c r="J26" s="202"/>
      <c r="K26" s="203"/>
      <c r="L26" s="91"/>
      <c r="M26" s="224" t="s">
        <v>392</v>
      </c>
      <c r="N26" s="189"/>
      <c r="O26" s="190"/>
      <c r="Q26" s="225" t="s">
        <v>206</v>
      </c>
      <c r="R26" s="190"/>
      <c r="S26" s="226" t="s">
        <v>459</v>
      </c>
    </row>
    <row r="27" spans="1:19" ht="13">
      <c r="A27" s="8" t="s">
        <v>207</v>
      </c>
      <c r="B27" s="213" t="s">
        <v>170</v>
      </c>
      <c r="C27" s="184"/>
      <c r="D27" s="184"/>
      <c r="E27" s="184"/>
      <c r="F27" s="185"/>
      <c r="H27" s="223"/>
      <c r="I27" s="202"/>
      <c r="J27" s="202"/>
      <c r="K27" s="203"/>
      <c r="L27" s="91"/>
      <c r="M27" s="223"/>
      <c r="N27" s="202"/>
      <c r="O27" s="203"/>
      <c r="Q27" s="223"/>
      <c r="R27" s="203"/>
      <c r="S27" s="220"/>
    </row>
    <row r="28" spans="1:19" ht="26">
      <c r="A28" s="118" t="s">
        <v>208</v>
      </c>
      <c r="B28" s="119" t="s">
        <v>172</v>
      </c>
      <c r="C28" s="119" t="s">
        <v>173</v>
      </c>
      <c r="D28" s="119" t="s">
        <v>174</v>
      </c>
      <c r="E28" s="119" t="s">
        <v>175</v>
      </c>
      <c r="F28" s="119" t="s">
        <v>176</v>
      </c>
      <c r="G28" s="128"/>
      <c r="H28" s="223"/>
      <c r="I28" s="202"/>
      <c r="J28" s="202"/>
      <c r="K28" s="203"/>
      <c r="L28" s="91"/>
      <c r="M28" s="223"/>
      <c r="N28" s="202"/>
      <c r="O28" s="203"/>
      <c r="Q28" s="191"/>
      <c r="R28" s="193"/>
      <c r="S28" s="221"/>
    </row>
    <row r="29" spans="1:19" ht="14">
      <c r="A29" s="120" t="s">
        <v>182</v>
      </c>
      <c r="B29" s="39">
        <f>954+150</f>
        <v>1104</v>
      </c>
      <c r="C29" s="124">
        <v>200</v>
      </c>
      <c r="D29" s="123">
        <v>800</v>
      </c>
      <c r="E29" s="122">
        <f t="shared" ref="E29:E35" si="2">B29+C29</f>
        <v>1304</v>
      </c>
      <c r="F29" s="113">
        <f>D29/E29</f>
        <v>0.61349693251533743</v>
      </c>
      <c r="H29" s="223"/>
      <c r="I29" s="202"/>
      <c r="J29" s="202"/>
      <c r="K29" s="203"/>
      <c r="L29" s="91"/>
      <c r="M29" s="223"/>
      <c r="N29" s="202"/>
      <c r="O29" s="203"/>
      <c r="Q29" s="109"/>
      <c r="R29" s="92"/>
      <c r="S29" s="110"/>
    </row>
    <row r="30" spans="1:19" ht="13">
      <c r="A30" s="120" t="s">
        <v>183</v>
      </c>
      <c r="B30" s="39">
        <f>540+150</f>
        <v>690</v>
      </c>
      <c r="C30" s="39">
        <f>223+150</f>
        <v>373</v>
      </c>
      <c r="D30" s="39">
        <f>277+150+200</f>
        <v>627</v>
      </c>
      <c r="E30" s="122">
        <f t="shared" si="2"/>
        <v>1063</v>
      </c>
      <c r="F30" s="113">
        <f t="shared" ref="F30:F35" si="3">D30/E30</f>
        <v>0.58984007525870175</v>
      </c>
      <c r="H30" s="223"/>
      <c r="I30" s="202"/>
      <c r="J30" s="202"/>
      <c r="K30" s="203"/>
      <c r="L30" s="91"/>
      <c r="M30" s="223"/>
      <c r="N30" s="202"/>
      <c r="O30" s="203"/>
      <c r="Q30" s="219" t="s">
        <v>177</v>
      </c>
      <c r="R30" s="222" t="s">
        <v>395</v>
      </c>
      <c r="S30" s="190"/>
    </row>
    <row r="31" spans="1:19" ht="13">
      <c r="A31" s="120" t="s">
        <v>184</v>
      </c>
      <c r="B31" s="39">
        <f>402+150</f>
        <v>552</v>
      </c>
      <c r="C31" s="39">
        <f>238+150</f>
        <v>388</v>
      </c>
      <c r="D31" s="39">
        <f>262+150+120</f>
        <v>532</v>
      </c>
      <c r="E31" s="122">
        <f t="shared" si="2"/>
        <v>940</v>
      </c>
      <c r="F31" s="113">
        <f t="shared" si="3"/>
        <v>0.56595744680851068</v>
      </c>
      <c r="H31" s="223"/>
      <c r="I31" s="202"/>
      <c r="J31" s="202"/>
      <c r="K31" s="203"/>
      <c r="L31" s="91"/>
      <c r="M31" s="223"/>
      <c r="N31" s="202"/>
      <c r="O31" s="203"/>
      <c r="Q31" s="220"/>
      <c r="R31" s="223"/>
      <c r="S31" s="203"/>
    </row>
    <row r="32" spans="1:19" ht="13">
      <c r="A32" s="120" t="s">
        <v>185</v>
      </c>
      <c r="B32" s="39">
        <f>310+150</f>
        <v>460</v>
      </c>
      <c r="C32" s="39">
        <f>272+150-50</f>
        <v>372</v>
      </c>
      <c r="D32" s="39">
        <f>228+150+80</f>
        <v>458</v>
      </c>
      <c r="E32" s="122">
        <f t="shared" si="2"/>
        <v>832</v>
      </c>
      <c r="F32" s="113">
        <f t="shared" si="3"/>
        <v>0.55048076923076927</v>
      </c>
      <c r="H32" s="223"/>
      <c r="I32" s="202"/>
      <c r="J32" s="202"/>
      <c r="K32" s="203"/>
      <c r="L32" s="91"/>
      <c r="M32" s="223"/>
      <c r="N32" s="202"/>
      <c r="O32" s="203"/>
      <c r="Q32" s="220"/>
      <c r="R32" s="223"/>
      <c r="S32" s="203"/>
    </row>
    <row r="33" spans="1:19" ht="13">
      <c r="A33" s="120" t="s">
        <v>186</v>
      </c>
      <c r="B33" s="39">
        <f>278+150</f>
        <v>428</v>
      </c>
      <c r="C33" s="39">
        <f>291+150</f>
        <v>441</v>
      </c>
      <c r="D33" s="39">
        <f>209+150</f>
        <v>359</v>
      </c>
      <c r="E33" s="122">
        <f t="shared" si="2"/>
        <v>869</v>
      </c>
      <c r="F33" s="113">
        <f t="shared" si="3"/>
        <v>0.41311852704257768</v>
      </c>
      <c r="H33" s="223"/>
      <c r="I33" s="202"/>
      <c r="J33" s="202"/>
      <c r="K33" s="203"/>
      <c r="L33" s="91"/>
      <c r="M33" s="223"/>
      <c r="N33" s="202"/>
      <c r="O33" s="203"/>
      <c r="P33" s="116"/>
      <c r="Q33" s="220"/>
      <c r="R33" s="223"/>
      <c r="S33" s="203"/>
    </row>
    <row r="34" spans="1:19" ht="13">
      <c r="A34" s="120" t="s">
        <v>187</v>
      </c>
      <c r="B34" s="39">
        <f>202+150</f>
        <v>352</v>
      </c>
      <c r="C34" s="39">
        <f>334+150</f>
        <v>484</v>
      </c>
      <c r="D34" s="39">
        <f>156+150</f>
        <v>306</v>
      </c>
      <c r="E34" s="122">
        <f t="shared" si="2"/>
        <v>836</v>
      </c>
      <c r="F34" s="113">
        <f t="shared" si="3"/>
        <v>0.36602870813397131</v>
      </c>
      <c r="H34" s="223"/>
      <c r="I34" s="202"/>
      <c r="J34" s="202"/>
      <c r="K34" s="203"/>
      <c r="L34" s="91"/>
      <c r="M34" s="223"/>
      <c r="N34" s="202"/>
      <c r="O34" s="203"/>
      <c r="P34" s="116"/>
      <c r="Q34" s="220"/>
      <c r="R34" s="223"/>
      <c r="S34" s="203"/>
    </row>
    <row r="35" spans="1:19" ht="13">
      <c r="A35" s="120" t="s">
        <v>188</v>
      </c>
      <c r="B35" s="39">
        <f>160+150</f>
        <v>310</v>
      </c>
      <c r="C35" s="39">
        <f>363+150</f>
        <v>513</v>
      </c>
      <c r="D35" s="39">
        <f>137+150-100</f>
        <v>187</v>
      </c>
      <c r="E35" s="122">
        <f t="shared" si="2"/>
        <v>823</v>
      </c>
      <c r="F35" s="113">
        <f t="shared" si="3"/>
        <v>0.22721749696233293</v>
      </c>
      <c r="H35" s="191"/>
      <c r="I35" s="192"/>
      <c r="J35" s="192"/>
      <c r="K35" s="193"/>
      <c r="L35" s="91"/>
      <c r="M35" s="191"/>
      <c r="N35" s="192"/>
      <c r="O35" s="193"/>
      <c r="P35" s="116"/>
      <c r="Q35" s="221"/>
      <c r="R35" s="191"/>
      <c r="S35" s="193"/>
    </row>
    <row r="36" spans="1:19" ht="12.5">
      <c r="A36" s="128"/>
    </row>
    <row r="37" spans="1:19" ht="13">
      <c r="A37" s="213" t="s">
        <v>211</v>
      </c>
      <c r="B37" s="184"/>
      <c r="C37" s="184"/>
      <c r="D37" s="184"/>
      <c r="E37" s="184"/>
      <c r="F37" s="185"/>
      <c r="H37" s="236"/>
      <c r="I37" s="189"/>
      <c r="J37" s="189"/>
      <c r="K37" s="190"/>
      <c r="L37" s="91"/>
      <c r="M37" s="91"/>
      <c r="N37" s="91"/>
      <c r="O37" s="91"/>
    </row>
    <row r="38" spans="1:19" ht="13">
      <c r="A38" s="213" t="s">
        <v>212</v>
      </c>
      <c r="B38" s="184"/>
      <c r="C38" s="184"/>
      <c r="D38" s="184"/>
      <c r="E38" s="184"/>
      <c r="F38" s="185"/>
      <c r="H38" s="223"/>
      <c r="I38" s="202"/>
      <c r="J38" s="202"/>
      <c r="K38" s="203"/>
      <c r="L38" s="91"/>
      <c r="M38" s="224" t="s">
        <v>393</v>
      </c>
      <c r="N38" s="189"/>
      <c r="O38" s="190"/>
      <c r="Q38" s="225" t="s">
        <v>206</v>
      </c>
      <c r="R38" s="189"/>
      <c r="S38" s="226" t="s">
        <v>460</v>
      </c>
    </row>
    <row r="39" spans="1:19" ht="13">
      <c r="A39" s="8" t="s">
        <v>207</v>
      </c>
      <c r="B39" s="213" t="s">
        <v>170</v>
      </c>
      <c r="C39" s="184"/>
      <c r="D39" s="184"/>
      <c r="E39" s="184"/>
      <c r="F39" s="185"/>
      <c r="H39" s="223"/>
      <c r="I39" s="202"/>
      <c r="J39" s="202"/>
      <c r="K39" s="203"/>
      <c r="L39" s="91"/>
      <c r="M39" s="223"/>
      <c r="N39" s="202"/>
      <c r="O39" s="203"/>
      <c r="Q39" s="223"/>
      <c r="R39" s="202"/>
      <c r="S39" s="220"/>
    </row>
    <row r="40" spans="1:19" ht="26">
      <c r="A40" s="118" t="s">
        <v>208</v>
      </c>
      <c r="B40" s="119" t="s">
        <v>172</v>
      </c>
      <c r="C40" s="119" t="s">
        <v>173</v>
      </c>
      <c r="D40" s="119" t="s">
        <v>174</v>
      </c>
      <c r="E40" s="119" t="s">
        <v>175</v>
      </c>
      <c r="F40" s="119" t="s">
        <v>176</v>
      </c>
      <c r="G40" s="128"/>
      <c r="H40" s="223"/>
      <c r="I40" s="202"/>
      <c r="J40" s="202"/>
      <c r="K40" s="203"/>
      <c r="L40" s="91"/>
      <c r="M40" s="223"/>
      <c r="N40" s="202"/>
      <c r="O40" s="203"/>
      <c r="Q40" s="223"/>
      <c r="R40" s="202"/>
      <c r="S40" s="221"/>
    </row>
    <row r="41" spans="1:19" ht="14">
      <c r="A41" s="120" t="s">
        <v>182</v>
      </c>
      <c r="B41" s="39">
        <f>954+150</f>
        <v>1104</v>
      </c>
      <c r="C41" s="39">
        <f>192+150</f>
        <v>342</v>
      </c>
      <c r="D41" s="121">
        <f>303+300</f>
        <v>603</v>
      </c>
      <c r="E41" s="122">
        <f t="shared" ref="E41:E47" si="4">B41+C41</f>
        <v>1446</v>
      </c>
      <c r="F41" s="113">
        <f>D41/E41</f>
        <v>0.4170124481327801</v>
      </c>
      <c r="H41" s="223"/>
      <c r="I41" s="202"/>
      <c r="J41" s="202"/>
      <c r="K41" s="203"/>
      <c r="L41" s="91"/>
      <c r="M41" s="223"/>
      <c r="N41" s="202"/>
      <c r="O41" s="203"/>
      <c r="Q41" s="109"/>
      <c r="R41" s="92"/>
      <c r="S41" s="110"/>
    </row>
    <row r="42" spans="1:19" ht="13">
      <c r="A42" s="120" t="s">
        <v>183</v>
      </c>
      <c r="B42" s="39">
        <f>540+150</f>
        <v>690</v>
      </c>
      <c r="C42" s="39">
        <f>223+150</f>
        <v>373</v>
      </c>
      <c r="D42" s="39">
        <f>277+150</f>
        <v>427</v>
      </c>
      <c r="E42" s="122">
        <f t="shared" si="4"/>
        <v>1063</v>
      </c>
      <c r="F42" s="113">
        <f t="shared" ref="F42:F47" si="5">D42/E42</f>
        <v>0.40169332079021636</v>
      </c>
      <c r="H42" s="223"/>
      <c r="I42" s="202"/>
      <c r="J42" s="202"/>
      <c r="K42" s="203"/>
      <c r="L42" s="91"/>
      <c r="M42" s="223"/>
      <c r="N42" s="202"/>
      <c r="O42" s="203"/>
      <c r="Q42" s="219" t="s">
        <v>177</v>
      </c>
      <c r="R42" s="222" t="s">
        <v>396</v>
      </c>
      <c r="S42" s="190"/>
    </row>
    <row r="43" spans="1:19" ht="13">
      <c r="A43" s="120" t="s">
        <v>184</v>
      </c>
      <c r="B43" s="39">
        <f>402+150</f>
        <v>552</v>
      </c>
      <c r="C43" s="39">
        <f>238+150</f>
        <v>388</v>
      </c>
      <c r="D43" s="39">
        <f>262+150</f>
        <v>412</v>
      </c>
      <c r="E43" s="122">
        <f t="shared" si="4"/>
        <v>940</v>
      </c>
      <c r="F43" s="113">
        <f t="shared" si="5"/>
        <v>0.43829787234042555</v>
      </c>
      <c r="H43" s="223"/>
      <c r="I43" s="202"/>
      <c r="J43" s="202"/>
      <c r="K43" s="203"/>
      <c r="L43" s="91"/>
      <c r="M43" s="223"/>
      <c r="N43" s="202"/>
      <c r="O43" s="203"/>
      <c r="Q43" s="220"/>
      <c r="R43" s="223"/>
      <c r="S43" s="203"/>
    </row>
    <row r="44" spans="1:19" ht="13">
      <c r="A44" s="120" t="s">
        <v>185</v>
      </c>
      <c r="B44" s="39">
        <f>310+150</f>
        <v>460</v>
      </c>
      <c r="C44" s="39">
        <f>272+150</f>
        <v>422</v>
      </c>
      <c r="D44" s="39">
        <f>228+150</f>
        <v>378</v>
      </c>
      <c r="E44" s="122">
        <f t="shared" si="4"/>
        <v>882</v>
      </c>
      <c r="F44" s="113">
        <f t="shared" si="5"/>
        <v>0.42857142857142855</v>
      </c>
      <c r="H44" s="223"/>
      <c r="I44" s="202"/>
      <c r="J44" s="202"/>
      <c r="K44" s="203"/>
      <c r="L44" s="91"/>
      <c r="M44" s="223"/>
      <c r="N44" s="202"/>
      <c r="O44" s="203"/>
      <c r="Q44" s="220"/>
      <c r="R44" s="223"/>
      <c r="S44" s="203"/>
    </row>
    <row r="45" spans="1:19" ht="13">
      <c r="A45" s="120" t="s">
        <v>186</v>
      </c>
      <c r="B45" s="39">
        <f>278+150</f>
        <v>428</v>
      </c>
      <c r="C45" s="39">
        <f>291+150</f>
        <v>441</v>
      </c>
      <c r="D45" s="39">
        <f>209+150</f>
        <v>359</v>
      </c>
      <c r="E45" s="122">
        <f t="shared" si="4"/>
        <v>869</v>
      </c>
      <c r="F45" s="113">
        <f t="shared" si="5"/>
        <v>0.41311852704257768</v>
      </c>
      <c r="H45" s="223"/>
      <c r="I45" s="202"/>
      <c r="J45" s="202"/>
      <c r="K45" s="203"/>
      <c r="L45" s="91"/>
      <c r="M45" s="223"/>
      <c r="N45" s="202"/>
      <c r="O45" s="203"/>
      <c r="P45" s="116"/>
      <c r="Q45" s="220"/>
      <c r="R45" s="223"/>
      <c r="S45" s="203"/>
    </row>
    <row r="46" spans="1:19" ht="13">
      <c r="A46" s="120" t="s">
        <v>187</v>
      </c>
      <c r="B46" s="39">
        <f>202+150</f>
        <v>352</v>
      </c>
      <c r="C46" s="39">
        <f>334+150</f>
        <v>484</v>
      </c>
      <c r="D46" s="39">
        <f>156+150</f>
        <v>306</v>
      </c>
      <c r="E46" s="122">
        <f t="shared" si="4"/>
        <v>836</v>
      </c>
      <c r="F46" s="113">
        <f t="shared" si="5"/>
        <v>0.36602870813397131</v>
      </c>
      <c r="H46" s="223"/>
      <c r="I46" s="202"/>
      <c r="J46" s="202"/>
      <c r="K46" s="203"/>
      <c r="L46" s="91"/>
      <c r="M46" s="223"/>
      <c r="N46" s="202"/>
      <c r="O46" s="203"/>
      <c r="P46" s="116"/>
      <c r="Q46" s="220"/>
      <c r="R46" s="223"/>
      <c r="S46" s="203"/>
    </row>
    <row r="47" spans="1:19" ht="13">
      <c r="A47" s="120" t="s">
        <v>188</v>
      </c>
      <c r="B47" s="39">
        <f>160+150</f>
        <v>310</v>
      </c>
      <c r="C47" s="39">
        <f>363+150</f>
        <v>513</v>
      </c>
      <c r="D47" s="39">
        <f>137+150</f>
        <v>287</v>
      </c>
      <c r="E47" s="122">
        <f t="shared" si="4"/>
        <v>823</v>
      </c>
      <c r="F47" s="113">
        <f t="shared" si="5"/>
        <v>0.34872417982989062</v>
      </c>
      <c r="H47" s="191"/>
      <c r="I47" s="192"/>
      <c r="J47" s="192"/>
      <c r="K47" s="193"/>
      <c r="L47" s="91"/>
      <c r="M47" s="191"/>
      <c r="N47" s="192"/>
      <c r="O47" s="193"/>
      <c r="P47" s="116"/>
      <c r="Q47" s="221"/>
      <c r="R47" s="191"/>
      <c r="S47" s="193"/>
    </row>
    <row r="48" spans="1:19" ht="12.5">
      <c r="A48" s="128"/>
    </row>
    <row r="49" spans="1:19" ht="13">
      <c r="A49" s="128"/>
      <c r="R49" s="100" t="s">
        <v>192</v>
      </c>
      <c r="S49" s="100" t="s">
        <v>193</v>
      </c>
    </row>
    <row r="50" spans="1:19" ht="12.5">
      <c r="A50" s="128"/>
      <c r="P50" s="225" t="s">
        <v>213</v>
      </c>
      <c r="Q50" s="190"/>
      <c r="R50" s="227" t="s">
        <v>397</v>
      </c>
      <c r="S50" s="227" t="s">
        <v>399</v>
      </c>
    </row>
    <row r="51" spans="1:19" ht="12.5">
      <c r="A51" s="128"/>
      <c r="P51" s="223"/>
      <c r="Q51" s="203"/>
      <c r="R51" s="220"/>
      <c r="S51" s="220"/>
    </row>
    <row r="52" spans="1:19" ht="12.5">
      <c r="A52" s="128"/>
      <c r="P52" s="223"/>
      <c r="Q52" s="203"/>
      <c r="R52" s="220"/>
      <c r="S52" s="220"/>
    </row>
    <row r="53" spans="1:19" ht="12.5">
      <c r="A53" s="128"/>
      <c r="P53" s="223"/>
      <c r="Q53" s="203"/>
      <c r="R53" s="220"/>
      <c r="S53" s="220"/>
    </row>
    <row r="54" spans="1:19" ht="12.5">
      <c r="A54" s="128"/>
      <c r="P54" s="223"/>
      <c r="Q54" s="203"/>
      <c r="R54" s="220"/>
      <c r="S54" s="220"/>
    </row>
    <row r="55" spans="1:19" ht="12.5">
      <c r="A55" s="128"/>
      <c r="P55" s="191"/>
      <c r="Q55" s="193"/>
      <c r="R55" s="221"/>
      <c r="S55" s="221"/>
    </row>
    <row r="56" spans="1:19" ht="13">
      <c r="A56" s="128"/>
      <c r="Q56" s="92"/>
      <c r="R56" s="92"/>
      <c r="S56" s="92"/>
    </row>
    <row r="57" spans="1:19" ht="13">
      <c r="A57" s="128"/>
      <c r="Q57" s="92"/>
      <c r="R57" s="92"/>
      <c r="S57" s="92"/>
    </row>
    <row r="58" spans="1:19" ht="12.5">
      <c r="A58" s="128"/>
      <c r="Q58" s="219" t="s">
        <v>214</v>
      </c>
      <c r="R58" s="222" t="s">
        <v>400</v>
      </c>
      <c r="S58" s="190"/>
    </row>
    <row r="59" spans="1:19" ht="12.5">
      <c r="A59" s="128"/>
      <c r="Q59" s="220"/>
      <c r="R59" s="223"/>
      <c r="S59" s="203"/>
    </row>
    <row r="60" spans="1:19" ht="12.5">
      <c r="A60" s="128"/>
      <c r="Q60" s="220"/>
      <c r="R60" s="223"/>
      <c r="S60" s="203"/>
    </row>
    <row r="61" spans="1:19" ht="12.5">
      <c r="A61" s="128"/>
      <c r="Q61" s="220"/>
      <c r="R61" s="223"/>
      <c r="S61" s="203"/>
    </row>
    <row r="62" spans="1:19" ht="12.5">
      <c r="A62" s="128"/>
      <c r="Q62" s="220"/>
      <c r="R62" s="223"/>
      <c r="S62" s="203"/>
    </row>
    <row r="63" spans="1:19" ht="12.5">
      <c r="A63" s="128"/>
      <c r="Q63" s="221"/>
      <c r="R63" s="191"/>
      <c r="S63" s="193"/>
    </row>
  </sheetData>
  <mergeCells count="43">
    <mergeCell ref="R50:R55"/>
    <mergeCell ref="S50:S55"/>
    <mergeCell ref="Q58:Q63"/>
    <mergeCell ref="R58:S63"/>
    <mergeCell ref="Q18:Q23"/>
    <mergeCell ref="Q30:Q35"/>
    <mergeCell ref="Q38:R40"/>
    <mergeCell ref="S38:S40"/>
    <mergeCell ref="Q42:Q47"/>
    <mergeCell ref="R42:S47"/>
    <mergeCell ref="P50:Q55"/>
    <mergeCell ref="A1:S1"/>
    <mergeCell ref="A2:I2"/>
    <mergeCell ref="A3:I3"/>
    <mergeCell ref="A4:I4"/>
    <mergeCell ref="A5:I5"/>
    <mergeCell ref="A6:I6"/>
    <mergeCell ref="A7:I7"/>
    <mergeCell ref="B15:F15"/>
    <mergeCell ref="A25:F25"/>
    <mergeCell ref="A14:F14"/>
    <mergeCell ref="A8:I8"/>
    <mergeCell ref="A9:I9"/>
    <mergeCell ref="A10:I10"/>
    <mergeCell ref="A11:I11"/>
    <mergeCell ref="A13:F13"/>
    <mergeCell ref="A26:F26"/>
    <mergeCell ref="M14:O23"/>
    <mergeCell ref="Q14:R16"/>
    <mergeCell ref="S14:S16"/>
    <mergeCell ref="R18:S23"/>
    <mergeCell ref="M26:O35"/>
    <mergeCell ref="Q26:R28"/>
    <mergeCell ref="S26:S28"/>
    <mergeCell ref="R30:S35"/>
    <mergeCell ref="B27:F27"/>
    <mergeCell ref="H13:K23"/>
    <mergeCell ref="H25:K35"/>
    <mergeCell ref="A37:F37"/>
    <mergeCell ref="H37:K47"/>
    <mergeCell ref="A38:F38"/>
    <mergeCell ref="M38:O47"/>
    <mergeCell ref="B39:F3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S62"/>
  <sheetViews>
    <sheetView showGridLines="0" topLeftCell="F25" zoomScale="80" zoomScaleNormal="80" workbookViewId="0">
      <selection activeCell="Q37" sqref="Q37:R39"/>
    </sheetView>
  </sheetViews>
  <sheetFormatPr defaultColWidth="14.453125" defaultRowHeight="15.75" customHeight="1"/>
  <cols>
    <col min="2" max="2" width="11.54296875" customWidth="1"/>
    <col min="3" max="3" width="17.453125" customWidth="1"/>
    <col min="4" max="4" width="18" customWidth="1"/>
    <col min="5" max="5" width="9" customWidth="1"/>
    <col min="6" max="6" width="11.453125" customWidth="1"/>
    <col min="19" max="19" width="27" customWidth="1"/>
  </cols>
  <sheetData>
    <row r="1" spans="1:19" ht="37.5">
      <c r="A1" s="217" t="s">
        <v>19</v>
      </c>
      <c r="B1" s="184"/>
      <c r="C1" s="184"/>
      <c r="D1" s="184"/>
      <c r="E1" s="184"/>
      <c r="F1" s="184"/>
      <c r="G1" s="184"/>
      <c r="H1" s="184"/>
      <c r="I1" s="184"/>
      <c r="J1" s="184"/>
      <c r="K1" s="184"/>
      <c r="L1" s="184"/>
      <c r="M1" s="184"/>
      <c r="N1" s="184"/>
      <c r="O1" s="184"/>
      <c r="P1" s="184"/>
      <c r="Q1" s="184"/>
      <c r="R1" s="184"/>
      <c r="S1" s="185"/>
    </row>
    <row r="2" spans="1:19" ht="13">
      <c r="A2" s="218" t="s">
        <v>215</v>
      </c>
      <c r="B2" s="184"/>
      <c r="C2" s="184"/>
      <c r="D2" s="184"/>
      <c r="E2" s="184"/>
      <c r="F2" s="184"/>
      <c r="G2" s="184"/>
      <c r="H2" s="184"/>
      <c r="I2" s="184"/>
      <c r="J2" s="185"/>
      <c r="K2" s="91"/>
      <c r="L2" s="91"/>
      <c r="M2" s="91"/>
      <c r="N2" s="91"/>
      <c r="O2" s="91"/>
      <c r="P2" s="91"/>
      <c r="R2" s="92"/>
      <c r="S2" s="92"/>
    </row>
    <row r="3" spans="1:19" ht="13">
      <c r="A3" s="215" t="s">
        <v>216</v>
      </c>
      <c r="B3" s="184"/>
      <c r="C3" s="184"/>
      <c r="D3" s="184"/>
      <c r="E3" s="184"/>
      <c r="F3" s="184"/>
      <c r="G3" s="184"/>
      <c r="H3" s="184"/>
      <c r="I3" s="184"/>
      <c r="J3" s="185"/>
      <c r="K3" s="91"/>
      <c r="L3" s="91"/>
      <c r="M3" s="91"/>
      <c r="N3" s="91"/>
      <c r="O3" s="91"/>
      <c r="P3" s="91"/>
      <c r="R3" s="92"/>
      <c r="S3" s="92"/>
    </row>
    <row r="4" spans="1:19" ht="13">
      <c r="A4" s="195" t="s">
        <v>217</v>
      </c>
      <c r="B4" s="192"/>
      <c r="C4" s="192"/>
      <c r="D4" s="192"/>
      <c r="E4" s="192"/>
      <c r="F4" s="192"/>
      <c r="G4" s="192"/>
      <c r="H4" s="192"/>
      <c r="I4" s="192"/>
      <c r="J4" s="193"/>
      <c r="K4" s="91"/>
      <c r="L4" s="91"/>
      <c r="M4" s="91"/>
      <c r="N4" s="91"/>
      <c r="O4" s="91"/>
      <c r="P4" s="91"/>
      <c r="R4" s="92"/>
      <c r="S4" s="92"/>
    </row>
    <row r="5" spans="1:19" ht="13">
      <c r="A5" s="218" t="s">
        <v>218</v>
      </c>
      <c r="B5" s="184"/>
      <c r="C5" s="184"/>
      <c r="D5" s="184"/>
      <c r="E5" s="184"/>
      <c r="F5" s="184"/>
      <c r="G5" s="184"/>
      <c r="H5" s="184"/>
      <c r="I5" s="184"/>
      <c r="J5" s="185"/>
      <c r="K5" s="91"/>
      <c r="L5" s="91"/>
      <c r="M5" s="91"/>
      <c r="N5" s="91"/>
      <c r="O5" s="91"/>
      <c r="P5" s="91"/>
      <c r="R5" s="92"/>
      <c r="S5" s="92"/>
    </row>
    <row r="6" spans="1:19" ht="13">
      <c r="A6" s="241" t="s">
        <v>219</v>
      </c>
      <c r="B6" s="184"/>
      <c r="C6" s="184"/>
      <c r="D6" s="184"/>
      <c r="E6" s="184"/>
      <c r="F6" s="184"/>
      <c r="G6" s="184"/>
      <c r="H6" s="184"/>
      <c r="I6" s="184"/>
      <c r="J6" s="185"/>
      <c r="K6" s="93"/>
      <c r="L6" s="93"/>
      <c r="M6" s="93"/>
      <c r="N6" s="93"/>
      <c r="O6" s="93"/>
      <c r="P6" s="91"/>
      <c r="R6" s="92"/>
      <c r="S6" s="92"/>
    </row>
    <row r="7" spans="1:19" ht="13">
      <c r="A7" s="241" t="s">
        <v>220</v>
      </c>
      <c r="B7" s="184"/>
      <c r="C7" s="184"/>
      <c r="D7" s="184"/>
      <c r="E7" s="184"/>
      <c r="F7" s="184"/>
      <c r="G7" s="184"/>
      <c r="H7" s="184"/>
      <c r="I7" s="184"/>
      <c r="J7" s="185"/>
      <c r="K7" s="93"/>
      <c r="L7" s="93"/>
      <c r="M7" s="93"/>
      <c r="N7" s="93"/>
      <c r="O7" s="93"/>
      <c r="P7" s="91"/>
      <c r="R7" s="92"/>
      <c r="S7" s="92"/>
    </row>
    <row r="8" spans="1:19" ht="13">
      <c r="A8" s="241" t="s">
        <v>221</v>
      </c>
      <c r="B8" s="184"/>
      <c r="C8" s="184"/>
      <c r="D8" s="184"/>
      <c r="E8" s="184"/>
      <c r="F8" s="184"/>
      <c r="G8" s="184"/>
      <c r="H8" s="184"/>
      <c r="I8" s="184"/>
      <c r="J8" s="185"/>
      <c r="K8" s="93"/>
      <c r="L8" s="93"/>
      <c r="M8" s="93"/>
      <c r="N8" s="93"/>
      <c r="O8" s="93"/>
      <c r="P8" s="91"/>
      <c r="R8" s="92"/>
      <c r="S8" s="92"/>
    </row>
    <row r="9" spans="1:19" ht="13">
      <c r="A9" s="241" t="s">
        <v>222</v>
      </c>
      <c r="B9" s="184"/>
      <c r="C9" s="184"/>
      <c r="D9" s="184"/>
      <c r="E9" s="184"/>
      <c r="F9" s="184"/>
      <c r="G9" s="184"/>
      <c r="H9" s="184"/>
      <c r="I9" s="184"/>
      <c r="J9" s="185"/>
      <c r="K9" s="93"/>
      <c r="L9" s="93"/>
      <c r="M9" s="93"/>
      <c r="N9" s="93"/>
      <c r="O9" s="93"/>
      <c r="P9" s="91"/>
      <c r="R9" s="92"/>
      <c r="S9" s="92"/>
    </row>
    <row r="10" spans="1:19" ht="13">
      <c r="A10" s="241" t="s">
        <v>223</v>
      </c>
      <c r="B10" s="184"/>
      <c r="C10" s="184"/>
      <c r="D10" s="184"/>
      <c r="E10" s="184"/>
      <c r="F10" s="184"/>
      <c r="G10" s="184"/>
      <c r="H10" s="184"/>
      <c r="I10" s="184"/>
      <c r="J10" s="185"/>
      <c r="K10" s="93"/>
      <c r="L10" s="93"/>
      <c r="M10" s="93"/>
      <c r="N10" s="93"/>
      <c r="O10" s="93"/>
      <c r="P10" s="91"/>
    </row>
    <row r="11" spans="1:19" ht="13">
      <c r="A11" s="230" t="s">
        <v>37</v>
      </c>
      <c r="B11" s="202"/>
      <c r="C11" s="202"/>
      <c r="D11" s="202"/>
      <c r="E11" s="202"/>
      <c r="F11" s="202"/>
      <c r="G11" s="202"/>
      <c r="H11" s="202"/>
      <c r="I11" s="202"/>
      <c r="J11" s="98"/>
      <c r="K11" s="98"/>
      <c r="L11" s="98"/>
      <c r="M11" s="98"/>
      <c r="N11" s="98"/>
      <c r="O11" s="98"/>
      <c r="P11" s="91"/>
      <c r="R11" s="92"/>
      <c r="S11" s="92"/>
    </row>
    <row r="12" spans="1:19" ht="13">
      <c r="A12" s="213" t="s">
        <v>224</v>
      </c>
      <c r="B12" s="184"/>
      <c r="C12" s="184"/>
      <c r="D12" s="184"/>
      <c r="E12" s="184"/>
      <c r="F12" s="185"/>
      <c r="H12" s="242"/>
      <c r="I12" s="189"/>
      <c r="J12" s="189"/>
      <c r="K12" s="190"/>
      <c r="L12" s="91"/>
      <c r="M12" s="91"/>
      <c r="N12" s="91"/>
      <c r="O12" s="91"/>
    </row>
    <row r="13" spans="1:19" ht="13">
      <c r="A13" s="213" t="s">
        <v>225</v>
      </c>
      <c r="B13" s="184"/>
      <c r="C13" s="184"/>
      <c r="D13" s="184"/>
      <c r="E13" s="184"/>
      <c r="F13" s="185"/>
      <c r="H13" s="223"/>
      <c r="I13" s="202"/>
      <c r="J13" s="202"/>
      <c r="K13" s="203"/>
      <c r="L13" s="91"/>
      <c r="M13" s="224" t="s">
        <v>167</v>
      </c>
      <c r="N13" s="189"/>
      <c r="O13" s="190"/>
      <c r="Q13" s="225" t="s">
        <v>226</v>
      </c>
      <c r="R13" s="190"/>
      <c r="S13" s="226" t="s">
        <v>452</v>
      </c>
    </row>
    <row r="14" spans="1:19" ht="13">
      <c r="A14" s="8" t="s">
        <v>207</v>
      </c>
      <c r="B14" s="213" t="s">
        <v>170</v>
      </c>
      <c r="C14" s="184"/>
      <c r="D14" s="184"/>
      <c r="E14" s="184"/>
      <c r="F14" s="185"/>
      <c r="H14" s="223"/>
      <c r="I14" s="202"/>
      <c r="J14" s="202"/>
      <c r="K14" s="203"/>
      <c r="L14" s="91"/>
      <c r="M14" s="223"/>
      <c r="N14" s="202"/>
      <c r="O14" s="203"/>
      <c r="Q14" s="223"/>
      <c r="R14" s="203"/>
      <c r="S14" s="220"/>
    </row>
    <row r="15" spans="1:19" ht="26">
      <c r="A15" s="118" t="s">
        <v>208</v>
      </c>
      <c r="B15" s="119" t="s">
        <v>172</v>
      </c>
      <c r="C15" s="119" t="s">
        <v>173</v>
      </c>
      <c r="D15" s="119" t="s">
        <v>174</v>
      </c>
      <c r="E15" s="119" t="s">
        <v>175</v>
      </c>
      <c r="F15" s="119" t="s">
        <v>176</v>
      </c>
      <c r="G15" s="128"/>
      <c r="H15" s="223"/>
      <c r="I15" s="202"/>
      <c r="J15" s="202"/>
      <c r="K15" s="203"/>
      <c r="L15" s="91"/>
      <c r="M15" s="223"/>
      <c r="N15" s="202"/>
      <c r="O15" s="203"/>
      <c r="Q15" s="191"/>
      <c r="R15" s="193"/>
      <c r="S15" s="221"/>
    </row>
    <row r="16" spans="1:19" ht="14">
      <c r="A16" s="120" t="s">
        <v>182</v>
      </c>
      <c r="B16" s="39">
        <f>954+150+100</f>
        <v>1204</v>
      </c>
      <c r="C16" s="39">
        <f>192+150</f>
        <v>342</v>
      </c>
      <c r="D16" s="121">
        <f>303+300</f>
        <v>603</v>
      </c>
      <c r="E16" s="122">
        <f t="shared" ref="E16:E22" si="0">B16+C16</f>
        <v>1546</v>
      </c>
      <c r="F16" s="107">
        <v>0.39</v>
      </c>
      <c r="H16" s="223"/>
      <c r="I16" s="202"/>
      <c r="J16" s="202"/>
      <c r="K16" s="203"/>
      <c r="L16" s="91"/>
      <c r="M16" s="223"/>
      <c r="N16" s="202"/>
      <c r="O16" s="203"/>
      <c r="Q16" s="109"/>
      <c r="R16" s="92"/>
      <c r="S16" s="110"/>
    </row>
    <row r="17" spans="1:19" ht="13">
      <c r="A17" s="120" t="s">
        <v>183</v>
      </c>
      <c r="B17" s="39">
        <f>540+150+100</f>
        <v>790</v>
      </c>
      <c r="C17" s="39">
        <f>223+150</f>
        <v>373</v>
      </c>
      <c r="D17" s="39">
        <f>277+150</f>
        <v>427</v>
      </c>
      <c r="E17" s="122">
        <f t="shared" si="0"/>
        <v>1163</v>
      </c>
      <c r="F17" s="113">
        <f>D17/E17</f>
        <v>0.36715391229578676</v>
      </c>
      <c r="H17" s="223"/>
      <c r="I17" s="202"/>
      <c r="J17" s="202"/>
      <c r="K17" s="203"/>
      <c r="L17" s="91"/>
      <c r="M17" s="223"/>
      <c r="N17" s="202"/>
      <c r="O17" s="203"/>
      <c r="Q17" s="219" t="s">
        <v>177</v>
      </c>
      <c r="R17" s="222" t="s">
        <v>401</v>
      </c>
      <c r="S17" s="190"/>
    </row>
    <row r="18" spans="1:19" ht="13">
      <c r="A18" s="120" t="s">
        <v>184</v>
      </c>
      <c r="B18" s="39">
        <f>402+150+100</f>
        <v>652</v>
      </c>
      <c r="C18" s="39">
        <f>238+150</f>
        <v>388</v>
      </c>
      <c r="D18" s="39">
        <f>262+150</f>
        <v>412</v>
      </c>
      <c r="E18" s="122">
        <f t="shared" si="0"/>
        <v>1040</v>
      </c>
      <c r="F18" s="113">
        <f t="shared" ref="F18:F22" si="1">D18/E18</f>
        <v>0.39615384615384613</v>
      </c>
      <c r="H18" s="223"/>
      <c r="I18" s="202"/>
      <c r="J18" s="202"/>
      <c r="K18" s="203"/>
      <c r="L18" s="91"/>
      <c r="M18" s="223"/>
      <c r="N18" s="202"/>
      <c r="O18" s="203"/>
      <c r="Q18" s="220"/>
      <c r="R18" s="223"/>
      <c r="S18" s="203"/>
    </row>
    <row r="19" spans="1:19" ht="13">
      <c r="A19" s="120" t="s">
        <v>185</v>
      </c>
      <c r="B19" s="39">
        <f>310+150+100</f>
        <v>560</v>
      </c>
      <c r="C19" s="39">
        <f>272+150</f>
        <v>422</v>
      </c>
      <c r="D19" s="39">
        <f>228+150</f>
        <v>378</v>
      </c>
      <c r="E19" s="122">
        <f t="shared" si="0"/>
        <v>982</v>
      </c>
      <c r="F19" s="113">
        <f t="shared" si="1"/>
        <v>0.38492871690427699</v>
      </c>
      <c r="H19" s="223"/>
      <c r="I19" s="202"/>
      <c r="J19" s="202"/>
      <c r="K19" s="203"/>
      <c r="L19" s="91"/>
      <c r="M19" s="223"/>
      <c r="N19" s="202"/>
      <c r="O19" s="203"/>
      <c r="Q19" s="220"/>
      <c r="R19" s="223"/>
      <c r="S19" s="203"/>
    </row>
    <row r="20" spans="1:19" ht="13">
      <c r="A20" s="120" t="s">
        <v>186</v>
      </c>
      <c r="B20" s="39">
        <f>278+150+100</f>
        <v>528</v>
      </c>
      <c r="C20" s="39">
        <f>291+150</f>
        <v>441</v>
      </c>
      <c r="D20" s="39">
        <f>209+150</f>
        <v>359</v>
      </c>
      <c r="E20" s="122">
        <f t="shared" si="0"/>
        <v>969</v>
      </c>
      <c r="F20" s="113">
        <f t="shared" si="1"/>
        <v>0.37048503611971106</v>
      </c>
      <c r="H20" s="223"/>
      <c r="I20" s="202"/>
      <c r="J20" s="202"/>
      <c r="K20" s="203"/>
      <c r="L20" s="91"/>
      <c r="M20" s="223"/>
      <c r="N20" s="202"/>
      <c r="O20" s="203"/>
      <c r="P20" s="116"/>
      <c r="Q20" s="220"/>
      <c r="R20" s="223"/>
      <c r="S20" s="203"/>
    </row>
    <row r="21" spans="1:19" ht="13">
      <c r="A21" s="120" t="s">
        <v>187</v>
      </c>
      <c r="B21" s="39">
        <f>202+150+100</f>
        <v>452</v>
      </c>
      <c r="C21" s="39">
        <f>334+150</f>
        <v>484</v>
      </c>
      <c r="D21" s="39">
        <f>156+150</f>
        <v>306</v>
      </c>
      <c r="E21" s="122">
        <f t="shared" si="0"/>
        <v>936</v>
      </c>
      <c r="F21" s="113">
        <f t="shared" si="1"/>
        <v>0.32692307692307693</v>
      </c>
      <c r="H21" s="223"/>
      <c r="I21" s="202"/>
      <c r="J21" s="202"/>
      <c r="K21" s="203"/>
      <c r="L21" s="91"/>
      <c r="M21" s="223"/>
      <c r="N21" s="202"/>
      <c r="O21" s="203"/>
      <c r="P21" s="116"/>
      <c r="Q21" s="220"/>
      <c r="R21" s="223"/>
      <c r="S21" s="203"/>
    </row>
    <row r="22" spans="1:19" ht="13">
      <c r="A22" s="120" t="s">
        <v>188</v>
      </c>
      <c r="B22" s="39">
        <f>160+150+100</f>
        <v>410</v>
      </c>
      <c r="C22" s="39">
        <f>363+150</f>
        <v>513</v>
      </c>
      <c r="D22" s="39">
        <f>137+150</f>
        <v>287</v>
      </c>
      <c r="E22" s="122">
        <f t="shared" si="0"/>
        <v>923</v>
      </c>
      <c r="F22" s="113">
        <f t="shared" si="1"/>
        <v>0.31094257854821233</v>
      </c>
      <c r="H22" s="191"/>
      <c r="I22" s="192"/>
      <c r="J22" s="192"/>
      <c r="K22" s="193"/>
      <c r="L22" s="91"/>
      <c r="M22" s="191"/>
      <c r="N22" s="192"/>
      <c r="O22" s="193"/>
      <c r="P22" s="116"/>
      <c r="Q22" s="221"/>
      <c r="R22" s="191"/>
      <c r="S22" s="193"/>
    </row>
    <row r="23" spans="1:19" ht="12.5">
      <c r="A23" s="128"/>
      <c r="C23" s="114"/>
    </row>
    <row r="24" spans="1:19" ht="13">
      <c r="A24" s="213" t="s">
        <v>227</v>
      </c>
      <c r="B24" s="184"/>
      <c r="C24" s="184"/>
      <c r="D24" s="184"/>
      <c r="E24" s="184"/>
      <c r="F24" s="185"/>
      <c r="H24" s="242"/>
      <c r="I24" s="189"/>
      <c r="J24" s="189"/>
      <c r="K24" s="190"/>
      <c r="L24" s="91"/>
      <c r="M24" s="91"/>
      <c r="N24" s="91"/>
      <c r="O24" s="91"/>
    </row>
    <row r="25" spans="1:19" ht="13">
      <c r="A25" s="213" t="s">
        <v>228</v>
      </c>
      <c r="B25" s="184"/>
      <c r="C25" s="184"/>
      <c r="D25" s="184"/>
      <c r="E25" s="184"/>
      <c r="F25" s="185"/>
      <c r="H25" s="223"/>
      <c r="I25" s="202"/>
      <c r="J25" s="202"/>
      <c r="K25" s="203"/>
      <c r="L25" s="91"/>
      <c r="M25" s="224" t="s">
        <v>167</v>
      </c>
      <c r="N25" s="189"/>
      <c r="O25" s="190"/>
      <c r="Q25" s="225" t="s">
        <v>226</v>
      </c>
      <c r="R25" s="190"/>
      <c r="S25" s="226" t="s">
        <v>453</v>
      </c>
    </row>
    <row r="26" spans="1:19" ht="13">
      <c r="A26" s="8" t="s">
        <v>207</v>
      </c>
      <c r="B26" s="213" t="s">
        <v>170</v>
      </c>
      <c r="C26" s="184"/>
      <c r="D26" s="184"/>
      <c r="E26" s="184"/>
      <c r="F26" s="185"/>
      <c r="H26" s="223"/>
      <c r="I26" s="202"/>
      <c r="J26" s="202"/>
      <c r="K26" s="203"/>
      <c r="L26" s="91"/>
      <c r="M26" s="223"/>
      <c r="N26" s="202"/>
      <c r="O26" s="203"/>
      <c r="Q26" s="223"/>
      <c r="R26" s="203"/>
      <c r="S26" s="220"/>
    </row>
    <row r="27" spans="1:19" ht="26">
      <c r="A27" s="118" t="s">
        <v>208</v>
      </c>
      <c r="B27" s="119" t="s">
        <v>172</v>
      </c>
      <c r="C27" s="119" t="s">
        <v>173</v>
      </c>
      <c r="D27" s="119" t="s">
        <v>174</v>
      </c>
      <c r="E27" s="119" t="s">
        <v>175</v>
      </c>
      <c r="F27" s="119" t="s">
        <v>176</v>
      </c>
      <c r="G27" s="128"/>
      <c r="H27" s="223"/>
      <c r="I27" s="202"/>
      <c r="J27" s="202"/>
      <c r="K27" s="203"/>
      <c r="L27" s="91"/>
      <c r="M27" s="223"/>
      <c r="N27" s="202"/>
      <c r="O27" s="203"/>
      <c r="Q27" s="191"/>
      <c r="R27" s="193"/>
      <c r="S27" s="221"/>
    </row>
    <row r="28" spans="1:19" ht="14">
      <c r="A28" s="120" t="s">
        <v>182</v>
      </c>
      <c r="B28" s="39">
        <f>954+150+100</f>
        <v>1204</v>
      </c>
      <c r="C28" s="124">
        <v>200</v>
      </c>
      <c r="D28" s="123">
        <v>800</v>
      </c>
      <c r="E28" s="122">
        <f t="shared" ref="E28:E34" si="2">B28+C28</f>
        <v>1404</v>
      </c>
      <c r="F28" s="113">
        <f>D28/E28</f>
        <v>0.56980056980056981</v>
      </c>
      <c r="H28" s="223"/>
      <c r="I28" s="202"/>
      <c r="J28" s="202"/>
      <c r="K28" s="203"/>
      <c r="L28" s="91"/>
      <c r="M28" s="223"/>
      <c r="N28" s="202"/>
      <c r="O28" s="203"/>
      <c r="Q28" s="109"/>
      <c r="R28" s="92"/>
      <c r="S28" s="110"/>
    </row>
    <row r="29" spans="1:19" ht="13">
      <c r="A29" s="120" t="s">
        <v>183</v>
      </c>
      <c r="B29" s="39">
        <f>540+150+100</f>
        <v>790</v>
      </c>
      <c r="C29" s="39">
        <f>223+150</f>
        <v>373</v>
      </c>
      <c r="D29" s="39">
        <f>277+150+200</f>
        <v>627</v>
      </c>
      <c r="E29" s="122">
        <f t="shared" si="2"/>
        <v>1163</v>
      </c>
      <c r="F29" s="113">
        <f t="shared" ref="F29:F34" si="3">D29/E29</f>
        <v>0.5391229578675838</v>
      </c>
      <c r="H29" s="223"/>
      <c r="I29" s="202"/>
      <c r="J29" s="202"/>
      <c r="K29" s="203"/>
      <c r="L29" s="91"/>
      <c r="M29" s="223"/>
      <c r="N29" s="202"/>
      <c r="O29" s="203"/>
      <c r="Q29" s="219" t="s">
        <v>177</v>
      </c>
      <c r="R29" s="222" t="s">
        <v>402</v>
      </c>
      <c r="S29" s="190"/>
    </row>
    <row r="30" spans="1:19" ht="13">
      <c r="A30" s="120" t="s">
        <v>184</v>
      </c>
      <c r="B30" s="124">
        <v>620</v>
      </c>
      <c r="C30" s="39">
        <f>238+150</f>
        <v>388</v>
      </c>
      <c r="D30" s="39">
        <f>262+150+120</f>
        <v>532</v>
      </c>
      <c r="E30" s="122">
        <f t="shared" si="2"/>
        <v>1008</v>
      </c>
      <c r="F30" s="113">
        <f t="shared" si="3"/>
        <v>0.52777777777777779</v>
      </c>
      <c r="H30" s="223"/>
      <c r="I30" s="202"/>
      <c r="J30" s="202"/>
      <c r="K30" s="203"/>
      <c r="L30" s="91"/>
      <c r="M30" s="223"/>
      <c r="N30" s="202"/>
      <c r="O30" s="203"/>
      <c r="Q30" s="220"/>
      <c r="R30" s="223"/>
      <c r="S30" s="203"/>
    </row>
    <row r="31" spans="1:19" ht="13">
      <c r="A31" s="120" t="s">
        <v>185</v>
      </c>
      <c r="B31" s="124">
        <v>510</v>
      </c>
      <c r="C31" s="39">
        <f>272+150-50</f>
        <v>372</v>
      </c>
      <c r="D31" s="39">
        <f>228+150+80</f>
        <v>458</v>
      </c>
      <c r="E31" s="122">
        <f t="shared" si="2"/>
        <v>882</v>
      </c>
      <c r="F31" s="113">
        <f t="shared" si="3"/>
        <v>0.51927437641723351</v>
      </c>
      <c r="H31" s="223"/>
      <c r="I31" s="202"/>
      <c r="J31" s="202"/>
      <c r="K31" s="203"/>
      <c r="L31" s="91"/>
      <c r="M31" s="223"/>
      <c r="N31" s="202"/>
      <c r="O31" s="203"/>
      <c r="Q31" s="220"/>
      <c r="R31" s="223"/>
      <c r="S31" s="203"/>
    </row>
    <row r="32" spans="1:19" ht="13">
      <c r="A32" s="120" t="s">
        <v>186</v>
      </c>
      <c r="B32" s="124">
        <v>272</v>
      </c>
      <c r="C32" s="39">
        <f>291+150</f>
        <v>441</v>
      </c>
      <c r="D32" s="39">
        <f>209+150</f>
        <v>359</v>
      </c>
      <c r="E32" s="122">
        <f t="shared" si="2"/>
        <v>713</v>
      </c>
      <c r="F32" s="113">
        <f t="shared" si="3"/>
        <v>0.50350631136044877</v>
      </c>
      <c r="H32" s="223"/>
      <c r="I32" s="202"/>
      <c r="J32" s="202"/>
      <c r="K32" s="203"/>
      <c r="L32" s="91"/>
      <c r="M32" s="223"/>
      <c r="N32" s="202"/>
      <c r="O32" s="203"/>
      <c r="P32" s="116"/>
      <c r="Q32" s="220"/>
      <c r="R32" s="223"/>
      <c r="S32" s="203"/>
    </row>
    <row r="33" spans="1:19" ht="13">
      <c r="A33" s="120" t="s">
        <v>187</v>
      </c>
      <c r="B33" s="124">
        <v>135</v>
      </c>
      <c r="C33" s="39">
        <f>334+150</f>
        <v>484</v>
      </c>
      <c r="D33" s="39">
        <f>156+150</f>
        <v>306</v>
      </c>
      <c r="E33" s="122">
        <f t="shared" si="2"/>
        <v>619</v>
      </c>
      <c r="F33" s="113">
        <f t="shared" si="3"/>
        <v>0.49434571890145396</v>
      </c>
      <c r="H33" s="223"/>
      <c r="I33" s="202"/>
      <c r="J33" s="202"/>
      <c r="K33" s="203"/>
      <c r="L33" s="91"/>
      <c r="M33" s="223"/>
      <c r="N33" s="202"/>
      <c r="O33" s="203"/>
      <c r="P33" s="116"/>
      <c r="Q33" s="220"/>
      <c r="R33" s="223"/>
      <c r="S33" s="203"/>
    </row>
    <row r="34" spans="1:19" ht="13">
      <c r="A34" s="120" t="s">
        <v>188</v>
      </c>
      <c r="B34" s="124">
        <v>50</v>
      </c>
      <c r="C34" s="124">
        <v>590</v>
      </c>
      <c r="D34" s="124">
        <v>300</v>
      </c>
      <c r="E34" s="122">
        <f t="shared" si="2"/>
        <v>640</v>
      </c>
      <c r="F34" s="113">
        <f t="shared" si="3"/>
        <v>0.46875</v>
      </c>
      <c r="H34" s="191"/>
      <c r="I34" s="192"/>
      <c r="J34" s="192"/>
      <c r="K34" s="193"/>
      <c r="L34" s="91"/>
      <c r="M34" s="191"/>
      <c r="N34" s="192"/>
      <c r="O34" s="193"/>
      <c r="P34" s="116"/>
      <c r="Q34" s="221"/>
      <c r="R34" s="191"/>
      <c r="S34" s="193"/>
    </row>
    <row r="35" spans="1:19" ht="12.5">
      <c r="A35" s="128"/>
    </row>
    <row r="36" spans="1:19" ht="13">
      <c r="A36" s="213" t="s">
        <v>404</v>
      </c>
      <c r="B36" s="184"/>
      <c r="C36" s="184"/>
      <c r="D36" s="184"/>
      <c r="E36" s="184"/>
      <c r="F36" s="185"/>
      <c r="H36" s="242"/>
      <c r="I36" s="189"/>
      <c r="J36" s="189"/>
      <c r="K36" s="190"/>
      <c r="L36" s="91"/>
      <c r="M36" s="91"/>
      <c r="N36" s="91"/>
      <c r="O36" s="91"/>
    </row>
    <row r="37" spans="1:19" ht="13">
      <c r="A37" s="213" t="s">
        <v>406</v>
      </c>
      <c r="B37" s="184"/>
      <c r="C37" s="184"/>
      <c r="D37" s="184"/>
      <c r="E37" s="184"/>
      <c r="F37" s="185"/>
      <c r="H37" s="223"/>
      <c r="I37" s="202"/>
      <c r="J37" s="202"/>
      <c r="K37" s="203"/>
      <c r="L37" s="91"/>
      <c r="M37" s="224" t="s">
        <v>167</v>
      </c>
      <c r="N37" s="189"/>
      <c r="O37" s="190"/>
      <c r="Q37" s="225" t="s">
        <v>226</v>
      </c>
      <c r="R37" s="190"/>
      <c r="S37" s="226" t="s">
        <v>454</v>
      </c>
    </row>
    <row r="38" spans="1:19" ht="13">
      <c r="A38" s="8" t="s">
        <v>207</v>
      </c>
      <c r="B38" s="213" t="s">
        <v>170</v>
      </c>
      <c r="C38" s="184"/>
      <c r="D38" s="184"/>
      <c r="E38" s="184"/>
      <c r="F38" s="185"/>
      <c r="H38" s="223"/>
      <c r="I38" s="202"/>
      <c r="J38" s="202"/>
      <c r="K38" s="203"/>
      <c r="L38" s="91"/>
      <c r="M38" s="223"/>
      <c r="N38" s="202"/>
      <c r="O38" s="203"/>
      <c r="Q38" s="223"/>
      <c r="R38" s="203"/>
      <c r="S38" s="220"/>
    </row>
    <row r="39" spans="1:19" ht="26">
      <c r="A39" s="118" t="s">
        <v>229</v>
      </c>
      <c r="B39" s="119" t="s">
        <v>172</v>
      </c>
      <c r="C39" s="119" t="s">
        <v>173</v>
      </c>
      <c r="D39" s="119" t="s">
        <v>174</v>
      </c>
      <c r="E39" s="119" t="s">
        <v>175</v>
      </c>
      <c r="F39" s="119" t="s">
        <v>176</v>
      </c>
      <c r="G39" s="128"/>
      <c r="H39" s="223"/>
      <c r="I39" s="202"/>
      <c r="J39" s="202"/>
      <c r="K39" s="203"/>
      <c r="L39" s="91"/>
      <c r="M39" s="223"/>
      <c r="N39" s="202"/>
      <c r="O39" s="203"/>
      <c r="Q39" s="191"/>
      <c r="R39" s="193"/>
      <c r="S39" s="221"/>
    </row>
    <row r="40" spans="1:19" ht="14">
      <c r="A40" s="120" t="s">
        <v>182</v>
      </c>
      <c r="B40" s="39">
        <f>954-750+100</f>
        <v>304</v>
      </c>
      <c r="C40" s="39">
        <f>192+150</f>
        <v>342</v>
      </c>
      <c r="D40" s="121">
        <f>303+150</f>
        <v>453</v>
      </c>
      <c r="E40" s="122">
        <f t="shared" ref="E40:E46" si="4">B40+C40</f>
        <v>646</v>
      </c>
      <c r="F40" s="113">
        <f>D40/E40</f>
        <v>0.70123839009287925</v>
      </c>
      <c r="H40" s="223"/>
      <c r="I40" s="202"/>
      <c r="J40" s="202"/>
      <c r="K40" s="203"/>
      <c r="L40" s="91"/>
      <c r="M40" s="223"/>
      <c r="N40" s="202"/>
      <c r="O40" s="203"/>
      <c r="Q40" s="109"/>
      <c r="R40" s="92"/>
      <c r="S40" s="110"/>
    </row>
    <row r="41" spans="1:19" ht="13">
      <c r="A41" s="120" t="s">
        <v>183</v>
      </c>
      <c r="B41" s="39">
        <f>540-370+100</f>
        <v>270</v>
      </c>
      <c r="C41" s="124">
        <v>360</v>
      </c>
      <c r="D41" s="39">
        <f>277+150</f>
        <v>427</v>
      </c>
      <c r="E41" s="122">
        <f t="shared" si="4"/>
        <v>630</v>
      </c>
      <c r="F41" s="113">
        <f t="shared" ref="F41:F46" si="5">D41/E41</f>
        <v>0.67777777777777781</v>
      </c>
      <c r="H41" s="223"/>
      <c r="I41" s="202"/>
      <c r="J41" s="202"/>
      <c r="K41" s="203"/>
      <c r="L41" s="91"/>
      <c r="M41" s="223"/>
      <c r="N41" s="202"/>
      <c r="O41" s="203"/>
      <c r="Q41" s="219" t="s">
        <v>177</v>
      </c>
      <c r="R41" s="222" t="s">
        <v>403</v>
      </c>
      <c r="S41" s="190"/>
    </row>
    <row r="42" spans="1:19" ht="13">
      <c r="A42" s="120" t="s">
        <v>184</v>
      </c>
      <c r="B42" s="39">
        <f>402-250+100</f>
        <v>252</v>
      </c>
      <c r="C42" s="124">
        <v>370</v>
      </c>
      <c r="D42" s="39">
        <f>262+150</f>
        <v>412</v>
      </c>
      <c r="E42" s="122">
        <f t="shared" si="4"/>
        <v>622</v>
      </c>
      <c r="F42" s="113">
        <f t="shared" si="5"/>
        <v>0.66237942122186499</v>
      </c>
      <c r="H42" s="223"/>
      <c r="I42" s="202"/>
      <c r="J42" s="202"/>
      <c r="K42" s="203"/>
      <c r="L42" s="91"/>
      <c r="M42" s="223"/>
      <c r="N42" s="202"/>
      <c r="O42" s="203"/>
      <c r="Q42" s="220"/>
      <c r="R42" s="223"/>
      <c r="S42" s="203"/>
    </row>
    <row r="43" spans="1:19" ht="13">
      <c r="A43" s="120" t="s">
        <v>185</v>
      </c>
      <c r="B43" s="39">
        <f>310-200+100</f>
        <v>210</v>
      </c>
      <c r="C43" s="124">
        <v>380</v>
      </c>
      <c r="D43" s="39">
        <f>228+150</f>
        <v>378</v>
      </c>
      <c r="E43" s="122">
        <f t="shared" si="4"/>
        <v>590</v>
      </c>
      <c r="F43" s="113">
        <f t="shared" si="5"/>
        <v>0.64067796610169492</v>
      </c>
      <c r="H43" s="223"/>
      <c r="I43" s="202"/>
      <c r="J43" s="202"/>
      <c r="K43" s="203"/>
      <c r="L43" s="91"/>
      <c r="M43" s="223"/>
      <c r="N43" s="202"/>
      <c r="O43" s="203"/>
      <c r="Q43" s="220"/>
      <c r="R43" s="223"/>
      <c r="S43" s="203"/>
    </row>
    <row r="44" spans="1:19" ht="13">
      <c r="A44" s="120" t="s">
        <v>186</v>
      </c>
      <c r="B44" s="124">
        <f>90+100</f>
        <v>190</v>
      </c>
      <c r="C44" s="124">
        <v>520</v>
      </c>
      <c r="D44" s="39">
        <f>209+150</f>
        <v>359</v>
      </c>
      <c r="E44" s="122">
        <f t="shared" si="4"/>
        <v>710</v>
      </c>
      <c r="F44" s="113">
        <f t="shared" si="5"/>
        <v>0.5056338028169014</v>
      </c>
      <c r="H44" s="223"/>
      <c r="I44" s="202"/>
      <c r="J44" s="202"/>
      <c r="K44" s="203"/>
      <c r="L44" s="91"/>
      <c r="M44" s="223"/>
      <c r="N44" s="202"/>
      <c r="O44" s="203"/>
      <c r="P44" s="116"/>
      <c r="Q44" s="220"/>
      <c r="R44" s="223"/>
      <c r="S44" s="203"/>
    </row>
    <row r="45" spans="1:19" ht="13">
      <c r="A45" s="120" t="s">
        <v>187</v>
      </c>
      <c r="B45" s="124">
        <f>65+100</f>
        <v>165</v>
      </c>
      <c r="C45" s="124">
        <v>650</v>
      </c>
      <c r="D45" s="39">
        <f>156+150</f>
        <v>306</v>
      </c>
      <c r="E45" s="122">
        <f t="shared" si="4"/>
        <v>815</v>
      </c>
      <c r="F45" s="113">
        <f t="shared" si="5"/>
        <v>0.3754601226993865</v>
      </c>
      <c r="H45" s="223"/>
      <c r="I45" s="202"/>
      <c r="J45" s="202"/>
      <c r="K45" s="203"/>
      <c r="L45" s="91"/>
      <c r="M45" s="223"/>
      <c r="N45" s="202"/>
      <c r="O45" s="203"/>
      <c r="P45" s="116"/>
      <c r="Q45" s="220"/>
      <c r="R45" s="223"/>
      <c r="S45" s="203"/>
    </row>
    <row r="46" spans="1:19" ht="13">
      <c r="A46" s="120" t="s">
        <v>188</v>
      </c>
      <c r="B46" s="124">
        <f>30+100</f>
        <v>130</v>
      </c>
      <c r="C46" s="124">
        <v>874</v>
      </c>
      <c r="D46" s="39">
        <f>137+150</f>
        <v>287</v>
      </c>
      <c r="E46" s="122">
        <f t="shared" si="4"/>
        <v>1004</v>
      </c>
      <c r="F46" s="113">
        <f t="shared" si="5"/>
        <v>0.28585657370517931</v>
      </c>
      <c r="H46" s="191"/>
      <c r="I46" s="192"/>
      <c r="J46" s="192"/>
      <c r="K46" s="193"/>
      <c r="L46" s="91"/>
      <c r="M46" s="191"/>
      <c r="N46" s="192"/>
      <c r="O46" s="193"/>
      <c r="P46" s="116"/>
      <c r="Q46" s="221"/>
      <c r="R46" s="191"/>
      <c r="S46" s="193"/>
    </row>
    <row r="47" spans="1:19" ht="12.5">
      <c r="A47" s="128"/>
    </row>
    <row r="48" spans="1:19" ht="12.5">
      <c r="A48" s="128"/>
      <c r="R48" s="126" t="s">
        <v>192</v>
      </c>
      <c r="S48" s="126" t="s">
        <v>193</v>
      </c>
    </row>
    <row r="49" spans="1:19" ht="14">
      <c r="A49" s="128"/>
      <c r="B49" s="114"/>
      <c r="C49" s="114"/>
      <c r="D49" s="108"/>
      <c r="E49" s="130"/>
      <c r="F49" s="131"/>
      <c r="P49" s="225" t="s">
        <v>230</v>
      </c>
      <c r="Q49" s="190"/>
      <c r="R49" s="227" t="s">
        <v>405</v>
      </c>
      <c r="S49" s="227" t="s">
        <v>407</v>
      </c>
    </row>
    <row r="50" spans="1:19" ht="12.5">
      <c r="A50" s="128"/>
      <c r="B50" s="114"/>
      <c r="C50" s="132"/>
      <c r="D50" s="114"/>
      <c r="E50" s="130"/>
      <c r="F50" s="131"/>
      <c r="P50" s="223"/>
      <c r="Q50" s="203"/>
      <c r="R50" s="220"/>
      <c r="S50" s="220"/>
    </row>
    <row r="51" spans="1:19" ht="12.5">
      <c r="A51" s="128"/>
      <c r="B51" s="114"/>
      <c r="C51" s="132"/>
      <c r="D51" s="114"/>
      <c r="E51" s="130"/>
      <c r="F51" s="131"/>
      <c r="P51" s="223"/>
      <c r="Q51" s="203"/>
      <c r="R51" s="220"/>
      <c r="S51" s="220"/>
    </row>
    <row r="52" spans="1:19" ht="12.5">
      <c r="A52" s="128"/>
      <c r="B52" s="114"/>
      <c r="C52" s="132"/>
      <c r="D52" s="114"/>
      <c r="E52" s="130"/>
      <c r="F52" s="131"/>
      <c r="P52" s="223"/>
      <c r="Q52" s="203"/>
      <c r="R52" s="220"/>
      <c r="S52" s="220"/>
    </row>
    <row r="53" spans="1:19" ht="12.5">
      <c r="A53" s="128"/>
      <c r="B53" s="132"/>
      <c r="C53" s="132"/>
      <c r="D53" s="114"/>
      <c r="E53" s="130"/>
      <c r="F53" s="131"/>
      <c r="P53" s="223"/>
      <c r="Q53" s="203"/>
      <c r="R53" s="220"/>
      <c r="S53" s="220"/>
    </row>
    <row r="54" spans="1:19" ht="12.5">
      <c r="A54" s="128"/>
      <c r="B54" s="132"/>
      <c r="C54" s="132"/>
      <c r="D54" s="114"/>
      <c r="E54" s="130"/>
      <c r="F54" s="131"/>
      <c r="P54" s="191"/>
      <c r="Q54" s="193"/>
      <c r="R54" s="221"/>
      <c r="S54" s="221"/>
    </row>
    <row r="55" spans="1:19" ht="13">
      <c r="A55" s="128"/>
      <c r="B55" s="132"/>
      <c r="C55" s="132"/>
      <c r="D55" s="114"/>
      <c r="E55" s="130"/>
      <c r="F55" s="131"/>
      <c r="Q55" s="92"/>
      <c r="R55" s="92"/>
      <c r="S55" s="92"/>
    </row>
    <row r="56" spans="1:19" ht="13">
      <c r="A56" s="128"/>
      <c r="Q56" s="92"/>
      <c r="R56" s="92"/>
      <c r="S56" s="92"/>
    </row>
    <row r="57" spans="1:19" ht="12.5">
      <c r="A57" s="128"/>
      <c r="Q57" s="219" t="s">
        <v>231</v>
      </c>
      <c r="R57" s="222" t="s">
        <v>408</v>
      </c>
      <c r="S57" s="190"/>
    </row>
    <row r="58" spans="1:19" ht="12.5">
      <c r="A58" s="128"/>
      <c r="Q58" s="220"/>
      <c r="R58" s="223"/>
      <c r="S58" s="203"/>
    </row>
    <row r="59" spans="1:19" ht="12.5">
      <c r="A59" s="128"/>
      <c r="Q59" s="220"/>
      <c r="R59" s="223"/>
      <c r="S59" s="203"/>
    </row>
    <row r="60" spans="1:19" ht="12.5">
      <c r="A60" s="128"/>
      <c r="Q60" s="220"/>
      <c r="R60" s="223"/>
      <c r="S60" s="203"/>
    </row>
    <row r="61" spans="1:19" ht="12.5">
      <c r="A61" s="128"/>
      <c r="Q61" s="220"/>
      <c r="R61" s="223"/>
      <c r="S61" s="203"/>
    </row>
    <row r="62" spans="1:19" ht="12.5">
      <c r="A62" s="128"/>
      <c r="Q62" s="221"/>
      <c r="R62" s="191"/>
      <c r="S62" s="193"/>
    </row>
  </sheetData>
  <mergeCells count="43">
    <mergeCell ref="R49:R54"/>
    <mergeCell ref="S49:S54"/>
    <mergeCell ref="Q57:Q62"/>
    <mergeCell ref="R57:S62"/>
    <mergeCell ref="Q17:Q22"/>
    <mergeCell ref="Q29:Q34"/>
    <mergeCell ref="Q37:R39"/>
    <mergeCell ref="S37:S39"/>
    <mergeCell ref="Q41:Q46"/>
    <mergeCell ref="R41:S46"/>
    <mergeCell ref="P49:Q54"/>
    <mergeCell ref="A1:S1"/>
    <mergeCell ref="A2:J2"/>
    <mergeCell ref="A3:J3"/>
    <mergeCell ref="A4:J4"/>
    <mergeCell ref="A5:J5"/>
    <mergeCell ref="A6:J6"/>
    <mergeCell ref="A7:J7"/>
    <mergeCell ref="B14:F14"/>
    <mergeCell ref="A24:F24"/>
    <mergeCell ref="A13:F13"/>
    <mergeCell ref="A8:J8"/>
    <mergeCell ref="A9:J9"/>
    <mergeCell ref="A10:J10"/>
    <mergeCell ref="A11:I11"/>
    <mergeCell ref="A12:F12"/>
    <mergeCell ref="A25:F25"/>
    <mergeCell ref="M13:O22"/>
    <mergeCell ref="Q13:R15"/>
    <mergeCell ref="S13:S15"/>
    <mergeCell ref="R17:S22"/>
    <mergeCell ref="M25:O34"/>
    <mergeCell ref="Q25:R27"/>
    <mergeCell ref="S25:S27"/>
    <mergeCell ref="R29:S34"/>
    <mergeCell ref="B26:F26"/>
    <mergeCell ref="H12:K22"/>
    <mergeCell ref="H24:K34"/>
    <mergeCell ref="A36:F36"/>
    <mergeCell ref="H36:K46"/>
    <mergeCell ref="A37:F37"/>
    <mergeCell ref="M37:O46"/>
    <mergeCell ref="B38:F3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9"/>
  <sheetViews>
    <sheetView zoomScale="60" zoomScaleNormal="60" workbookViewId="0">
      <selection activeCell="A20" sqref="A20"/>
    </sheetView>
  </sheetViews>
  <sheetFormatPr defaultColWidth="14.453125" defaultRowHeight="15.75" customHeight="1"/>
  <cols>
    <col min="1" max="1" width="75.81640625" customWidth="1"/>
    <col min="2" max="3" width="56.7265625" customWidth="1"/>
    <col min="4" max="4" width="79.7265625" customWidth="1"/>
  </cols>
  <sheetData>
    <row r="1" spans="1:4" ht="37.5">
      <c r="A1" s="217" t="s">
        <v>20</v>
      </c>
      <c r="B1" s="185"/>
      <c r="C1" s="133"/>
      <c r="D1" s="134" t="s">
        <v>232</v>
      </c>
    </row>
    <row r="2" spans="1:4" ht="13">
      <c r="A2" s="218" t="s">
        <v>233</v>
      </c>
      <c r="B2" s="185"/>
      <c r="C2" s="91"/>
      <c r="D2" s="135" t="str">
        <f>'Tab 3 - Activation Hypothesis'!A17</f>
        <v>Moment that lead to Habit:</v>
      </c>
    </row>
    <row r="3" spans="1:4" ht="12.5">
      <c r="A3" s="214" t="s">
        <v>234</v>
      </c>
      <c r="B3" s="203"/>
      <c r="C3" s="87"/>
      <c r="D3" s="136" t="str">
        <f>CONCATENATE('Tab 3 - Activation Hypothesis'!A18," ",'Tab 3 - Activation Hypothesis'!B18)</f>
        <v>1 Only use Slack, not email, for internal messages</v>
      </c>
    </row>
    <row r="4" spans="1:4" ht="13">
      <c r="A4" s="91"/>
      <c r="B4" s="91"/>
      <c r="C4" s="91"/>
      <c r="D4" s="136" t="str">
        <f>CONCATENATE('Tab 3 - Activation Hypothesis'!A19," ",'Tab 3 - Activation Hypothesis'!B19)</f>
        <v>2 When you start interacting , replying or start answering queries on the channel.</v>
      </c>
    </row>
    <row r="5" spans="1:4" ht="13">
      <c r="A5" s="197" t="s">
        <v>235</v>
      </c>
      <c r="B5" s="193"/>
      <c r="C5" s="91"/>
      <c r="D5" s="136" t="str">
        <f>CONCATENATE('Tab 3 - Activation Hypothesis'!A20," ",'Tab 3 - Activation Hypothesis'!B20)</f>
        <v>3 Increasein no of intended users join the workspace that lead to increased conversation.</v>
      </c>
    </row>
    <row r="6" spans="1:4" ht="12.5">
      <c r="A6" s="212" t="s">
        <v>236</v>
      </c>
      <c r="B6" s="185"/>
      <c r="C6" s="137"/>
      <c r="D6" s="136" t="str">
        <f>CONCATENATE('Tab 3 - Activation Hypothesis'!A21," ",'Tab 3 - Activation Hypothesis'!B21)</f>
        <v>4 When you join similar workspaces , in order to solve problems in hand.</v>
      </c>
    </row>
    <row r="7" spans="1:4" ht="13">
      <c r="A7" s="243" t="s">
        <v>237</v>
      </c>
      <c r="B7" s="185"/>
      <c r="C7" s="93"/>
      <c r="D7" s="136" t="str">
        <f>CONCATENATE('Tab 3 - Activation Hypothesis'!A22," ",'Tab 3 - Activation Hypothesis'!B22)</f>
        <v>5 Work on a project for which the team is already using slack for collaboration.</v>
      </c>
    </row>
    <row r="8" spans="1:4" ht="13">
      <c r="A8" s="243" t="s">
        <v>238</v>
      </c>
      <c r="B8" s="185"/>
      <c r="C8" s="93"/>
      <c r="D8" s="135" t="str">
        <f>'Tab 3 - Activation Hypothesis'!A23</f>
        <v>Moment that lead to Aha:</v>
      </c>
    </row>
    <row r="9" spans="1:4" ht="13">
      <c r="A9" s="243" t="s">
        <v>239</v>
      </c>
      <c r="B9" s="185"/>
      <c r="C9" s="93"/>
      <c r="D9" s="136" t="str">
        <f>CONCATENATE('Tab 3 - Activation Hypothesis'!A24," ",'Tab 3 - Activation Hypothesis'!B24)</f>
        <v>1 Getting notifications from team on a group channel</v>
      </c>
    </row>
    <row r="10" spans="1:4" ht="13">
      <c r="A10" s="244" t="s">
        <v>240</v>
      </c>
      <c r="B10" s="202"/>
      <c r="C10" s="98"/>
      <c r="D10" s="136" t="str">
        <f>CONCATENATE('Tab 3 - Activation Hypothesis'!A25," ",'Tab 3 - Activation Hypothesis'!B25)</f>
        <v>2 When you start searching for a information ,and you find relevant channel already created for it.</v>
      </c>
    </row>
    <row r="11" spans="1:4" ht="13">
      <c r="A11" s="138" t="s">
        <v>152</v>
      </c>
      <c r="B11" s="138" t="s">
        <v>241</v>
      </c>
      <c r="C11" s="138" t="s">
        <v>242</v>
      </c>
      <c r="D11" s="136" t="str">
        <f>CONCATENATE('Tab 3 - Activation Hypothesis'!A26," ",'Tab 3 - Activation Hypothesis'!B26)</f>
        <v>3 When you get a exclusive access to a part of a community , which is difficult to get access to.</v>
      </c>
    </row>
    <row r="12" spans="1:4" ht="54.75" customHeight="1">
      <c r="A12" s="139" t="str">
        <f>'Tab 4 - Habit Moment and Metric'!R51</f>
        <v xml:space="preserve">look for a communication tool outside of email to engage with teammates           </v>
      </c>
      <c r="B12" s="139" t="str">
        <f>'Tab 4 - Habit Moment and Metric'!S51</f>
        <v># of Team Slack Messages Sent in 7-days</v>
      </c>
      <c r="C12" s="140" t="s">
        <v>425</v>
      </c>
      <c r="D12" s="136" t="str">
        <f>CONCATENATE('Tab 3 - Activation Hypothesis'!A27," ",'Tab 3 - Activation Hypothesis'!B27)</f>
        <v>4 When you get a invite for an event ,that you want to attend through slack.</v>
      </c>
    </row>
    <row r="13" spans="1:4" ht="13">
      <c r="A13" s="138" t="s">
        <v>154</v>
      </c>
      <c r="B13" s="138" t="s">
        <v>243</v>
      </c>
      <c r="C13" s="138"/>
      <c r="D13" s="136" t="str">
        <f>CONCATENATE('Tab 3 - Activation Hypothesis'!A28," ",'Tab 3 - Activation Hypothesis'!B28)</f>
        <v>5 When you see your favourite community has a slack channel and you can join them instantly.</v>
      </c>
    </row>
    <row r="14" spans="1:4" ht="72" customHeight="1">
      <c r="A14" s="139" t="str">
        <f>'Tab 5 - Aha Moment and Metric A'!R50</f>
        <v>Engaging with a message in a group channel</v>
      </c>
      <c r="B14" s="139" t="str">
        <f>'Tab 5 - Aha Moment and Metric A'!S50</f>
        <v>Sending 1st message in a group channel within X days</v>
      </c>
      <c r="C14" s="143" t="s">
        <v>427</v>
      </c>
      <c r="D14" s="141" t="str">
        <f>'Tab 3 - Activation Hypothesis'!A29</f>
        <v>Moment that lead to Setup:</v>
      </c>
    </row>
    <row r="15" spans="1:4" ht="13">
      <c r="A15" s="138" t="s">
        <v>244</v>
      </c>
      <c r="B15" s="138" t="s">
        <v>245</v>
      </c>
      <c r="C15" s="138"/>
      <c r="D15" s="136" t="str">
        <f>CONCATENATE('Tab 3 - Activation Hypothesis'!A30," ",'Tab 3 - Activation Hypothesis'!B30)</f>
        <v>1 Engage in a frequency faster than email while being mobile</v>
      </c>
    </row>
    <row r="16" spans="1:4" ht="75" customHeight="1">
      <c r="A16" s="142" t="str">
        <f>'Tab 6 - Setup Moment and Metric'!R49</f>
        <v xml:space="preserve"> Invite a team mate and had a back-and-forth direct convo</v>
      </c>
      <c r="B16" s="142" t="str">
        <f>'Tab 6 - Setup Moment and Metric'!S49</f>
        <v xml:space="preserve"> # of users invited within 7-days</v>
      </c>
      <c r="C16" s="143" t="s">
        <v>426</v>
      </c>
      <c r="D16" s="136" t="str">
        <f>CONCATENATE('Tab 3 - Activation Hypothesis'!A31," ",'Tab 3 - Activation Hypothesis'!B31)</f>
        <v>2 Create a workspace and invitee your team members to join the workspace.</v>
      </c>
    </row>
    <row r="17" spans="1:4" ht="21.75" customHeight="1">
      <c r="A17" s="144"/>
      <c r="B17" s="144"/>
      <c r="C17" s="144"/>
      <c r="D17" s="136" t="str">
        <f>CONCATENATE('Tab 3 - Activation Hypothesis'!A32," ",'Tab 3 - Activation Hypothesis'!B32)</f>
        <v>3 Join 3 or more workspaces of relevance.</v>
      </c>
    </row>
    <row r="18" spans="1:4" ht="21.75" customHeight="1">
      <c r="A18" s="144"/>
      <c r="B18" s="144"/>
      <c r="C18" s="144"/>
      <c r="D18" s="136" t="str">
        <f>CONCATENATE('Tab 3 - Activation Hypothesis'!A33," ",'Tab 3 - Activation Hypothesis'!B33)</f>
        <v>4 When atleast 5 people join your created workspace.</v>
      </c>
    </row>
    <row r="19" spans="1:4" ht="21.75" customHeight="1">
      <c r="A19" s="144"/>
      <c r="B19" s="144"/>
      <c r="C19" s="144"/>
      <c r="D19" s="136" t="str">
        <f>CONCATENATE('Tab 3 - Activation Hypothesis'!A34," ",'Tab 3 - Activation Hypothesis'!B34)</f>
        <v>5 You download the slack app on your mobile.</v>
      </c>
    </row>
  </sheetData>
  <mergeCells count="9">
    <mergeCell ref="A9:B9"/>
    <mergeCell ref="A10:B10"/>
    <mergeCell ref="A1:B1"/>
    <mergeCell ref="A2:B2"/>
    <mergeCell ref="A3:B3"/>
    <mergeCell ref="A5:B5"/>
    <mergeCell ref="A6:B6"/>
    <mergeCell ref="A7:B7"/>
    <mergeCell ref="A8:B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8"/>
  <sheetViews>
    <sheetView showGridLines="0" topLeftCell="A38" zoomScale="60" zoomScaleNormal="60" workbookViewId="0">
      <selection activeCell="H64" sqref="H64"/>
    </sheetView>
  </sheetViews>
  <sheetFormatPr defaultColWidth="14.453125" defaultRowHeight="15.75" customHeight="1"/>
  <cols>
    <col min="1" max="1" width="18.54296875" customWidth="1"/>
    <col min="2" max="2" width="11" customWidth="1"/>
    <col min="3" max="3" width="15" customWidth="1"/>
    <col min="4" max="4" width="19.7265625" customWidth="1"/>
    <col min="5" max="5" width="13.08984375" customWidth="1"/>
    <col min="6" max="6" width="19.453125" customWidth="1"/>
    <col min="7" max="7" width="14.54296875" customWidth="1"/>
  </cols>
  <sheetData>
    <row r="1" spans="1:14" ht="37.5">
      <c r="A1" s="217" t="s">
        <v>22</v>
      </c>
      <c r="B1" s="184"/>
      <c r="C1" s="184"/>
      <c r="D1" s="184"/>
      <c r="E1" s="184"/>
      <c r="F1" s="184"/>
      <c r="G1" s="184"/>
      <c r="H1" s="184"/>
      <c r="I1" s="184"/>
      <c r="J1" s="184"/>
      <c r="K1" s="184"/>
      <c r="L1" s="184"/>
      <c r="M1" s="184"/>
      <c r="N1" s="185"/>
    </row>
    <row r="2" spans="1:14" ht="12.5">
      <c r="A2" s="218" t="s">
        <v>246</v>
      </c>
      <c r="B2" s="184"/>
      <c r="C2" s="184"/>
      <c r="D2" s="184"/>
      <c r="E2" s="184"/>
      <c r="F2" s="184"/>
      <c r="G2" s="184"/>
      <c r="H2" s="184"/>
      <c r="I2" s="184"/>
      <c r="J2" s="185"/>
      <c r="M2" s="145"/>
      <c r="N2" s="145"/>
    </row>
    <row r="3" spans="1:14" ht="12.5">
      <c r="A3" s="195" t="s">
        <v>247</v>
      </c>
      <c r="B3" s="192"/>
      <c r="C3" s="192"/>
      <c r="D3" s="192"/>
      <c r="E3" s="192"/>
      <c r="F3" s="192"/>
      <c r="G3" s="192"/>
      <c r="H3" s="192"/>
      <c r="I3" s="192"/>
      <c r="J3" s="193"/>
      <c r="M3" s="145"/>
      <c r="N3" s="145"/>
    </row>
    <row r="4" spans="1:14" ht="12.5">
      <c r="A4" s="195" t="s">
        <v>248</v>
      </c>
      <c r="B4" s="192"/>
      <c r="C4" s="192"/>
      <c r="D4" s="192"/>
      <c r="E4" s="192"/>
      <c r="F4" s="192"/>
      <c r="G4" s="192"/>
      <c r="H4" s="192"/>
      <c r="I4" s="192"/>
      <c r="J4" s="193"/>
      <c r="M4" s="145"/>
      <c r="N4" s="145"/>
    </row>
    <row r="5" spans="1:14" ht="12.5">
      <c r="A5" s="195" t="s">
        <v>249</v>
      </c>
      <c r="B5" s="192"/>
      <c r="C5" s="192"/>
      <c r="D5" s="192"/>
      <c r="E5" s="192"/>
      <c r="F5" s="192"/>
      <c r="G5" s="192"/>
      <c r="H5" s="192"/>
      <c r="I5" s="192"/>
      <c r="J5" s="193"/>
      <c r="M5" s="145"/>
      <c r="N5" s="145"/>
    </row>
    <row r="6" spans="1:14" ht="12.5">
      <c r="A6" s="218" t="s">
        <v>250</v>
      </c>
      <c r="B6" s="184"/>
      <c r="C6" s="184"/>
      <c r="D6" s="184"/>
      <c r="E6" s="184"/>
      <c r="F6" s="184"/>
      <c r="G6" s="184"/>
      <c r="H6" s="184"/>
      <c r="I6" s="184"/>
      <c r="J6" s="185"/>
      <c r="M6" s="145"/>
      <c r="N6" s="145"/>
    </row>
    <row r="7" spans="1:14" ht="12.5">
      <c r="A7" s="212" t="s">
        <v>251</v>
      </c>
      <c r="B7" s="184"/>
      <c r="C7" s="184"/>
      <c r="D7" s="184"/>
      <c r="E7" s="184"/>
      <c r="F7" s="184"/>
      <c r="G7" s="184"/>
      <c r="H7" s="184"/>
      <c r="I7" s="184"/>
      <c r="J7" s="185"/>
      <c r="M7" s="145"/>
      <c r="N7" s="145"/>
    </row>
    <row r="8" spans="1:14" ht="12.5">
      <c r="A8" s="215" t="s">
        <v>252</v>
      </c>
      <c r="B8" s="184"/>
      <c r="C8" s="184"/>
      <c r="D8" s="184"/>
      <c r="E8" s="184"/>
      <c r="F8" s="184"/>
      <c r="G8" s="184"/>
      <c r="H8" s="184"/>
      <c r="I8" s="184"/>
      <c r="J8" s="185"/>
      <c r="M8" s="145"/>
      <c r="N8" s="145"/>
    </row>
    <row r="9" spans="1:14" ht="12.5">
      <c r="A9" s="215" t="s">
        <v>253</v>
      </c>
      <c r="B9" s="184"/>
      <c r="C9" s="184"/>
      <c r="D9" s="184"/>
      <c r="E9" s="184"/>
      <c r="F9" s="184"/>
      <c r="G9" s="184"/>
      <c r="H9" s="184"/>
      <c r="I9" s="184"/>
      <c r="J9" s="185"/>
      <c r="M9" s="145"/>
      <c r="N9" s="145"/>
    </row>
    <row r="10" spans="1:14" ht="12.5">
      <c r="A10" s="241" t="s">
        <v>254</v>
      </c>
      <c r="B10" s="184"/>
      <c r="C10" s="184"/>
      <c r="D10" s="184"/>
      <c r="E10" s="184"/>
      <c r="F10" s="184"/>
      <c r="G10" s="184"/>
      <c r="H10" s="184"/>
      <c r="I10" s="184"/>
      <c r="J10" s="185"/>
      <c r="M10" s="145"/>
      <c r="N10" s="145"/>
    </row>
    <row r="11" spans="1:14" ht="12.5">
      <c r="A11" s="241" t="s">
        <v>255</v>
      </c>
      <c r="B11" s="184"/>
      <c r="C11" s="184"/>
      <c r="D11" s="184"/>
      <c r="E11" s="184"/>
      <c r="F11" s="184"/>
      <c r="G11" s="184"/>
      <c r="H11" s="184"/>
      <c r="I11" s="184"/>
      <c r="J11" s="185"/>
      <c r="M11" s="145"/>
      <c r="N11" s="145"/>
    </row>
    <row r="12" spans="1:14" ht="13">
      <c r="A12" s="241" t="s">
        <v>256</v>
      </c>
      <c r="B12" s="184"/>
      <c r="C12" s="184"/>
      <c r="D12" s="184"/>
      <c r="E12" s="184"/>
      <c r="F12" s="184"/>
      <c r="G12" s="184"/>
      <c r="H12" s="184"/>
      <c r="I12" s="184"/>
      <c r="J12" s="185"/>
      <c r="M12" s="145"/>
      <c r="N12" s="145"/>
    </row>
    <row r="13" spans="1:14" ht="12.5">
      <c r="A13" s="241" t="s">
        <v>257</v>
      </c>
      <c r="B13" s="184"/>
      <c r="C13" s="184"/>
      <c r="D13" s="184"/>
      <c r="E13" s="184"/>
      <c r="F13" s="184"/>
      <c r="G13" s="184"/>
      <c r="H13" s="184"/>
      <c r="I13" s="184"/>
      <c r="J13" s="185"/>
      <c r="M13" s="145"/>
      <c r="N13" s="145"/>
    </row>
    <row r="14" spans="1:14" ht="12.5">
      <c r="A14" s="241" t="s">
        <v>258</v>
      </c>
      <c r="B14" s="184"/>
      <c r="C14" s="184"/>
      <c r="D14" s="184"/>
      <c r="E14" s="184"/>
      <c r="F14" s="184"/>
      <c r="G14" s="184"/>
      <c r="H14" s="184"/>
      <c r="I14" s="184"/>
      <c r="J14" s="185"/>
      <c r="M14" s="145"/>
      <c r="N14" s="145"/>
    </row>
    <row r="15" spans="1:14" ht="13">
      <c r="A15" s="252" t="s">
        <v>259</v>
      </c>
      <c r="B15" s="202"/>
      <c r="C15" s="202"/>
      <c r="D15" s="202"/>
      <c r="E15" s="202"/>
      <c r="F15" s="202"/>
      <c r="G15" s="202"/>
      <c r="H15" s="202"/>
      <c r="I15" s="202"/>
      <c r="J15" s="202"/>
      <c r="K15" s="98"/>
      <c r="L15" s="145"/>
      <c r="M15" s="145"/>
      <c r="N15" s="145"/>
    </row>
    <row r="16" spans="1:14" ht="13">
      <c r="A16" s="250" t="s">
        <v>260</v>
      </c>
      <c r="B16" s="184"/>
      <c r="C16" s="184"/>
      <c r="D16" s="184"/>
      <c r="E16" s="184"/>
      <c r="F16" s="184"/>
      <c r="G16" s="184"/>
      <c r="H16" s="184"/>
      <c r="I16" s="185"/>
      <c r="J16" s="146"/>
      <c r="K16" s="251" t="s">
        <v>68</v>
      </c>
      <c r="L16" s="202"/>
      <c r="M16" s="202"/>
      <c r="N16" s="202"/>
    </row>
    <row r="17" spans="1:14" ht="26">
      <c r="A17" s="147" t="s">
        <v>261</v>
      </c>
      <c r="B17" s="147" t="s">
        <v>262</v>
      </c>
      <c r="C17" s="250" t="s">
        <v>20</v>
      </c>
      <c r="D17" s="184"/>
      <c r="E17" s="184"/>
      <c r="F17" s="184"/>
      <c r="G17" s="185"/>
      <c r="H17" s="247" t="s">
        <v>263</v>
      </c>
      <c r="I17" s="248" t="s">
        <v>264</v>
      </c>
      <c r="J17" s="146"/>
      <c r="K17" s="202"/>
      <c r="L17" s="202"/>
      <c r="M17" s="202"/>
      <c r="N17" s="202"/>
    </row>
    <row r="18" spans="1:14" ht="13">
      <c r="A18" s="148" t="s">
        <v>265</v>
      </c>
      <c r="B18" s="149">
        <f>SUM(B19:B26)</f>
        <v>920.6</v>
      </c>
      <c r="C18" s="150" t="s">
        <v>266</v>
      </c>
      <c r="D18" s="150" t="s">
        <v>267</v>
      </c>
      <c r="E18" s="150" t="s">
        <v>268</v>
      </c>
      <c r="F18" s="150" t="s">
        <v>269</v>
      </c>
      <c r="G18" s="150" t="s">
        <v>270</v>
      </c>
      <c r="H18" s="221"/>
      <c r="I18" s="221"/>
      <c r="J18" s="146"/>
      <c r="K18" s="249"/>
      <c r="L18" s="189"/>
      <c r="M18" s="189"/>
      <c r="N18" s="190"/>
    </row>
    <row r="19" spans="1:14" ht="13">
      <c r="A19" s="151" t="s">
        <v>271</v>
      </c>
      <c r="B19" s="152">
        <f>310*0.9</f>
        <v>279</v>
      </c>
      <c r="C19" s="153">
        <v>0.85</v>
      </c>
      <c r="D19" s="154">
        <v>0.92</v>
      </c>
      <c r="E19" s="155">
        <v>0.78</v>
      </c>
      <c r="F19" s="154">
        <v>0.87</v>
      </c>
      <c r="G19" s="156">
        <v>0.68</v>
      </c>
      <c r="H19" s="157">
        <v>126</v>
      </c>
      <c r="I19" s="158">
        <v>0.45</v>
      </c>
      <c r="J19" s="146"/>
      <c r="K19" s="223"/>
      <c r="L19" s="202"/>
      <c r="M19" s="202"/>
      <c r="N19" s="203"/>
    </row>
    <row r="20" spans="1:14" ht="13">
      <c r="A20" s="151" t="s">
        <v>272</v>
      </c>
      <c r="B20" s="152">
        <f>206*0.8</f>
        <v>164.8</v>
      </c>
      <c r="C20" s="159">
        <v>0.76</v>
      </c>
      <c r="D20" s="181">
        <f>E20/C20</f>
        <v>0.9078947368421052</v>
      </c>
      <c r="E20" s="161">
        <v>0.69</v>
      </c>
      <c r="F20" s="181">
        <f>G20/E20</f>
        <v>0.91304347826086962</v>
      </c>
      <c r="G20" s="162">
        <v>0.63</v>
      </c>
      <c r="H20" s="160">
        <f>B20*C20*E20*G20</f>
        <v>54.445305600000005</v>
      </c>
      <c r="I20" s="163">
        <f>H20/B20</f>
        <v>0.330372</v>
      </c>
      <c r="J20" s="146"/>
      <c r="K20" s="223"/>
      <c r="L20" s="202"/>
      <c r="M20" s="202"/>
      <c r="N20" s="203"/>
    </row>
    <row r="21" spans="1:14" ht="13">
      <c r="A21" s="151" t="s">
        <v>273</v>
      </c>
      <c r="B21" s="152">
        <f>172*0.8</f>
        <v>137.6</v>
      </c>
      <c r="C21" s="164">
        <v>0.8</v>
      </c>
      <c r="D21" s="181">
        <f t="shared" ref="D21:D27" si="0">E21/C21</f>
        <v>0.95</v>
      </c>
      <c r="E21" s="159">
        <v>0.76</v>
      </c>
      <c r="F21" s="181">
        <f t="shared" ref="F21:F27" si="1">G21/E21</f>
        <v>0.92105263157894735</v>
      </c>
      <c r="G21" s="165">
        <v>0.7</v>
      </c>
      <c r="H21" s="160">
        <f t="shared" ref="H21:H27" si="2">B21*C21*E21*G21</f>
        <v>58.562559999999991</v>
      </c>
      <c r="I21" s="163">
        <f t="shared" ref="I21:I27" si="3">H21/B21</f>
        <v>0.42559999999999992</v>
      </c>
      <c r="J21" s="146"/>
      <c r="K21" s="223"/>
      <c r="L21" s="202"/>
      <c r="M21" s="202"/>
      <c r="N21" s="203"/>
    </row>
    <row r="22" spans="1:14" ht="13">
      <c r="A22" s="151" t="s">
        <v>274</v>
      </c>
      <c r="B22" s="152">
        <f>138*0.8</f>
        <v>110.4</v>
      </c>
      <c r="C22" s="159">
        <v>0.76</v>
      </c>
      <c r="D22" s="181">
        <f t="shared" si="0"/>
        <v>0.9078947368421052</v>
      </c>
      <c r="E22" s="161">
        <v>0.69</v>
      </c>
      <c r="F22" s="181">
        <f t="shared" si="1"/>
        <v>0.86956521739130443</v>
      </c>
      <c r="G22" s="166">
        <v>0.6</v>
      </c>
      <c r="H22" s="160">
        <f t="shared" si="2"/>
        <v>34.736255999999997</v>
      </c>
      <c r="I22" s="163">
        <f t="shared" si="3"/>
        <v>0.31463999999999998</v>
      </c>
      <c r="J22" s="146"/>
      <c r="K22" s="223"/>
      <c r="L22" s="202"/>
      <c r="M22" s="202"/>
      <c r="N22" s="203"/>
    </row>
    <row r="23" spans="1:14" ht="13">
      <c r="A23" s="151" t="s">
        <v>275</v>
      </c>
      <c r="B23" s="152">
        <f>112*0.8</f>
        <v>89.600000000000009</v>
      </c>
      <c r="C23" s="164">
        <v>0.8</v>
      </c>
      <c r="D23" s="181">
        <f t="shared" si="0"/>
        <v>0.9375</v>
      </c>
      <c r="E23" s="167">
        <v>0.75</v>
      </c>
      <c r="F23" s="181">
        <f t="shared" si="1"/>
        <v>0.88</v>
      </c>
      <c r="G23" s="168">
        <v>0.66</v>
      </c>
      <c r="H23" s="160">
        <f t="shared" si="2"/>
        <v>35.481600000000007</v>
      </c>
      <c r="I23" s="163">
        <f t="shared" si="3"/>
        <v>0.39600000000000002</v>
      </c>
      <c r="J23" s="146"/>
      <c r="K23" s="223"/>
      <c r="L23" s="202"/>
      <c r="M23" s="202"/>
      <c r="N23" s="203"/>
    </row>
    <row r="24" spans="1:14" ht="13">
      <c r="A24" s="169" t="s">
        <v>276</v>
      </c>
      <c r="B24" s="152">
        <f>92*0.8</f>
        <v>73.600000000000009</v>
      </c>
      <c r="C24" s="165">
        <v>0.7</v>
      </c>
      <c r="D24" s="181">
        <f t="shared" si="0"/>
        <v>0.932247899159664</v>
      </c>
      <c r="E24" s="170">
        <v>0.65257352941176472</v>
      </c>
      <c r="F24" s="181">
        <f t="shared" si="1"/>
        <v>0.87887323943661966</v>
      </c>
      <c r="G24" s="171">
        <v>0.57352941176470584</v>
      </c>
      <c r="H24" s="160">
        <f t="shared" si="2"/>
        <v>19.282396193771628</v>
      </c>
      <c r="I24" s="163">
        <f t="shared" si="3"/>
        <v>0.26198907871972316</v>
      </c>
      <c r="J24" s="146"/>
      <c r="K24" s="223"/>
      <c r="L24" s="202"/>
      <c r="M24" s="202"/>
      <c r="N24" s="203"/>
    </row>
    <row r="25" spans="1:14" ht="13">
      <c r="A25" s="151" t="s">
        <v>277</v>
      </c>
      <c r="B25" s="152">
        <f>58*0.8</f>
        <v>46.400000000000006</v>
      </c>
      <c r="C25" s="156">
        <v>0.68</v>
      </c>
      <c r="D25" s="181">
        <f t="shared" si="0"/>
        <v>0.88235294117647045</v>
      </c>
      <c r="E25" s="166">
        <v>0.6</v>
      </c>
      <c r="F25" s="181">
        <f t="shared" si="1"/>
        <v>0.91666666666666674</v>
      </c>
      <c r="G25" s="172">
        <v>0.55000000000000004</v>
      </c>
      <c r="H25" s="160">
        <f t="shared" si="2"/>
        <v>10.412160000000004</v>
      </c>
      <c r="I25" s="163">
        <f t="shared" si="3"/>
        <v>0.22440000000000004</v>
      </c>
      <c r="J25" s="146"/>
      <c r="K25" s="223"/>
      <c r="L25" s="202"/>
      <c r="M25" s="202"/>
      <c r="N25" s="203"/>
    </row>
    <row r="26" spans="1:14" ht="13">
      <c r="A26" s="151" t="s">
        <v>278</v>
      </c>
      <c r="B26" s="152">
        <f>24*0.8</f>
        <v>19.200000000000003</v>
      </c>
      <c r="C26" s="161">
        <v>0.69</v>
      </c>
      <c r="D26" s="181">
        <f t="shared" si="0"/>
        <v>0.92753623188405809</v>
      </c>
      <c r="E26" s="173">
        <v>0.64</v>
      </c>
      <c r="F26" s="181">
        <f t="shared" si="1"/>
        <v>0.9375</v>
      </c>
      <c r="G26" s="166">
        <v>0.6</v>
      </c>
      <c r="H26" s="160">
        <f t="shared" si="2"/>
        <v>5.0872320000000002</v>
      </c>
      <c r="I26" s="163">
        <f t="shared" si="3"/>
        <v>0.26495999999999997</v>
      </c>
      <c r="J26" s="146"/>
      <c r="K26" s="223"/>
      <c r="L26" s="202"/>
      <c r="M26" s="202"/>
      <c r="N26" s="203"/>
    </row>
    <row r="27" spans="1:14" ht="13">
      <c r="A27" s="174" t="s">
        <v>99</v>
      </c>
      <c r="B27" s="175">
        <f t="shared" ref="B27:C27" si="4">AVERAGE(B19:B26)</f>
        <v>115.075</v>
      </c>
      <c r="C27" s="176">
        <f t="shared" si="4"/>
        <v>0.75499999999999989</v>
      </c>
      <c r="D27" s="181">
        <f t="shared" si="0"/>
        <v>0.92095588235294112</v>
      </c>
      <c r="E27" s="176">
        <f>AVERAGE(E19:E26)</f>
        <v>0.69532169117647047</v>
      </c>
      <c r="F27" s="181">
        <f t="shared" si="1"/>
        <v>0.89770128616938316</v>
      </c>
      <c r="G27" s="176">
        <f>AVERAGE(G19:G26)</f>
        <v>0.62419117647058819</v>
      </c>
      <c r="H27" s="160">
        <f t="shared" si="2"/>
        <v>37.707812438835326</v>
      </c>
      <c r="I27" s="163">
        <f t="shared" si="3"/>
        <v>0.32768031665292485</v>
      </c>
      <c r="J27" s="146"/>
      <c r="K27" s="191"/>
      <c r="L27" s="192"/>
      <c r="M27" s="192"/>
      <c r="N27" s="193"/>
    </row>
    <row r="28" spans="1:14" ht="13">
      <c r="A28" s="145"/>
      <c r="B28" s="145"/>
      <c r="C28" s="145"/>
      <c r="D28" s="145"/>
      <c r="E28" s="145"/>
      <c r="F28" s="145"/>
      <c r="G28" s="145"/>
      <c r="H28" s="145"/>
      <c r="I28" s="145"/>
      <c r="J28" s="146"/>
      <c r="K28" s="145"/>
      <c r="L28" s="145"/>
      <c r="M28" s="145"/>
      <c r="N28" s="145"/>
    </row>
    <row r="29" spans="1:14" ht="12.5">
      <c r="A29" s="245" t="s">
        <v>279</v>
      </c>
      <c r="B29" s="190"/>
      <c r="C29" s="245" t="s">
        <v>280</v>
      </c>
      <c r="D29" s="190"/>
      <c r="E29" s="245" t="s">
        <v>281</v>
      </c>
      <c r="F29" s="190"/>
      <c r="G29" s="245" t="s">
        <v>282</v>
      </c>
      <c r="H29" s="189"/>
      <c r="I29" s="189"/>
      <c r="J29" s="189"/>
      <c r="K29" s="189"/>
      <c r="L29" s="189"/>
      <c r="M29" s="189"/>
      <c r="N29" s="190"/>
    </row>
    <row r="30" spans="1:14" ht="12.5">
      <c r="A30" s="191"/>
      <c r="B30" s="193"/>
      <c r="C30" s="191"/>
      <c r="D30" s="193"/>
      <c r="E30" s="191"/>
      <c r="F30" s="193"/>
      <c r="G30" s="191"/>
      <c r="H30" s="192"/>
      <c r="I30" s="192"/>
      <c r="J30" s="192"/>
      <c r="K30" s="192"/>
      <c r="L30" s="192"/>
      <c r="M30" s="192"/>
      <c r="N30" s="193"/>
    </row>
    <row r="31" spans="1:14" ht="12.5">
      <c r="A31" s="246" t="s">
        <v>409</v>
      </c>
      <c r="B31" s="190"/>
      <c r="C31" s="246" t="s">
        <v>410</v>
      </c>
      <c r="D31" s="190"/>
      <c r="E31" s="246" t="s">
        <v>418</v>
      </c>
      <c r="F31" s="190"/>
      <c r="G31" s="246" t="s">
        <v>421</v>
      </c>
      <c r="H31" s="189"/>
      <c r="I31" s="189"/>
      <c r="J31" s="189"/>
      <c r="K31" s="189"/>
      <c r="L31" s="189"/>
      <c r="M31" s="189"/>
      <c r="N31" s="190"/>
    </row>
    <row r="32" spans="1:14" ht="12.5">
      <c r="A32" s="223"/>
      <c r="B32" s="203"/>
      <c r="C32" s="223"/>
      <c r="D32" s="203"/>
      <c r="E32" s="223"/>
      <c r="F32" s="203"/>
      <c r="G32" s="223"/>
      <c r="H32" s="202"/>
      <c r="I32" s="202"/>
      <c r="J32" s="202"/>
      <c r="K32" s="202"/>
      <c r="L32" s="202"/>
      <c r="M32" s="202"/>
      <c r="N32" s="203"/>
    </row>
    <row r="33" spans="1:14" ht="12.5">
      <c r="A33" s="223"/>
      <c r="B33" s="203"/>
      <c r="C33" s="223"/>
      <c r="D33" s="203"/>
      <c r="E33" s="223"/>
      <c r="F33" s="203"/>
      <c r="G33" s="223"/>
      <c r="H33" s="202"/>
      <c r="I33" s="202"/>
      <c r="J33" s="202"/>
      <c r="K33" s="202"/>
      <c r="L33" s="202"/>
      <c r="M33" s="202"/>
      <c r="N33" s="203"/>
    </row>
    <row r="34" spans="1:14" ht="12.5">
      <c r="A34" s="223"/>
      <c r="B34" s="203"/>
      <c r="C34" s="223"/>
      <c r="D34" s="203"/>
      <c r="E34" s="223"/>
      <c r="F34" s="203"/>
      <c r="G34" s="223"/>
      <c r="H34" s="202"/>
      <c r="I34" s="202"/>
      <c r="J34" s="202"/>
      <c r="K34" s="202"/>
      <c r="L34" s="202"/>
      <c r="M34" s="202"/>
      <c r="N34" s="203"/>
    </row>
    <row r="35" spans="1:14" ht="12.5">
      <c r="A35" s="223"/>
      <c r="B35" s="203"/>
      <c r="C35" s="223"/>
      <c r="D35" s="203"/>
      <c r="E35" s="223"/>
      <c r="F35" s="203"/>
      <c r="G35" s="223"/>
      <c r="H35" s="202"/>
      <c r="I35" s="202"/>
      <c r="J35" s="202"/>
      <c r="K35" s="202"/>
      <c r="L35" s="202"/>
      <c r="M35" s="202"/>
      <c r="N35" s="203"/>
    </row>
    <row r="36" spans="1:14" ht="15" customHeight="1">
      <c r="A36" s="191"/>
      <c r="B36" s="193"/>
      <c r="C36" s="191"/>
      <c r="D36" s="193"/>
      <c r="E36" s="191"/>
      <c r="F36" s="193"/>
      <c r="G36" s="191"/>
      <c r="H36" s="192"/>
      <c r="I36" s="192"/>
      <c r="J36" s="192"/>
      <c r="K36" s="192"/>
      <c r="L36" s="192"/>
      <c r="M36" s="192"/>
      <c r="N36" s="193"/>
    </row>
    <row r="37" spans="1:14" ht="12.5">
      <c r="A37" s="145"/>
      <c r="B37" s="145"/>
      <c r="C37" s="145"/>
      <c r="D37" s="145"/>
      <c r="E37" s="145"/>
      <c r="F37" s="145"/>
      <c r="G37" s="145"/>
      <c r="H37" s="145"/>
      <c r="I37" s="145"/>
      <c r="J37" s="145"/>
      <c r="K37" s="145"/>
      <c r="L37" s="145"/>
      <c r="M37" s="145"/>
      <c r="N37" s="145"/>
    </row>
    <row r="38" spans="1:14" ht="13">
      <c r="A38" s="250" t="s">
        <v>283</v>
      </c>
      <c r="B38" s="184"/>
      <c r="C38" s="184"/>
      <c r="D38" s="184"/>
      <c r="E38" s="184"/>
      <c r="F38" s="184"/>
      <c r="G38" s="184"/>
      <c r="H38" s="184"/>
      <c r="I38" s="185"/>
      <c r="J38" s="146"/>
      <c r="K38" s="251" t="s">
        <v>68</v>
      </c>
      <c r="L38" s="202"/>
      <c r="M38" s="202"/>
      <c r="N38" s="202"/>
    </row>
    <row r="39" spans="1:14" ht="13">
      <c r="A39" s="147" t="s">
        <v>284</v>
      </c>
      <c r="B39" s="178" t="s">
        <v>285</v>
      </c>
      <c r="C39" s="250"/>
      <c r="D39" s="184"/>
      <c r="E39" s="184"/>
      <c r="F39" s="184"/>
      <c r="G39" s="185"/>
      <c r="H39" s="247" t="s">
        <v>263</v>
      </c>
      <c r="I39" s="248" t="s">
        <v>264</v>
      </c>
      <c r="J39" s="146"/>
      <c r="K39" s="202"/>
      <c r="L39" s="202"/>
      <c r="M39" s="202"/>
      <c r="N39" s="202"/>
    </row>
    <row r="40" spans="1:14" ht="13">
      <c r="A40" s="148" t="s">
        <v>265</v>
      </c>
      <c r="B40" s="149">
        <f>SUM(B41:B48)</f>
        <v>1450</v>
      </c>
      <c r="C40" s="150" t="s">
        <v>266</v>
      </c>
      <c r="D40" s="150" t="s">
        <v>267</v>
      </c>
      <c r="E40" s="150" t="s">
        <v>268</v>
      </c>
      <c r="F40" s="150" t="s">
        <v>269</v>
      </c>
      <c r="G40" s="150" t="s">
        <v>270</v>
      </c>
      <c r="H40" s="221"/>
      <c r="I40" s="221"/>
      <c r="J40" s="145"/>
      <c r="K40" s="249"/>
      <c r="L40" s="189"/>
      <c r="M40" s="189"/>
      <c r="N40" s="190"/>
    </row>
    <row r="41" spans="1:14" ht="12.5">
      <c r="A41" s="151" t="s">
        <v>286</v>
      </c>
      <c r="B41" s="179">
        <v>280</v>
      </c>
      <c r="C41" s="153">
        <v>0.64</v>
      </c>
      <c r="D41" s="181">
        <f t="shared" ref="D41:D49" si="5">E41/C41</f>
        <v>0.92187499999999989</v>
      </c>
      <c r="E41" s="155">
        <v>0.59</v>
      </c>
      <c r="F41" s="181">
        <f t="shared" ref="F41:F49" si="6">G41/E41</f>
        <v>0.86440677966101698</v>
      </c>
      <c r="G41" s="156">
        <v>0.51</v>
      </c>
      <c r="H41" s="160">
        <f t="shared" ref="H41:H49" si="7">B41*C41*E41*G41</f>
        <v>53.921280000000003</v>
      </c>
      <c r="I41" s="181">
        <f>Table_10[[#This Row],[Column1]]/B41</f>
        <v>0.192576</v>
      </c>
      <c r="J41" s="145"/>
      <c r="K41" s="223"/>
      <c r="L41" s="202"/>
      <c r="M41" s="202"/>
      <c r="N41" s="203"/>
    </row>
    <row r="42" spans="1:14" ht="12.5">
      <c r="A42" s="151" t="s">
        <v>287</v>
      </c>
      <c r="B42" s="179">
        <v>370</v>
      </c>
      <c r="C42" s="159">
        <v>0.74</v>
      </c>
      <c r="D42" s="181">
        <f t="shared" si="5"/>
        <v>0.93243243243243235</v>
      </c>
      <c r="E42" s="161">
        <v>0.69</v>
      </c>
      <c r="F42" s="181">
        <f t="shared" si="6"/>
        <v>0.89855072463768126</v>
      </c>
      <c r="G42" s="162">
        <v>0.62</v>
      </c>
      <c r="H42" s="160">
        <f t="shared" si="7"/>
        <v>117.13164</v>
      </c>
      <c r="I42" s="181">
        <f>Table_10[[#This Row],[Column1]]/B42</f>
        <v>0.31657200000000002</v>
      </c>
      <c r="J42" s="145"/>
      <c r="K42" s="223"/>
      <c r="L42" s="202"/>
      <c r="M42" s="202"/>
      <c r="N42" s="203"/>
    </row>
    <row r="43" spans="1:14" ht="12.5">
      <c r="A43" s="151" t="s">
        <v>288</v>
      </c>
      <c r="B43" s="179">
        <v>200</v>
      </c>
      <c r="C43" s="164">
        <v>0.78</v>
      </c>
      <c r="D43" s="181">
        <f t="shared" si="5"/>
        <v>0.91025641025641013</v>
      </c>
      <c r="E43" s="159">
        <v>0.71</v>
      </c>
      <c r="F43" s="181">
        <f t="shared" si="6"/>
        <v>0.92957746478873249</v>
      </c>
      <c r="G43" s="165">
        <v>0.66</v>
      </c>
      <c r="H43" s="160">
        <f t="shared" si="7"/>
        <v>73.101599999999991</v>
      </c>
      <c r="I43" s="181">
        <f>Table_10[[#This Row],[Column1]]/B43</f>
        <v>0.36550799999999994</v>
      </c>
      <c r="J43" s="145"/>
      <c r="K43" s="223"/>
      <c r="L43" s="202"/>
      <c r="M43" s="202"/>
      <c r="N43" s="203"/>
    </row>
    <row r="44" spans="1:14" ht="12.5">
      <c r="A44" s="151" t="s">
        <v>289</v>
      </c>
      <c r="B44" s="179">
        <v>175</v>
      </c>
      <c r="C44" s="159">
        <v>0.81</v>
      </c>
      <c r="D44" s="181">
        <f t="shared" si="5"/>
        <v>0.92592592592592582</v>
      </c>
      <c r="E44" s="161">
        <v>0.75</v>
      </c>
      <c r="F44" s="181">
        <f t="shared" si="6"/>
        <v>0.94666666666666666</v>
      </c>
      <c r="G44" s="166">
        <v>0.71</v>
      </c>
      <c r="H44" s="160">
        <f t="shared" si="7"/>
        <v>75.481875000000002</v>
      </c>
      <c r="I44" s="181">
        <f>Table_10[[#This Row],[Column1]]/B44</f>
        <v>0.43132500000000001</v>
      </c>
      <c r="J44" s="145"/>
      <c r="K44" s="223"/>
      <c r="L44" s="202"/>
      <c r="M44" s="202"/>
      <c r="N44" s="203"/>
    </row>
    <row r="45" spans="1:14" ht="12.5">
      <c r="A45" s="151" t="s">
        <v>290</v>
      </c>
      <c r="B45" s="179">
        <v>120</v>
      </c>
      <c r="C45" s="164">
        <v>0.75</v>
      </c>
      <c r="D45" s="181">
        <f t="shared" si="5"/>
        <v>0.93333333333333324</v>
      </c>
      <c r="E45" s="167">
        <v>0.7</v>
      </c>
      <c r="F45" s="181">
        <f t="shared" si="6"/>
        <v>0.88571428571428579</v>
      </c>
      <c r="G45" s="168">
        <v>0.62</v>
      </c>
      <c r="H45" s="160">
        <f t="shared" si="7"/>
        <v>39.059999999999995</v>
      </c>
      <c r="I45" s="181">
        <f>Table_10[[#This Row],[Column1]]/B45</f>
        <v>0.32549999999999996</v>
      </c>
      <c r="J45" s="145"/>
      <c r="K45" s="223"/>
      <c r="L45" s="202"/>
      <c r="M45" s="202"/>
      <c r="N45" s="203"/>
    </row>
    <row r="46" spans="1:14" ht="12.5">
      <c r="A46" s="151" t="s">
        <v>291</v>
      </c>
      <c r="B46" s="179">
        <v>75</v>
      </c>
      <c r="C46" s="165">
        <v>0.68</v>
      </c>
      <c r="D46" s="181">
        <f t="shared" si="5"/>
        <v>0.97058823529411764</v>
      </c>
      <c r="E46" s="170">
        <v>0.66</v>
      </c>
      <c r="F46" s="181">
        <f t="shared" si="6"/>
        <v>0.83333333333333337</v>
      </c>
      <c r="G46" s="171">
        <v>0.55000000000000004</v>
      </c>
      <c r="H46" s="160">
        <f t="shared" si="7"/>
        <v>18.513000000000005</v>
      </c>
      <c r="I46" s="181">
        <f>Table_10[[#This Row],[Column1]]/B46</f>
        <v>0.24684000000000006</v>
      </c>
      <c r="J46" s="145"/>
      <c r="K46" s="223"/>
      <c r="L46" s="202"/>
      <c r="M46" s="202"/>
      <c r="N46" s="203"/>
    </row>
    <row r="47" spans="1:14" ht="12.5">
      <c r="A47" s="151" t="s">
        <v>292</v>
      </c>
      <c r="B47" s="179">
        <v>130</v>
      </c>
      <c r="C47" s="156">
        <v>0.72</v>
      </c>
      <c r="D47" s="181">
        <f t="shared" si="5"/>
        <v>0.93055555555555569</v>
      </c>
      <c r="E47" s="166">
        <v>0.67</v>
      </c>
      <c r="F47" s="181">
        <f t="shared" si="6"/>
        <v>0.9850746268656716</v>
      </c>
      <c r="G47" s="172">
        <v>0.66</v>
      </c>
      <c r="H47" s="160">
        <f t="shared" si="7"/>
        <v>41.389920000000004</v>
      </c>
      <c r="I47" s="181">
        <f>Table_10[[#This Row],[Column1]]/B47</f>
        <v>0.318384</v>
      </c>
      <c r="J47" s="145"/>
      <c r="K47" s="223"/>
      <c r="L47" s="202"/>
      <c r="M47" s="202"/>
      <c r="N47" s="203"/>
    </row>
    <row r="48" spans="1:14" ht="13">
      <c r="A48" s="151" t="s">
        <v>293</v>
      </c>
      <c r="B48" s="179">
        <v>100</v>
      </c>
      <c r="C48" s="161">
        <v>0.7</v>
      </c>
      <c r="D48" s="181">
        <f t="shared" si="5"/>
        <v>0.9</v>
      </c>
      <c r="E48" s="173">
        <v>0.63</v>
      </c>
      <c r="F48" s="181">
        <f t="shared" si="6"/>
        <v>0.90476190476190466</v>
      </c>
      <c r="G48" s="166">
        <v>0.56999999999999995</v>
      </c>
      <c r="H48" s="177">
        <f t="shared" si="7"/>
        <v>25.136999999999997</v>
      </c>
      <c r="I48" s="181">
        <f>Table_10[[#This Row],[Column1]]/B48</f>
        <v>0.25136999999999998</v>
      </c>
      <c r="J48" s="145"/>
      <c r="K48" s="223"/>
      <c r="L48" s="202"/>
      <c r="M48" s="202"/>
      <c r="N48" s="203"/>
    </row>
    <row r="49" spans="1:14" ht="13">
      <c r="A49" s="174" t="s">
        <v>99</v>
      </c>
      <c r="B49" s="175">
        <f t="shared" ref="B49:C49" si="8">AVERAGE(B41:B48)</f>
        <v>181.25</v>
      </c>
      <c r="C49" s="176">
        <f t="shared" si="8"/>
        <v>0.72750000000000004</v>
      </c>
      <c r="D49" s="181">
        <f t="shared" si="5"/>
        <v>0.92783505154639156</v>
      </c>
      <c r="E49" s="176">
        <f>AVERAGE(E41:E48)</f>
        <v>0.67499999999999993</v>
      </c>
      <c r="F49" s="181">
        <f t="shared" si="6"/>
        <v>0.90740740740740755</v>
      </c>
      <c r="G49" s="176">
        <f>AVERAGE(G41:G48)</f>
        <v>0.61250000000000004</v>
      </c>
      <c r="H49" s="177">
        <f t="shared" si="7"/>
        <v>54.515610351562501</v>
      </c>
      <c r="I49" s="181">
        <f>Table_10[[#This Row],[Column1]]/B49</f>
        <v>0.30077578124999998</v>
      </c>
      <c r="J49" s="145"/>
      <c r="K49" s="191"/>
      <c r="L49" s="192"/>
      <c r="M49" s="192"/>
      <c r="N49" s="193"/>
    </row>
    <row r="50" spans="1:14" ht="12.5">
      <c r="A50" s="145"/>
      <c r="B50" s="145"/>
      <c r="C50" s="145"/>
      <c r="D50" s="145"/>
      <c r="E50" s="145"/>
      <c r="F50" s="145"/>
      <c r="G50" s="145"/>
      <c r="H50" s="145"/>
      <c r="I50" s="145"/>
      <c r="J50" s="145"/>
      <c r="K50" s="145"/>
      <c r="L50" s="145"/>
      <c r="M50" s="145"/>
      <c r="N50" s="145"/>
    </row>
    <row r="51" spans="1:14" ht="12.5">
      <c r="A51" s="245" t="s">
        <v>294</v>
      </c>
      <c r="B51" s="190"/>
      <c r="C51" s="245" t="s">
        <v>295</v>
      </c>
      <c r="D51" s="190"/>
      <c r="E51" s="245" t="s">
        <v>281</v>
      </c>
      <c r="F51" s="190"/>
      <c r="G51" s="245" t="s">
        <v>282</v>
      </c>
      <c r="H51" s="189"/>
      <c r="I51" s="189"/>
      <c r="J51" s="189"/>
      <c r="K51" s="189"/>
      <c r="L51" s="189"/>
      <c r="M51" s="189"/>
      <c r="N51" s="190"/>
    </row>
    <row r="52" spans="1:14" ht="12.5">
      <c r="A52" s="191"/>
      <c r="B52" s="193"/>
      <c r="C52" s="191"/>
      <c r="D52" s="193"/>
      <c r="E52" s="191"/>
      <c r="F52" s="193"/>
      <c r="G52" s="191"/>
      <c r="H52" s="192"/>
      <c r="I52" s="192"/>
      <c r="J52" s="192"/>
      <c r="K52" s="192"/>
      <c r="L52" s="192"/>
      <c r="M52" s="192"/>
      <c r="N52" s="193"/>
    </row>
    <row r="53" spans="1:14" ht="12.5">
      <c r="A53" s="246" t="s">
        <v>411</v>
      </c>
      <c r="B53" s="190"/>
      <c r="C53" s="246" t="s">
        <v>412</v>
      </c>
      <c r="D53" s="190"/>
      <c r="E53" s="246" t="s">
        <v>420</v>
      </c>
      <c r="F53" s="190"/>
      <c r="G53" s="246" t="s">
        <v>424</v>
      </c>
      <c r="H53" s="189"/>
      <c r="I53" s="189"/>
      <c r="J53" s="189"/>
      <c r="K53" s="189"/>
      <c r="L53" s="189"/>
      <c r="M53" s="189"/>
      <c r="N53" s="190"/>
    </row>
    <row r="54" spans="1:14" ht="12.5">
      <c r="A54" s="223"/>
      <c r="B54" s="203"/>
      <c r="C54" s="223"/>
      <c r="D54" s="203"/>
      <c r="E54" s="223"/>
      <c r="F54" s="203"/>
      <c r="G54" s="223"/>
      <c r="H54" s="202"/>
      <c r="I54" s="202"/>
      <c r="J54" s="202"/>
      <c r="K54" s="202"/>
      <c r="L54" s="202"/>
      <c r="M54" s="202"/>
      <c r="N54" s="203"/>
    </row>
    <row r="55" spans="1:14" ht="12.5">
      <c r="A55" s="223"/>
      <c r="B55" s="203"/>
      <c r="C55" s="223"/>
      <c r="D55" s="203"/>
      <c r="E55" s="223"/>
      <c r="F55" s="203"/>
      <c r="G55" s="223"/>
      <c r="H55" s="202"/>
      <c r="I55" s="202"/>
      <c r="J55" s="202"/>
      <c r="K55" s="202"/>
      <c r="L55" s="202"/>
      <c r="M55" s="202"/>
      <c r="N55" s="203"/>
    </row>
    <row r="56" spans="1:14" ht="12.5">
      <c r="A56" s="223"/>
      <c r="B56" s="203"/>
      <c r="C56" s="223"/>
      <c r="D56" s="203"/>
      <c r="E56" s="223"/>
      <c r="F56" s="203"/>
      <c r="G56" s="223"/>
      <c r="H56" s="202"/>
      <c r="I56" s="202"/>
      <c r="J56" s="202"/>
      <c r="K56" s="202"/>
      <c r="L56" s="202"/>
      <c r="M56" s="202"/>
      <c r="N56" s="203"/>
    </row>
    <row r="57" spans="1:14" ht="12.5">
      <c r="A57" s="223"/>
      <c r="B57" s="203"/>
      <c r="C57" s="223"/>
      <c r="D57" s="203"/>
      <c r="E57" s="223"/>
      <c r="F57" s="203"/>
      <c r="G57" s="223"/>
      <c r="H57" s="202"/>
      <c r="I57" s="202"/>
      <c r="J57" s="202"/>
      <c r="K57" s="202"/>
      <c r="L57" s="202"/>
      <c r="M57" s="202"/>
      <c r="N57" s="203"/>
    </row>
    <row r="58" spans="1:14" ht="15" customHeight="1">
      <c r="A58" s="191"/>
      <c r="B58" s="193"/>
      <c r="C58" s="191"/>
      <c r="D58" s="193"/>
      <c r="E58" s="191"/>
      <c r="F58" s="193"/>
      <c r="G58" s="191"/>
      <c r="H58" s="192"/>
      <c r="I58" s="192"/>
      <c r="J58" s="192"/>
      <c r="K58" s="192"/>
      <c r="L58" s="192"/>
      <c r="M58" s="192"/>
      <c r="N58" s="193"/>
    </row>
    <row r="59" spans="1:14" ht="12.5">
      <c r="A59" s="145"/>
      <c r="B59" s="145"/>
      <c r="C59" s="145"/>
      <c r="D59" s="145"/>
      <c r="E59" s="145"/>
      <c r="F59" s="145"/>
      <c r="G59" s="145"/>
      <c r="H59" s="145"/>
      <c r="I59" s="145"/>
      <c r="J59" s="145"/>
      <c r="K59" s="145"/>
      <c r="L59" s="145"/>
      <c r="M59" s="145"/>
      <c r="N59" s="145"/>
    </row>
    <row r="60" spans="1:14" ht="13">
      <c r="A60" s="250" t="s">
        <v>296</v>
      </c>
      <c r="B60" s="184"/>
      <c r="C60" s="184"/>
      <c r="D60" s="184"/>
      <c r="E60" s="184"/>
      <c r="F60" s="184"/>
      <c r="G60" s="184"/>
      <c r="H60" s="184"/>
      <c r="I60" s="185"/>
      <c r="J60" s="146"/>
      <c r="K60" s="251" t="s">
        <v>68</v>
      </c>
      <c r="L60" s="202"/>
      <c r="M60" s="202"/>
      <c r="N60" s="202"/>
    </row>
    <row r="61" spans="1:14" ht="13">
      <c r="A61" s="147" t="s">
        <v>297</v>
      </c>
      <c r="B61" s="178" t="s">
        <v>285</v>
      </c>
      <c r="C61" s="250"/>
      <c r="D61" s="184"/>
      <c r="E61" s="184"/>
      <c r="F61" s="184"/>
      <c r="G61" s="185"/>
      <c r="H61" s="247" t="s">
        <v>263</v>
      </c>
      <c r="I61" s="248" t="s">
        <v>264</v>
      </c>
      <c r="J61" s="146"/>
      <c r="K61" s="202"/>
      <c r="L61" s="202"/>
      <c r="M61" s="202"/>
      <c r="N61" s="202"/>
    </row>
    <row r="62" spans="1:14" ht="13">
      <c r="A62" s="148" t="s">
        <v>265</v>
      </c>
      <c r="B62" s="149">
        <f>SUM(B63:B69)</f>
        <v>1500</v>
      </c>
      <c r="C62" s="150" t="s">
        <v>266</v>
      </c>
      <c r="D62" s="150" t="s">
        <v>267</v>
      </c>
      <c r="E62" s="150" t="s">
        <v>268</v>
      </c>
      <c r="F62" s="150" t="s">
        <v>267</v>
      </c>
      <c r="G62" s="150" t="s">
        <v>270</v>
      </c>
      <c r="H62" s="221"/>
      <c r="I62" s="221"/>
      <c r="J62" s="145"/>
      <c r="K62" s="249"/>
      <c r="L62" s="189"/>
      <c r="M62" s="189"/>
      <c r="N62" s="190"/>
    </row>
    <row r="63" spans="1:14" ht="12.5">
      <c r="A63" s="169" t="s">
        <v>298</v>
      </c>
      <c r="B63" s="179">
        <v>100</v>
      </c>
      <c r="C63" s="153">
        <v>0.59</v>
      </c>
      <c r="D63" s="181">
        <f t="shared" ref="D63:D70" si="9">E63/C63</f>
        <v>0.93220338983050854</v>
      </c>
      <c r="E63" s="155">
        <v>0.55000000000000004</v>
      </c>
      <c r="F63" s="181">
        <f t="shared" ref="F63:F70" si="10">G63/E63</f>
        <v>0.87272727272727257</v>
      </c>
      <c r="G63" s="156">
        <v>0.48</v>
      </c>
      <c r="H63" s="160">
        <f t="shared" ref="H63:H70" si="11">B63*C63*E63*G63</f>
        <v>15.576000000000001</v>
      </c>
      <c r="I63" s="181">
        <f>Table_6[[#This Row],[Column1]]/B63</f>
        <v>0.15576000000000001</v>
      </c>
      <c r="J63" s="145"/>
      <c r="K63" s="223"/>
      <c r="L63" s="202"/>
      <c r="M63" s="202"/>
      <c r="N63" s="203"/>
    </row>
    <row r="64" spans="1:14" ht="12.5">
      <c r="A64" s="169" t="s">
        <v>299</v>
      </c>
      <c r="B64" s="179">
        <v>250</v>
      </c>
      <c r="C64" s="159">
        <v>0.62</v>
      </c>
      <c r="D64" s="181">
        <f t="shared" si="9"/>
        <v>0.9838709677419355</v>
      </c>
      <c r="E64" s="161">
        <v>0.61</v>
      </c>
      <c r="F64" s="181">
        <f t="shared" si="10"/>
        <v>0.83606557377049184</v>
      </c>
      <c r="G64" s="162">
        <v>0.51</v>
      </c>
      <c r="H64" s="160">
        <f t="shared" si="11"/>
        <v>48.220500000000001</v>
      </c>
      <c r="I64" s="181">
        <f>Table_6[[#This Row],[Column1]]/B64</f>
        <v>0.192882</v>
      </c>
      <c r="J64" s="145"/>
      <c r="K64" s="223"/>
      <c r="L64" s="202"/>
      <c r="M64" s="202"/>
      <c r="N64" s="203"/>
    </row>
    <row r="65" spans="1:14" ht="12.5">
      <c r="A65" s="169" t="s">
        <v>300</v>
      </c>
      <c r="B65" s="179">
        <v>210</v>
      </c>
      <c r="C65" s="164">
        <v>0.7</v>
      </c>
      <c r="D65" s="181">
        <f t="shared" si="9"/>
        <v>0.87142857142857144</v>
      </c>
      <c r="E65" s="159">
        <v>0.61</v>
      </c>
      <c r="F65" s="181">
        <f t="shared" si="10"/>
        <v>0.90163934426229519</v>
      </c>
      <c r="G65" s="165">
        <v>0.55000000000000004</v>
      </c>
      <c r="H65" s="160">
        <f t="shared" si="11"/>
        <v>49.318500000000007</v>
      </c>
      <c r="I65" s="181">
        <f>Table_6[[#This Row],[Column1]]/B65</f>
        <v>0.23485000000000003</v>
      </c>
      <c r="J65" s="145"/>
      <c r="K65" s="223"/>
      <c r="L65" s="202"/>
      <c r="M65" s="202"/>
      <c r="N65" s="203"/>
    </row>
    <row r="66" spans="1:14" ht="12.5">
      <c r="A66" s="169" t="s">
        <v>301</v>
      </c>
      <c r="B66" s="179">
        <v>250</v>
      </c>
      <c r="C66" s="159">
        <v>0.83</v>
      </c>
      <c r="D66" s="181">
        <f t="shared" si="9"/>
        <v>0.9156626506024097</v>
      </c>
      <c r="E66" s="161">
        <v>0.76</v>
      </c>
      <c r="F66" s="181">
        <f t="shared" si="10"/>
        <v>0.92105263157894735</v>
      </c>
      <c r="G66" s="166">
        <v>0.7</v>
      </c>
      <c r="H66" s="160">
        <f t="shared" si="11"/>
        <v>110.38999999999999</v>
      </c>
      <c r="I66" s="181">
        <f>Table_6[[#This Row],[Column1]]/B66</f>
        <v>0.44155999999999995</v>
      </c>
      <c r="J66" s="145"/>
      <c r="K66" s="223"/>
      <c r="L66" s="202"/>
      <c r="M66" s="202"/>
      <c r="N66" s="203"/>
    </row>
    <row r="67" spans="1:14" ht="12.5">
      <c r="A67" s="169" t="s">
        <v>302</v>
      </c>
      <c r="B67" s="179">
        <v>220</v>
      </c>
      <c r="C67" s="164">
        <v>0.86</v>
      </c>
      <c r="D67" s="181">
        <f t="shared" si="9"/>
        <v>0.90697674418604657</v>
      </c>
      <c r="E67" s="167">
        <v>0.78</v>
      </c>
      <c r="F67" s="181">
        <f t="shared" si="10"/>
        <v>0.93589743589743579</v>
      </c>
      <c r="G67" s="168">
        <v>0.73</v>
      </c>
      <c r="H67" s="160">
        <f t="shared" si="11"/>
        <v>107.73047999999999</v>
      </c>
      <c r="I67" s="181">
        <f>Table_6[[#This Row],[Column1]]/B67</f>
        <v>0.48968399999999995</v>
      </c>
      <c r="J67" s="145"/>
      <c r="K67" s="223"/>
      <c r="L67" s="202"/>
      <c r="M67" s="202"/>
      <c r="N67" s="203"/>
    </row>
    <row r="68" spans="1:14" ht="13">
      <c r="A68" s="169" t="s">
        <v>303</v>
      </c>
      <c r="B68" s="179">
        <v>270</v>
      </c>
      <c r="C68" s="165">
        <v>0.87206396801599195</v>
      </c>
      <c r="D68" s="181">
        <f t="shared" si="9"/>
        <v>0.92883094555873935</v>
      </c>
      <c r="E68" s="170">
        <v>0.81</v>
      </c>
      <c r="F68" s="181">
        <f t="shared" si="10"/>
        <v>0.90123456790123446</v>
      </c>
      <c r="G68" s="171">
        <v>0.73</v>
      </c>
      <c r="H68" s="177">
        <f t="shared" si="11"/>
        <v>139.22588455772114</v>
      </c>
      <c r="I68" s="181">
        <f>Table_6[[#This Row],[Column1]]/B68</f>
        <v>0.51565142428785604</v>
      </c>
      <c r="J68" s="145"/>
      <c r="K68" s="223"/>
      <c r="L68" s="202"/>
      <c r="M68" s="202"/>
      <c r="N68" s="203"/>
    </row>
    <row r="69" spans="1:14" ht="13">
      <c r="A69" s="169" t="s">
        <v>304</v>
      </c>
      <c r="B69" s="179">
        <v>200</v>
      </c>
      <c r="C69" s="156">
        <v>0.88</v>
      </c>
      <c r="D69" s="181">
        <f t="shared" si="9"/>
        <v>0.90909090909090917</v>
      </c>
      <c r="E69" s="166">
        <v>0.8</v>
      </c>
      <c r="F69" s="181">
        <f t="shared" si="10"/>
        <v>0.88749999999999996</v>
      </c>
      <c r="G69" s="172">
        <v>0.71</v>
      </c>
      <c r="H69" s="177">
        <f t="shared" si="11"/>
        <v>99.968000000000004</v>
      </c>
      <c r="I69" s="181">
        <f>Table_6[[#This Row],[Column1]]/B69</f>
        <v>0.49984000000000001</v>
      </c>
      <c r="J69" s="145"/>
      <c r="K69" s="223"/>
      <c r="L69" s="202"/>
      <c r="M69" s="202"/>
      <c r="N69" s="203"/>
    </row>
    <row r="70" spans="1:14" ht="13">
      <c r="A70" s="148" t="s">
        <v>99</v>
      </c>
      <c r="B70" s="175">
        <f t="shared" ref="B70:C70" si="12">AVERAGE(B63:B69)</f>
        <v>214.28571428571428</v>
      </c>
      <c r="C70" s="176">
        <f t="shared" si="12"/>
        <v>0.76458056685942732</v>
      </c>
      <c r="D70" s="181">
        <f t="shared" si="9"/>
        <v>0.91927152392086287</v>
      </c>
      <c r="E70" s="176">
        <f>AVERAGE(E63:E69)</f>
        <v>0.70285714285714296</v>
      </c>
      <c r="F70" s="181">
        <f t="shared" si="10"/>
        <v>0.89634146341463405</v>
      </c>
      <c r="G70" s="176">
        <f>AVERAGE(G63:G69)</f>
        <v>0.63</v>
      </c>
      <c r="H70" s="177">
        <f t="shared" si="11"/>
        <v>72.547773215433097</v>
      </c>
      <c r="I70" s="181">
        <f>Table_6[[#This Row],[Column1]]/B70</f>
        <v>0.33855627500535446</v>
      </c>
      <c r="J70" s="145"/>
      <c r="K70" s="191"/>
      <c r="L70" s="192"/>
      <c r="M70" s="192"/>
      <c r="N70" s="193"/>
    </row>
    <row r="71" spans="1:14" ht="12.5">
      <c r="A71" s="145"/>
      <c r="B71" s="145"/>
      <c r="C71" s="145"/>
      <c r="D71" s="145"/>
      <c r="E71" s="145"/>
      <c r="F71" s="145"/>
      <c r="G71" s="145"/>
      <c r="H71" s="145"/>
      <c r="I71" s="145"/>
      <c r="J71" s="145"/>
      <c r="K71" s="145"/>
      <c r="L71" s="145"/>
      <c r="M71" s="145"/>
      <c r="N71" s="145"/>
    </row>
    <row r="72" spans="1:14" ht="12.5">
      <c r="A72" s="245" t="s">
        <v>305</v>
      </c>
      <c r="B72" s="190"/>
      <c r="C72" s="245" t="s">
        <v>306</v>
      </c>
      <c r="D72" s="190"/>
      <c r="E72" s="245" t="s">
        <v>281</v>
      </c>
      <c r="F72" s="190"/>
      <c r="G72" s="245" t="s">
        <v>282</v>
      </c>
      <c r="H72" s="189"/>
      <c r="I72" s="189"/>
      <c r="J72" s="189"/>
      <c r="K72" s="189"/>
      <c r="L72" s="189"/>
      <c r="M72" s="189"/>
      <c r="N72" s="190"/>
    </row>
    <row r="73" spans="1:14" ht="12.5">
      <c r="A73" s="191"/>
      <c r="B73" s="193"/>
      <c r="C73" s="191"/>
      <c r="D73" s="193"/>
      <c r="E73" s="191"/>
      <c r="F73" s="193"/>
      <c r="G73" s="191"/>
      <c r="H73" s="192"/>
      <c r="I73" s="192"/>
      <c r="J73" s="192"/>
      <c r="K73" s="192"/>
      <c r="L73" s="192"/>
      <c r="M73" s="192"/>
      <c r="N73" s="193"/>
    </row>
    <row r="74" spans="1:14" ht="12.5">
      <c r="A74" s="246" t="s">
        <v>413</v>
      </c>
      <c r="B74" s="190"/>
      <c r="C74" s="246" t="s">
        <v>414</v>
      </c>
      <c r="D74" s="190"/>
      <c r="E74" s="246" t="s">
        <v>419</v>
      </c>
      <c r="F74" s="190"/>
      <c r="G74" s="246" t="s">
        <v>423</v>
      </c>
      <c r="H74" s="189"/>
      <c r="I74" s="189"/>
      <c r="J74" s="189"/>
      <c r="K74" s="189"/>
      <c r="L74" s="189"/>
      <c r="M74" s="189"/>
      <c r="N74" s="190"/>
    </row>
    <row r="75" spans="1:14" ht="12.5">
      <c r="A75" s="223"/>
      <c r="B75" s="203"/>
      <c r="C75" s="223"/>
      <c r="D75" s="203"/>
      <c r="E75" s="223"/>
      <c r="F75" s="203"/>
      <c r="G75" s="223"/>
      <c r="H75" s="202"/>
      <c r="I75" s="202"/>
      <c r="J75" s="202"/>
      <c r="K75" s="202"/>
      <c r="L75" s="202"/>
      <c r="M75" s="202"/>
      <c r="N75" s="203"/>
    </row>
    <row r="76" spans="1:14" ht="12.5">
      <c r="A76" s="223"/>
      <c r="B76" s="203"/>
      <c r="C76" s="223"/>
      <c r="D76" s="203"/>
      <c r="E76" s="223"/>
      <c r="F76" s="203"/>
      <c r="G76" s="223"/>
      <c r="H76" s="202"/>
      <c r="I76" s="202"/>
      <c r="J76" s="202"/>
      <c r="K76" s="202"/>
      <c r="L76" s="202"/>
      <c r="M76" s="202"/>
      <c r="N76" s="203"/>
    </row>
    <row r="77" spans="1:14" ht="12.5">
      <c r="A77" s="223"/>
      <c r="B77" s="203"/>
      <c r="C77" s="223"/>
      <c r="D77" s="203"/>
      <c r="E77" s="223"/>
      <c r="F77" s="203"/>
      <c r="G77" s="223"/>
      <c r="H77" s="202"/>
      <c r="I77" s="202"/>
      <c r="J77" s="202"/>
      <c r="K77" s="202"/>
      <c r="L77" s="202"/>
      <c r="M77" s="202"/>
      <c r="N77" s="203"/>
    </row>
    <row r="78" spans="1:14" ht="12.5">
      <c r="A78" s="223"/>
      <c r="B78" s="203"/>
      <c r="C78" s="223"/>
      <c r="D78" s="203"/>
      <c r="E78" s="223"/>
      <c r="F78" s="203"/>
      <c r="G78" s="223"/>
      <c r="H78" s="202"/>
      <c r="I78" s="202"/>
      <c r="J78" s="202"/>
      <c r="K78" s="202"/>
      <c r="L78" s="202"/>
      <c r="M78" s="202"/>
      <c r="N78" s="203"/>
    </row>
    <row r="79" spans="1:14" ht="15" customHeight="1">
      <c r="A79" s="191"/>
      <c r="B79" s="193"/>
      <c r="C79" s="191"/>
      <c r="D79" s="193"/>
      <c r="E79" s="191"/>
      <c r="F79" s="193"/>
      <c r="G79" s="191"/>
      <c r="H79" s="192"/>
      <c r="I79" s="192"/>
      <c r="J79" s="192"/>
      <c r="K79" s="192"/>
      <c r="L79" s="192"/>
      <c r="M79" s="192"/>
      <c r="N79" s="193"/>
    </row>
    <row r="80" spans="1:14" ht="12.5">
      <c r="A80" s="145"/>
      <c r="B80" s="145"/>
      <c r="C80" s="145"/>
      <c r="D80" s="145"/>
      <c r="E80" s="145"/>
      <c r="F80" s="145"/>
      <c r="G80" s="145"/>
      <c r="H80" s="145"/>
      <c r="I80" s="145"/>
      <c r="J80" s="145"/>
      <c r="K80" s="145"/>
      <c r="L80" s="145"/>
      <c r="M80" s="145"/>
      <c r="N80" s="145"/>
    </row>
    <row r="81" spans="1:14" ht="13">
      <c r="A81" s="250" t="s">
        <v>307</v>
      </c>
      <c r="B81" s="184"/>
      <c r="C81" s="184"/>
      <c r="D81" s="184"/>
      <c r="E81" s="184"/>
      <c r="F81" s="184"/>
      <c r="G81" s="184"/>
      <c r="H81" s="184"/>
      <c r="I81" s="185"/>
      <c r="J81" s="146"/>
      <c r="K81" s="251" t="s">
        <v>68</v>
      </c>
      <c r="L81" s="202"/>
      <c r="M81" s="202"/>
      <c r="N81" s="202"/>
    </row>
    <row r="82" spans="1:14" ht="13">
      <c r="A82" s="147" t="s">
        <v>308</v>
      </c>
      <c r="B82" s="178" t="s">
        <v>285</v>
      </c>
      <c r="C82" s="250"/>
      <c r="D82" s="184"/>
      <c r="E82" s="184"/>
      <c r="F82" s="184"/>
      <c r="G82" s="185"/>
      <c r="H82" s="247" t="s">
        <v>263</v>
      </c>
      <c r="I82" s="248" t="s">
        <v>264</v>
      </c>
      <c r="J82" s="146"/>
      <c r="K82" s="202"/>
      <c r="L82" s="202"/>
      <c r="M82" s="202"/>
      <c r="N82" s="202"/>
    </row>
    <row r="83" spans="1:14" ht="13">
      <c r="A83" s="148" t="s">
        <v>265</v>
      </c>
      <c r="B83" s="149">
        <f>SUM(B84:B88)</f>
        <v>1490</v>
      </c>
      <c r="C83" s="150" t="s">
        <v>266</v>
      </c>
      <c r="D83" s="150" t="s">
        <v>267</v>
      </c>
      <c r="E83" s="150" t="s">
        <v>268</v>
      </c>
      <c r="F83" s="150" t="s">
        <v>267</v>
      </c>
      <c r="G83" s="150" t="s">
        <v>270</v>
      </c>
      <c r="H83" s="221"/>
      <c r="I83" s="221"/>
      <c r="J83" s="145"/>
      <c r="K83" s="249"/>
      <c r="L83" s="189"/>
      <c r="M83" s="189"/>
      <c r="N83" s="190"/>
    </row>
    <row r="84" spans="1:14" ht="12.5">
      <c r="A84" s="169" t="s">
        <v>309</v>
      </c>
      <c r="B84" s="179">
        <v>250</v>
      </c>
      <c r="C84" s="153">
        <v>0.72</v>
      </c>
      <c r="D84" s="181">
        <f t="shared" ref="D84:D89" si="13">E84/C84</f>
        <v>0.94444444444444453</v>
      </c>
      <c r="E84" s="155">
        <v>0.68</v>
      </c>
      <c r="F84" s="181">
        <f t="shared" ref="F84:F89" si="14">G84/E84</f>
        <v>0.88235294117647045</v>
      </c>
      <c r="G84" s="156">
        <v>0.6</v>
      </c>
      <c r="H84" s="160">
        <f t="shared" ref="H84:H89" si="15">B84*C84*G84</f>
        <v>108</v>
      </c>
      <c r="I84" s="181">
        <f>Table_4[[#This Row],[Column1]]/B84</f>
        <v>0.432</v>
      </c>
      <c r="J84" s="145"/>
      <c r="K84" s="223"/>
      <c r="L84" s="202"/>
      <c r="M84" s="202"/>
      <c r="N84" s="203"/>
    </row>
    <row r="85" spans="1:14" ht="12.5">
      <c r="A85" s="169" t="s">
        <v>310</v>
      </c>
      <c r="B85" s="179">
        <v>310</v>
      </c>
      <c r="C85" s="159">
        <v>0.76</v>
      </c>
      <c r="D85" s="181">
        <f t="shared" si="13"/>
        <v>0.92105263157894735</v>
      </c>
      <c r="E85" s="161">
        <v>0.7</v>
      </c>
      <c r="F85" s="181">
        <f t="shared" si="14"/>
        <v>0.84285714285714286</v>
      </c>
      <c r="G85" s="162">
        <v>0.59</v>
      </c>
      <c r="H85" s="160">
        <f t="shared" si="15"/>
        <v>139.00399999999999</v>
      </c>
      <c r="I85" s="181">
        <f>Table_4[[#This Row],[Column1]]/B85</f>
        <v>0.44839999999999997</v>
      </c>
      <c r="J85" s="145"/>
      <c r="K85" s="223"/>
      <c r="L85" s="202"/>
      <c r="M85" s="202"/>
      <c r="N85" s="203"/>
    </row>
    <row r="86" spans="1:14" ht="13">
      <c r="A86" s="169" t="s">
        <v>311</v>
      </c>
      <c r="B86" s="179">
        <v>390</v>
      </c>
      <c r="C86" s="164">
        <v>0.8</v>
      </c>
      <c r="D86" s="181">
        <f t="shared" si="13"/>
        <v>0.91249999999999998</v>
      </c>
      <c r="E86" s="159">
        <v>0.73</v>
      </c>
      <c r="F86" s="181">
        <f t="shared" si="14"/>
        <v>0.8904109589041096</v>
      </c>
      <c r="G86" s="165">
        <v>0.65</v>
      </c>
      <c r="H86" s="177">
        <f t="shared" si="15"/>
        <v>202.8</v>
      </c>
      <c r="I86" s="181">
        <f>Table_4[[#This Row],[Column1]]/B86</f>
        <v>0.52</v>
      </c>
      <c r="J86" s="145"/>
      <c r="K86" s="223"/>
      <c r="L86" s="202"/>
      <c r="M86" s="202"/>
      <c r="N86" s="203"/>
    </row>
    <row r="87" spans="1:14" ht="13">
      <c r="A87" s="169" t="s">
        <v>312</v>
      </c>
      <c r="B87" s="179">
        <v>430</v>
      </c>
      <c r="C87" s="159">
        <v>0.83</v>
      </c>
      <c r="D87" s="181">
        <f t="shared" si="13"/>
        <v>0.93975903614457834</v>
      </c>
      <c r="E87" s="161">
        <v>0.78</v>
      </c>
      <c r="F87" s="181">
        <f t="shared" si="14"/>
        <v>0.91025641025641013</v>
      </c>
      <c r="G87" s="166">
        <v>0.71</v>
      </c>
      <c r="H87" s="177">
        <f t="shared" si="15"/>
        <v>253.39899999999997</v>
      </c>
      <c r="I87" s="181">
        <f>Table_4[[#This Row],[Column1]]/B87</f>
        <v>0.58929999999999993</v>
      </c>
      <c r="J87" s="145"/>
      <c r="K87" s="223"/>
      <c r="L87" s="202"/>
      <c r="M87" s="202"/>
      <c r="N87" s="203"/>
    </row>
    <row r="88" spans="1:14" ht="13">
      <c r="A88" s="169" t="s">
        <v>313</v>
      </c>
      <c r="B88" s="179">
        <v>110</v>
      </c>
      <c r="C88" s="164">
        <v>0.7</v>
      </c>
      <c r="D88" s="181">
        <f t="shared" si="13"/>
        <v>0.94285714285714295</v>
      </c>
      <c r="E88" s="167">
        <v>0.66</v>
      </c>
      <c r="F88" s="181">
        <f t="shared" si="14"/>
        <v>0.87878787878787867</v>
      </c>
      <c r="G88" s="168">
        <v>0.57999999999999996</v>
      </c>
      <c r="H88" s="177">
        <f t="shared" si="15"/>
        <v>44.66</v>
      </c>
      <c r="I88" s="181">
        <f>Table_4[[#This Row],[Column1]]/B88</f>
        <v>0.40599999999999997</v>
      </c>
      <c r="J88" s="145"/>
      <c r="K88" s="223"/>
      <c r="L88" s="202"/>
      <c r="M88" s="202"/>
      <c r="N88" s="203"/>
    </row>
    <row r="89" spans="1:14" ht="13">
      <c r="A89" s="180" t="s">
        <v>99</v>
      </c>
      <c r="B89" s="149">
        <f t="shared" ref="B89:C89" si="16">AVERAGE(B84:B88)</f>
        <v>298</v>
      </c>
      <c r="C89" s="176">
        <f t="shared" si="16"/>
        <v>0.76200000000000012</v>
      </c>
      <c r="D89" s="181">
        <f t="shared" si="13"/>
        <v>0.93175853018372679</v>
      </c>
      <c r="E89" s="176">
        <f>AVERAGE(E84:E88)</f>
        <v>0.71</v>
      </c>
      <c r="F89" s="181">
        <f t="shared" si="14"/>
        <v>0.88169014084507047</v>
      </c>
      <c r="G89" s="176">
        <f>AVERAGE(G84:G88)</f>
        <v>0.626</v>
      </c>
      <c r="H89" s="177">
        <f t="shared" si="15"/>
        <v>142.14957600000002</v>
      </c>
      <c r="I89" s="181">
        <f>Table_4[[#This Row],[Column1]]/B89</f>
        <v>0.4770120000000001</v>
      </c>
      <c r="J89" s="145"/>
      <c r="K89" s="191"/>
      <c r="L89" s="192"/>
      <c r="M89" s="192"/>
      <c r="N89" s="193"/>
    </row>
    <row r="90" spans="1:14" ht="12.5">
      <c r="A90" s="145"/>
      <c r="B90" s="145"/>
      <c r="C90" s="145"/>
      <c r="D90" s="145"/>
      <c r="E90" s="145"/>
      <c r="F90" s="145"/>
      <c r="G90" s="145"/>
      <c r="H90" s="145"/>
      <c r="I90" s="145"/>
      <c r="J90" s="145"/>
      <c r="K90" s="145"/>
      <c r="L90" s="145"/>
      <c r="M90" s="145"/>
      <c r="N90" s="145"/>
    </row>
    <row r="91" spans="1:14" ht="12.5">
      <c r="A91" s="245" t="s">
        <v>314</v>
      </c>
      <c r="B91" s="190"/>
      <c r="C91" s="245" t="s">
        <v>315</v>
      </c>
      <c r="D91" s="190"/>
      <c r="E91" s="245" t="s">
        <v>281</v>
      </c>
      <c r="F91" s="190"/>
      <c r="G91" s="245" t="s">
        <v>282</v>
      </c>
      <c r="H91" s="189"/>
      <c r="I91" s="189"/>
      <c r="J91" s="189"/>
      <c r="K91" s="189"/>
      <c r="L91" s="189"/>
      <c r="M91" s="189"/>
      <c r="N91" s="190"/>
    </row>
    <row r="92" spans="1:14" ht="12.5">
      <c r="A92" s="191"/>
      <c r="B92" s="193"/>
      <c r="C92" s="191"/>
      <c r="D92" s="193"/>
      <c r="E92" s="191"/>
      <c r="F92" s="193"/>
      <c r="G92" s="191"/>
      <c r="H92" s="192"/>
      <c r="I92" s="192"/>
      <c r="J92" s="192"/>
      <c r="K92" s="192"/>
      <c r="L92" s="192"/>
      <c r="M92" s="192"/>
      <c r="N92" s="193"/>
    </row>
    <row r="93" spans="1:14" ht="12.5">
      <c r="A93" s="246" t="s">
        <v>415</v>
      </c>
      <c r="B93" s="190"/>
      <c r="C93" s="246" t="s">
        <v>416</v>
      </c>
      <c r="D93" s="190"/>
      <c r="E93" s="246" t="s">
        <v>417</v>
      </c>
      <c r="F93" s="190"/>
      <c r="G93" s="246" t="s">
        <v>422</v>
      </c>
      <c r="H93" s="189"/>
      <c r="I93" s="189"/>
      <c r="J93" s="189"/>
      <c r="K93" s="189"/>
      <c r="L93" s="189"/>
      <c r="M93" s="189"/>
      <c r="N93" s="190"/>
    </row>
    <row r="94" spans="1:14" ht="12.5">
      <c r="A94" s="223"/>
      <c r="B94" s="203"/>
      <c r="C94" s="223"/>
      <c r="D94" s="203"/>
      <c r="E94" s="223"/>
      <c r="F94" s="203"/>
      <c r="G94" s="223"/>
      <c r="H94" s="202"/>
      <c r="I94" s="202"/>
      <c r="J94" s="202"/>
      <c r="K94" s="202"/>
      <c r="L94" s="202"/>
      <c r="M94" s="202"/>
      <c r="N94" s="203"/>
    </row>
    <row r="95" spans="1:14" ht="12.5">
      <c r="A95" s="223"/>
      <c r="B95" s="203"/>
      <c r="C95" s="223"/>
      <c r="D95" s="203"/>
      <c r="E95" s="223"/>
      <c r="F95" s="203"/>
      <c r="G95" s="223"/>
      <c r="H95" s="202"/>
      <c r="I95" s="202"/>
      <c r="J95" s="202"/>
      <c r="K95" s="202"/>
      <c r="L95" s="202"/>
      <c r="M95" s="202"/>
      <c r="N95" s="203"/>
    </row>
    <row r="96" spans="1:14" ht="12.5">
      <c r="A96" s="223"/>
      <c r="B96" s="203"/>
      <c r="C96" s="223"/>
      <c r="D96" s="203"/>
      <c r="E96" s="223"/>
      <c r="F96" s="203"/>
      <c r="G96" s="223"/>
      <c r="H96" s="202"/>
      <c r="I96" s="202"/>
      <c r="J96" s="202"/>
      <c r="K96" s="202"/>
      <c r="L96" s="202"/>
      <c r="M96" s="202"/>
      <c r="N96" s="203"/>
    </row>
    <row r="97" spans="1:14" ht="12.5">
      <c r="A97" s="223"/>
      <c r="B97" s="203"/>
      <c r="C97" s="223"/>
      <c r="D97" s="203"/>
      <c r="E97" s="223"/>
      <c r="F97" s="203"/>
      <c r="G97" s="223"/>
      <c r="H97" s="202"/>
      <c r="I97" s="202"/>
      <c r="J97" s="202"/>
      <c r="K97" s="202"/>
      <c r="L97" s="202"/>
      <c r="M97" s="202"/>
      <c r="N97" s="203"/>
    </row>
    <row r="98" spans="1:14" ht="24" customHeight="1">
      <c r="A98" s="191"/>
      <c r="B98" s="193"/>
      <c r="C98" s="191"/>
      <c r="D98" s="193"/>
      <c r="E98" s="191"/>
      <c r="F98" s="193"/>
      <c r="G98" s="191"/>
      <c r="H98" s="192"/>
      <c r="I98" s="192"/>
      <c r="J98" s="192"/>
      <c r="K98" s="192"/>
      <c r="L98" s="192"/>
      <c r="M98" s="192"/>
      <c r="N98" s="193"/>
    </row>
  </sheetData>
  <mergeCells count="71">
    <mergeCell ref="C74:D79"/>
    <mergeCell ref="E74:F79"/>
    <mergeCell ref="G74:N79"/>
    <mergeCell ref="G53:N58"/>
    <mergeCell ref="A60:I60"/>
    <mergeCell ref="K60:N61"/>
    <mergeCell ref="C61:G61"/>
    <mergeCell ref="H61:H62"/>
    <mergeCell ref="I61:I62"/>
    <mergeCell ref="K62:N70"/>
    <mergeCell ref="A53:B58"/>
    <mergeCell ref="C53:D58"/>
    <mergeCell ref="E53:F58"/>
    <mergeCell ref="A11:J11"/>
    <mergeCell ref="A12:J12"/>
    <mergeCell ref="A13:J13"/>
    <mergeCell ref="A72:B73"/>
    <mergeCell ref="C72:D73"/>
    <mergeCell ref="E72:F73"/>
    <mergeCell ref="G72:N73"/>
    <mergeCell ref="A51:B52"/>
    <mergeCell ref="C51:D52"/>
    <mergeCell ref="E51:F52"/>
    <mergeCell ref="K38:N39"/>
    <mergeCell ref="C39:G39"/>
    <mergeCell ref="H39:H40"/>
    <mergeCell ref="I39:I40"/>
    <mergeCell ref="K40:N49"/>
    <mergeCell ref="A14:J14"/>
    <mergeCell ref="A6:J6"/>
    <mergeCell ref="A7:J7"/>
    <mergeCell ref="A8:J8"/>
    <mergeCell ref="A9:J9"/>
    <mergeCell ref="A10:J10"/>
    <mergeCell ref="A1:N1"/>
    <mergeCell ref="A2:J2"/>
    <mergeCell ref="A3:J3"/>
    <mergeCell ref="A4:J4"/>
    <mergeCell ref="A5:J5"/>
    <mergeCell ref="A15:J15"/>
    <mergeCell ref="A16:I16"/>
    <mergeCell ref="K16:N17"/>
    <mergeCell ref="C17:G17"/>
    <mergeCell ref="H17:H18"/>
    <mergeCell ref="I17:I18"/>
    <mergeCell ref="K18:N27"/>
    <mergeCell ref="E31:F36"/>
    <mergeCell ref="A38:I38"/>
    <mergeCell ref="A29:B30"/>
    <mergeCell ref="C29:D30"/>
    <mergeCell ref="E29:F30"/>
    <mergeCell ref="G29:N30"/>
    <mergeCell ref="A31:B36"/>
    <mergeCell ref="C31:D36"/>
    <mergeCell ref="G31:N36"/>
    <mergeCell ref="G51:N52"/>
    <mergeCell ref="A93:B98"/>
    <mergeCell ref="C93:D98"/>
    <mergeCell ref="E93:F98"/>
    <mergeCell ref="G93:N98"/>
    <mergeCell ref="H82:H83"/>
    <mergeCell ref="I82:I83"/>
    <mergeCell ref="K83:N89"/>
    <mergeCell ref="A91:B92"/>
    <mergeCell ref="C91:D92"/>
    <mergeCell ref="E91:F92"/>
    <mergeCell ref="G91:N92"/>
    <mergeCell ref="A81:I81"/>
    <mergeCell ref="K81:N82"/>
    <mergeCell ref="C82:G82"/>
    <mergeCell ref="A74:B79"/>
  </mergeCells>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Deliverables</vt:lpstr>
      <vt:lpstr>Tab 1 - Measure drop-offs</vt:lpstr>
      <vt:lpstr>Tab 2 - Signup Experiments</vt:lpstr>
      <vt:lpstr>Tab 3 - Activation Hypothesis</vt:lpstr>
      <vt:lpstr>Tab 4 - Habit Moment and Metric</vt:lpstr>
      <vt:lpstr>Tab 5 - Aha Moment and Metric A</vt:lpstr>
      <vt:lpstr>Tab 6 - Setup Moment and Metric</vt:lpstr>
      <vt:lpstr>Tab 7 - Activation Funnel</vt:lpstr>
      <vt:lpstr>Tab 8 - Segment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 Charak</dc:creator>
  <cp:lastModifiedBy>Pavan Charak</cp:lastModifiedBy>
  <dcterms:created xsi:type="dcterms:W3CDTF">2021-04-09T11:45:28Z</dcterms:created>
  <dcterms:modified xsi:type="dcterms:W3CDTF">2021-04-09T11:45:28Z</dcterms:modified>
</cp:coreProperties>
</file>